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olfson\Dropbox\WPI Courses\CS 4802 Biovisualization\03-Experiment\"/>
    </mc:Choice>
  </mc:AlternateContent>
  <bookViews>
    <workbookView xWindow="0" yWindow="0" windowWidth="15530" windowHeight="7050"/>
  </bookViews>
  <sheets>
    <sheet name="result (1)" sheetId="1" r:id="rId1"/>
  </sheets>
  <definedNames>
    <definedName name="_xlnm._FilterDatabase" localSheetId="0" hidden="1">'result (1)'!$A$1:$I$602</definedName>
  </definedNames>
  <calcPr calcId="162913"/>
</workbook>
</file>

<file path=xl/calcChain.xml><?xml version="1.0" encoding="utf-8"?>
<calcChain xmlns="http://schemas.openxmlformats.org/spreadsheetml/2006/main">
  <c r="C758" i="1" l="1"/>
  <c r="D758" i="1"/>
  <c r="E758" i="1"/>
  <c r="B758" i="1"/>
  <c r="B759" i="1" s="1"/>
  <c r="B760" i="1" s="1"/>
  <c r="C757" i="1"/>
  <c r="D757" i="1"/>
  <c r="E757" i="1"/>
  <c r="B7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0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8" i="1"/>
  <c r="A259" i="1"/>
  <c r="A260" i="1"/>
  <c r="A261" i="1"/>
  <c r="A262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60" i="1"/>
  <c r="A361" i="1"/>
  <c r="A362" i="1"/>
  <c r="A363" i="1"/>
  <c r="A364" i="1"/>
  <c r="A365" i="1"/>
  <c r="A366" i="1"/>
  <c r="A367" i="1"/>
  <c r="A368" i="1"/>
  <c r="A369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C759" i="1"/>
  <c r="C760" i="1" s="1"/>
  <c r="D759" i="1"/>
  <c r="D760" i="1" s="1"/>
  <c r="E759" i="1"/>
  <c r="E760" i="1" s="1"/>
</calcChain>
</file>

<file path=xl/sharedStrings.xml><?xml version="1.0" encoding="utf-8"?>
<sst xmlns="http://schemas.openxmlformats.org/spreadsheetml/2006/main" count="640" uniqueCount="32">
  <si>
    <t>|</t>
  </si>
  <si>
    <t>|__reportPercent</t>
  </si>
  <si>
    <t>|__trialNum</t>
  </si>
  <si>
    <t>|__truePercent</t>
  </si>
  <si>
    <t>|__visType</t>
  </si>
  <si>
    <t>Bar</t>
  </si>
  <si>
    <t>HBar</t>
  </si>
  <si>
    <t>Pie</t>
  </si>
  <si>
    <t>UDBar</t>
  </si>
  <si>
    <t>-L4gyINQw982Vb2AMCq-</t>
  </si>
  <si>
    <t>-L4gyINTaIPtnEa0VxG-</t>
  </si>
  <si>
    <t>-L4h2efOLcUtpOj1lb-R</t>
  </si>
  <si>
    <t>-L4h2efPXCCqo_gDE8Y-</t>
  </si>
  <si>
    <t>-L4h2hoktPbfu-7fJhaM</t>
  </si>
  <si>
    <t>-L4h2hoktPbfu-7fJhaN</t>
  </si>
  <si>
    <t>-L4h2hoobRJl4mKZ0Vg-</t>
  </si>
  <si>
    <t>-L4h2houOq4cB7tfAQI-</t>
  </si>
  <si>
    <t>-L4h2hp2be6zeZtf8fh-</t>
  </si>
  <si>
    <t>-L4h2hpPDa3uJKGzCqF-</t>
  </si>
  <si>
    <t>-L4h_rlg4ULe-1OlBQxH</t>
  </si>
  <si>
    <t>-L4h_rlg4ULe-1OlBQxI</t>
  </si>
  <si>
    <t>-L4h_rlg4ULe-1OlBQxJ</t>
  </si>
  <si>
    <t>-L4h_rm2EapORMKX1u4-</t>
  </si>
  <si>
    <t>-L4hwDjR-DS1eNId-1g0</t>
  </si>
  <si>
    <t>-L4hwDjR-DS1eNId-1g1</t>
  </si>
  <si>
    <t>-L4hwDjR-DS1eNId-1g2</t>
  </si>
  <si>
    <t>-L4hwDjR-DS1eNId-1g3</t>
  </si>
  <si>
    <t>Hbar</t>
  </si>
  <si>
    <t>mean</t>
  </si>
  <si>
    <t>std dev</t>
  </si>
  <si>
    <t>std err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</si>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</sst>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(1)'!$B$756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 (1)'!$B$757</c:f>
              <c:numCache>
                <c:formatCode>General</c:formatCode>
                <c:ptCount val="1"/>
                <c:pt idx="0">
                  <c:v>1.2781761285060729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539-B526-3F095D6346C0}"/>
            </c:ext>
          </c:extLst>
        </c:ser>
        <c:ser>
          <c:idx val="1"/>
          <c:order val="1"/>
          <c:tx>
            <c:strRef>
              <c:f>'result (1)'!$C$756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 (1)'!$C$757</c:f>
              <c:numCache>
                <c:formatCode>General</c:formatCode>
                <c:ptCount val="1"/>
                <c:pt idx="0">
                  <c:v>1.9399007871908749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3-4539-B526-3F095D6346C0}"/>
            </c:ext>
          </c:extLst>
        </c:ser>
        <c:ser>
          <c:idx val="2"/>
          <c:order val="2"/>
          <c:tx>
            <c:strRef>
              <c:f>'result (1)'!$D$756</c:f>
              <c:strCache>
                <c:ptCount val="1"/>
                <c:pt idx="0">
                  <c:v>HBar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(1)'!$C$760</c:f>
                <c:numCache>
                  <c:formatCode>General</c:formatCode>
                  <c:ptCount val="1"/>
                  <c:pt idx="0">
                    <c:v>0.28352247844183126</c:v>
                  </c:pt>
                </c:numCache>
              </c:numRef>
            </c:plus>
            <c:minus>
              <c:numRef>
                <c:f>'result (1)'!$C$760</c:f>
                <c:numCache>
                  <c:formatCode>General</c:formatCode>
                  <c:ptCount val="1"/>
                  <c:pt idx="0">
                    <c:v>0.28352247844183126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(1)'!$D$757</c:f>
              <c:numCache>
                <c:formatCode>General</c:formatCode>
                <c:ptCount val="1"/>
                <c:pt idx="0">
                  <c:v>1.0531857038039261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3-4539-B526-3F095D6346C0}"/>
            </c:ext>
          </c:extLst>
        </c:ser>
        <c:ser>
          <c:idx val="3"/>
          <c:order val="3"/>
          <c:tx>
            <c:strRef>
              <c:f>'result (1)'!$E$756</c:f>
              <c:strCache>
                <c:ptCount val="1"/>
                <c:pt idx="0">
                  <c:v>UDBar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(1)'!$B$760</c:f>
                <c:numCache>
                  <c:formatCode>General</c:formatCode>
                  <c:ptCount val="1"/>
                  <c:pt idx="0">
                    <c:v>0.23867970350002335</c:v>
                  </c:pt>
                </c:numCache>
              </c:numRef>
            </c:plus>
            <c:minus>
              <c:numRef>
                <c:f>'result (1)'!$B$760</c:f>
                <c:numCache>
                  <c:formatCode>General</c:formatCode>
                  <c:ptCount val="1"/>
                  <c:pt idx="0">
                    <c:v>0.23867970350002335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(1)'!$E$757</c:f>
              <c:numCache>
                <c:formatCode>General</c:formatCode>
                <c:ptCount val="1"/>
                <c:pt idx="0">
                  <c:v>1.3189844009867231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3-4539-B526-3F095D63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615560"/>
        <c:axId val="409616544"/>
      </c:barChart>
      <c:catAx>
        <c:axId val="409615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616544"/>
        <c:crosses val="autoZero"/>
        <c:auto val="1"/>
        <c:lblAlgn val="ctr"/>
        <c:lblOffset val="100"/>
        <c:noMultiLvlLbl val="0"/>
      </c:catAx>
      <c:valAx>
        <c:axId val="4096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(1)'!$B$762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(1)'!$B$766</c:f>
                <c:numCache>
                  <c:formatCode>General</c:formatCode>
                  <c:ptCount val="1"/>
                  <c:pt idx="0">
                    <c:v>0.28352247844183126</c:v>
                  </c:pt>
                </c:numCache>
              </c:numRef>
            </c:plus>
            <c:minus>
              <c:numRef>
                <c:f>'result (1)'!$B$766</c:f>
                <c:numCache>
                  <c:formatCode>General</c:formatCode>
                  <c:ptCount val="1"/>
                  <c:pt idx="0">
                    <c:v>0.28352247844183126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(1)'!$B$763</c:f>
              <c:numCache>
                <c:formatCode>General</c:formatCode>
                <c:ptCount val="1"/>
                <c:pt idx="0">
                  <c:v>1.9399007871908749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7-410A-B2A3-56C253F1845C}"/>
            </c:ext>
          </c:extLst>
        </c:ser>
        <c:ser>
          <c:idx val="1"/>
          <c:order val="1"/>
          <c:tx>
            <c:strRef>
              <c:f>'result (1)'!$C$762</c:f>
              <c:strCache>
                <c:ptCount val="1"/>
                <c:pt idx="0">
                  <c:v>UDBar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(1)'!$C$766</c:f>
                <c:numCache>
                  <c:formatCode>General</c:formatCode>
                  <c:ptCount val="1"/>
                  <c:pt idx="0">
                    <c:v>0.23709803609504204</c:v>
                  </c:pt>
                </c:numCache>
              </c:numRef>
            </c:plus>
            <c:minus>
              <c:numRef>
                <c:f>'result (1)'!$C$766</c:f>
                <c:numCache>
                  <c:formatCode>General</c:formatCode>
                  <c:ptCount val="1"/>
                  <c:pt idx="0">
                    <c:v>0.23709803609504204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(1)'!$C$763</c:f>
              <c:numCache>
                <c:formatCode>General</c:formatCode>
                <c:ptCount val="1"/>
                <c:pt idx="0">
                  <c:v>1.3189844009867231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7-410A-B2A3-56C253F1845C}"/>
            </c:ext>
          </c:extLst>
        </c:ser>
        <c:ser>
          <c:idx val="2"/>
          <c:order val="2"/>
          <c:tx>
            <c:strRef>
              <c:f>'result (1)'!$D$762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(1)'!$D$766</c:f>
                <c:numCache>
                  <c:formatCode>General</c:formatCode>
                  <c:ptCount val="1"/>
                  <c:pt idx="0">
                    <c:v>0.23867970350002335</c:v>
                  </c:pt>
                </c:numCache>
              </c:numRef>
            </c:plus>
            <c:minus>
              <c:numRef>
                <c:f>'result (1)'!$D$766</c:f>
                <c:numCache>
                  <c:formatCode>General</c:formatCode>
                  <c:ptCount val="1"/>
                  <c:pt idx="0">
                    <c:v>0.23867970350002335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(1)'!$D$763</c:f>
              <c:numCache>
                <c:formatCode>General</c:formatCode>
                <c:ptCount val="1"/>
                <c:pt idx="0">
                  <c:v>1.2781761285060729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10A-B2A3-56C253F1845C}"/>
            </c:ext>
          </c:extLst>
        </c:ser>
        <c:ser>
          <c:idx val="3"/>
          <c:order val="3"/>
          <c:tx>
            <c:strRef>
              <c:f>'result (1)'!$E$762</c:f>
              <c:strCache>
                <c:ptCount val="1"/>
                <c:pt idx="0">
                  <c:v>HBar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(1)'!$E$766</c:f>
                <c:numCache>
                  <c:formatCode>General</c:formatCode>
                  <c:ptCount val="1"/>
                  <c:pt idx="0">
                    <c:v>0.26170029396105915</c:v>
                  </c:pt>
                </c:numCache>
              </c:numRef>
            </c:plus>
            <c:minus>
              <c:numRef>
                <c:f>'result (1)'!$E$766</c:f>
                <c:numCache>
                  <c:formatCode>General</c:formatCode>
                  <c:ptCount val="1"/>
                  <c:pt idx="0">
                    <c:v>0.26170029396105915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'result (1)'!$E$763</c:f>
              <c:numCache>
                <c:formatCode>General</c:formatCode>
                <c:ptCount val="1"/>
                <c:pt idx="0">
                  <c:v>1.0531857038039261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7-410A-B2A3-56C253F1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076200"/>
        <c:axId val="482079152"/>
      </c:barChart>
      <c:catAx>
        <c:axId val="48207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079152"/>
        <c:crosses val="autoZero"/>
        <c:auto val="1"/>
        <c:lblAlgn val="ctr"/>
        <c:lblOffset val="100"/>
        <c:noMultiLvlLbl val="0"/>
      </c:catAx>
      <c:valAx>
        <c:axId val="4820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749</xdr:row>
      <xdr:rowOff>22225</xdr:rowOff>
    </xdr:from>
    <xdr:to>
      <xdr:col>13</xdr:col>
      <xdr:colOff>358775</xdr:colOff>
      <xdr:row>764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749</xdr:row>
      <xdr:rowOff>34925</xdr:rowOff>
    </xdr:from>
    <xdr:to>
      <xdr:col>13</xdr:col>
      <xdr:colOff>215900</xdr:colOff>
      <xdr:row>764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6"/>
  <sheetViews>
    <sheetView tabSelected="1" topLeftCell="A722" workbookViewId="0">
      <selection activeCell="I767" sqref="I76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idden="1" x14ac:dyDescent="0.35">
      <c r="A2" t="e">
        <f>-L4gyIMv22GRIy487iS5</f>
        <v>#NAME?</v>
      </c>
      <c r="B2">
        <v>40</v>
      </c>
      <c r="C2">
        <v>2</v>
      </c>
      <c r="D2">
        <v>33.33</v>
      </c>
      <c r="E2" t="s">
        <v>5</v>
      </c>
      <c r="F2">
        <f>IF(EXACT(E2, "Bar"),LOG(ABS(B2-D2) + 1/8, 2), 0)</f>
        <v>2.7644735509926672</v>
      </c>
      <c r="G2">
        <f>IF(EXACT(E2, "Pie"),LOG(ABS(B2-D2) + 1/8, 2), 0)</f>
        <v>0</v>
      </c>
      <c r="H2">
        <f>IF(EXACT(E2, "HBar"),LOG(ABS(B2-D2) + 1/8, 2), 0)</f>
        <v>0</v>
      </c>
      <c r="I2">
        <f>IF(EXACT(E2, "UDBar"),LOG(ABS(B2-D2) + 1/8, 2), 0)</f>
        <v>0</v>
      </c>
    </row>
    <row r="3" spans="1:9" hidden="1" x14ac:dyDescent="0.35">
      <c r="A3" t="e">
        <f>-L4gyIN06_TiCooubsrq</f>
        <v>#NAME?</v>
      </c>
      <c r="B3">
        <v>5</v>
      </c>
      <c r="C3">
        <v>3</v>
      </c>
      <c r="D3">
        <v>10.17</v>
      </c>
      <c r="E3" t="s">
        <v>5</v>
      </c>
      <c r="F3">
        <f t="shared" ref="F3:F66" si="0">IF(EXACT(E3, "Bar"),LOG(ABS(B3-D3) + 1/8, 2), 0)</f>
        <v>2.4046306842176119</v>
      </c>
      <c r="G3">
        <f t="shared" ref="G3:G66" si="1">IF(EXACT(E3, "Pie"),LOG(ABS(B3-D3) + 1/8, 2), 0)</f>
        <v>0</v>
      </c>
      <c r="H3">
        <f t="shared" ref="H3:H66" si="2">IF(EXACT(E3, "HBar"),LOG(ABS(B3-D3) + 1/8, 2), 0)</f>
        <v>0</v>
      </c>
      <c r="I3">
        <f t="shared" ref="I3:I66" si="3">IF(EXACT(E3, "UDBar"),LOG(ABS(B3-D3) + 1/8, 2), 0)</f>
        <v>0</v>
      </c>
    </row>
    <row r="4" spans="1:9" hidden="1" x14ac:dyDescent="0.35">
      <c r="A4" t="e">
        <f>-L4gyIN1xfUsb6Z9k7PV</f>
        <v>#NAME?</v>
      </c>
      <c r="B4">
        <v>40</v>
      </c>
      <c r="C4">
        <v>4</v>
      </c>
      <c r="D4">
        <v>34.090000000000003</v>
      </c>
      <c r="E4" t="s">
        <v>6</v>
      </c>
      <c r="F4">
        <f t="shared" si="0"/>
        <v>0</v>
      </c>
      <c r="G4">
        <f t="shared" si="1"/>
        <v>0</v>
      </c>
      <c r="H4">
        <f t="shared" si="2"/>
        <v>2.5933537709802961</v>
      </c>
      <c r="I4">
        <f t="shared" si="3"/>
        <v>0</v>
      </c>
    </row>
    <row r="5" spans="1:9" hidden="1" x14ac:dyDescent="0.35">
      <c r="A5" t="e">
        <f>-L4gyIN2ROOeZQuhiIss</f>
        <v>#NAME?</v>
      </c>
      <c r="B5">
        <v>10</v>
      </c>
      <c r="C5">
        <v>5</v>
      </c>
      <c r="D5">
        <v>22.73</v>
      </c>
      <c r="E5" t="s">
        <v>7</v>
      </c>
      <c r="F5">
        <f t="shared" si="0"/>
        <v>0</v>
      </c>
      <c r="G5">
        <f t="shared" si="1"/>
        <v>3.6842577050589314</v>
      </c>
      <c r="H5">
        <f t="shared" si="2"/>
        <v>0</v>
      </c>
      <c r="I5">
        <f t="shared" si="3"/>
        <v>0</v>
      </c>
    </row>
    <row r="6" spans="1:9" hidden="1" x14ac:dyDescent="0.35">
      <c r="A6" t="e">
        <f>-L4gyIN2ROOeZQuhiIst</f>
        <v>#NAME?</v>
      </c>
      <c r="B6">
        <v>50</v>
      </c>
      <c r="C6">
        <v>6</v>
      </c>
      <c r="D6">
        <v>36.14</v>
      </c>
      <c r="E6" t="s">
        <v>5</v>
      </c>
      <c r="F6">
        <f t="shared" si="0"/>
        <v>3.8058083487014671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hidden="1" x14ac:dyDescent="0.35">
      <c r="A7" t="e">
        <f>-L4gyIN2ROOeZQuhiIsu</f>
        <v>#NAME?</v>
      </c>
      <c r="B7">
        <v>5</v>
      </c>
      <c r="C7">
        <v>7</v>
      </c>
      <c r="D7">
        <v>7.23</v>
      </c>
      <c r="E7" t="s">
        <v>5</v>
      </c>
      <c r="F7">
        <f t="shared" si="0"/>
        <v>1.2357270598380588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35">
      <c r="A8" t="e">
        <f>-L4gyIN3Rp6tTHnUipSF</f>
        <v>#NAME?</v>
      </c>
      <c r="B8">
        <v>75</v>
      </c>
      <c r="C8">
        <v>8</v>
      </c>
      <c r="D8">
        <v>73.17</v>
      </c>
      <c r="E8" t="s">
        <v>8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0.96716860753262635</v>
      </c>
    </row>
    <row r="9" spans="1:9" x14ac:dyDescent="0.35">
      <c r="A9" t="e">
        <f>-L4gyIN3Rp6tTHnUipSG</f>
        <v>#NAME?</v>
      </c>
      <c r="B9">
        <v>5</v>
      </c>
      <c r="C9">
        <v>9</v>
      </c>
      <c r="D9">
        <v>6.82</v>
      </c>
      <c r="E9" t="s">
        <v>8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0.95977015521146758</v>
      </c>
    </row>
    <row r="10" spans="1:9" hidden="1" x14ac:dyDescent="0.35">
      <c r="A10" t="e">
        <f>-L4gyIN3Rp6tTHnUipSH</f>
        <v>#NAME?</v>
      </c>
      <c r="B10">
        <v>90</v>
      </c>
      <c r="C10">
        <v>10</v>
      </c>
      <c r="D10">
        <v>67.05</v>
      </c>
      <c r="E10" t="s">
        <v>7</v>
      </c>
      <c r="F10">
        <f t="shared" si="0"/>
        <v>0</v>
      </c>
      <c r="G10">
        <f t="shared" si="1"/>
        <v>4.5282587427584122</v>
      </c>
      <c r="H10">
        <f t="shared" si="2"/>
        <v>0</v>
      </c>
      <c r="I10">
        <f t="shared" si="3"/>
        <v>0</v>
      </c>
    </row>
    <row r="11" spans="1:9" hidden="1" x14ac:dyDescent="0.35">
      <c r="A11" t="e">
        <f>-L4gyIN3Rp6tTHnUipSI</f>
        <v>#NAME?</v>
      </c>
      <c r="B11">
        <v>60</v>
      </c>
      <c r="C11">
        <v>11</v>
      </c>
      <c r="D11">
        <v>63.83</v>
      </c>
      <c r="E11" t="s">
        <v>7</v>
      </c>
      <c r="F11">
        <f t="shared" si="0"/>
        <v>0</v>
      </c>
      <c r="G11">
        <f t="shared" si="1"/>
        <v>1.9836776946980668</v>
      </c>
      <c r="H11">
        <f t="shared" si="2"/>
        <v>0</v>
      </c>
      <c r="I11">
        <f t="shared" si="3"/>
        <v>0</v>
      </c>
    </row>
    <row r="12" spans="1:9" hidden="1" x14ac:dyDescent="0.35">
      <c r="A12" t="e">
        <f>-L4gyIN4B3_2zcgOJSjW</f>
        <v>#NAME?</v>
      </c>
      <c r="B12">
        <v>5</v>
      </c>
      <c r="C12">
        <v>12</v>
      </c>
      <c r="D12">
        <v>7.23</v>
      </c>
      <c r="E12" t="s">
        <v>5</v>
      </c>
      <c r="F12">
        <f t="shared" si="0"/>
        <v>1.2357270598380588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hidden="1" x14ac:dyDescent="0.35">
      <c r="A13" t="e">
        <f>-L4gyIN4B3_2zcgOJSjX</f>
        <v>#NAME?</v>
      </c>
      <c r="B13">
        <v>5</v>
      </c>
      <c r="C13">
        <v>13</v>
      </c>
      <c r="D13">
        <v>12.77</v>
      </c>
      <c r="E13" t="s">
        <v>5</v>
      </c>
      <c r="F13">
        <f t="shared" si="0"/>
        <v>2.9809392660855121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hidden="1" x14ac:dyDescent="0.35">
      <c r="A14" t="e">
        <f>-L4gyIN4B3_2zcgOJSjY</f>
        <v>#NAME?</v>
      </c>
      <c r="B14">
        <v>95</v>
      </c>
      <c r="C14">
        <v>14</v>
      </c>
      <c r="D14">
        <v>94.32</v>
      </c>
      <c r="E14" t="s">
        <v>5</v>
      </c>
      <c r="F14">
        <f t="shared" si="0"/>
        <v>-0.31293931166009553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hidden="1" x14ac:dyDescent="0.35">
      <c r="A15" t="e">
        <f>-L4gyIN5q5Vawtu577YD</f>
        <v>#NAME?</v>
      </c>
      <c r="B15">
        <v>100</v>
      </c>
      <c r="C15">
        <v>15</v>
      </c>
      <c r="D15">
        <v>94.32</v>
      </c>
      <c r="E15" t="s">
        <v>7</v>
      </c>
      <c r="F15">
        <f t="shared" si="0"/>
        <v>0</v>
      </c>
      <c r="G15">
        <f t="shared" si="1"/>
        <v>2.5372960670908435</v>
      </c>
      <c r="H15">
        <f t="shared" si="2"/>
        <v>0</v>
      </c>
      <c r="I15">
        <f t="shared" si="3"/>
        <v>0</v>
      </c>
    </row>
    <row r="16" spans="1:9" hidden="1" x14ac:dyDescent="0.35">
      <c r="A16" t="e">
        <f>-L4gyIN5q5Vawtu577YE</f>
        <v>#NAME?</v>
      </c>
      <c r="B16">
        <v>20</v>
      </c>
      <c r="C16">
        <v>16</v>
      </c>
      <c r="D16">
        <v>16.95</v>
      </c>
      <c r="E16" t="s">
        <v>5</v>
      </c>
      <c r="F16">
        <f t="shared" si="0"/>
        <v>1.6667565918848037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hidden="1" x14ac:dyDescent="0.35">
      <c r="A17" t="e">
        <f>-L4gyIN5q5Vawtu577YF</f>
        <v>#NAME?</v>
      </c>
      <c r="B17">
        <v>10</v>
      </c>
      <c r="C17">
        <v>17</v>
      </c>
      <c r="D17">
        <v>11.36</v>
      </c>
      <c r="E17" t="s">
        <v>5</v>
      </c>
      <c r="F17">
        <f t="shared" si="0"/>
        <v>0.57046293102604051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hidden="1" x14ac:dyDescent="0.35">
      <c r="A18" t="e">
        <f>-L4gyIN5q5Vawtu577YG</f>
        <v>#NAME?</v>
      </c>
      <c r="B18">
        <v>5</v>
      </c>
      <c r="C18">
        <v>18</v>
      </c>
      <c r="D18">
        <v>7.89</v>
      </c>
      <c r="E18" t="s">
        <v>5</v>
      </c>
      <c r="F18">
        <f t="shared" si="0"/>
        <v>1.5921580021253601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35">
      <c r="A19" t="e">
        <f>-L4gyIN6Nn8p2oSko29B</f>
        <v>#NAME?</v>
      </c>
      <c r="B19">
        <v>60</v>
      </c>
      <c r="C19">
        <v>19</v>
      </c>
      <c r="D19">
        <v>61.84</v>
      </c>
      <c r="E19" t="s">
        <v>8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0.9745293124838843</v>
      </c>
    </row>
    <row r="20" spans="1:9" x14ac:dyDescent="0.35">
      <c r="A20" t="e">
        <f>-L4gyIN6Nn8p2oSko29C</f>
        <v>#NAME?</v>
      </c>
      <c r="B20">
        <v>70</v>
      </c>
      <c r="C20">
        <v>20</v>
      </c>
      <c r="D20">
        <v>67.05</v>
      </c>
      <c r="E20" t="s">
        <v>8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1.620586410451879</v>
      </c>
    </row>
    <row r="21" spans="1:9" hidden="1" x14ac:dyDescent="0.35">
      <c r="A21" t="e">
        <f>-L4gyIN6Nn8p2oSko29D</f>
        <v>#NAME?</v>
      </c>
      <c r="B21">
        <v>70</v>
      </c>
      <c r="C21">
        <v>21</v>
      </c>
      <c r="D21">
        <v>63.83</v>
      </c>
      <c r="E21" t="s">
        <v>5</v>
      </c>
      <c r="F21">
        <f t="shared" si="0"/>
        <v>2.6542063779442922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hidden="1" x14ac:dyDescent="0.35">
      <c r="A22" t="e">
        <f>-L4gyIN7AAz6xLM0nXq1</f>
        <v>#NAME?</v>
      </c>
      <c r="B22">
        <v>5</v>
      </c>
      <c r="C22">
        <v>22</v>
      </c>
      <c r="D22">
        <v>14.63</v>
      </c>
      <c r="E22" t="s">
        <v>5</v>
      </c>
      <c r="F22">
        <f t="shared" si="0"/>
        <v>3.2861418728343019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hidden="1" x14ac:dyDescent="0.35">
      <c r="A23" t="e">
        <f>-L4gyIN7AAz6xLM0nXq2</f>
        <v>#NAME?</v>
      </c>
      <c r="B23">
        <v>20</v>
      </c>
      <c r="C23">
        <v>23</v>
      </c>
      <c r="D23">
        <v>24.1</v>
      </c>
      <c r="E23" t="s">
        <v>6</v>
      </c>
      <c r="F23">
        <f t="shared" si="0"/>
        <v>0</v>
      </c>
      <c r="G23">
        <f t="shared" si="1"/>
        <v>0</v>
      </c>
      <c r="H23">
        <f t="shared" si="2"/>
        <v>2.0789513413948226</v>
      </c>
      <c r="I23">
        <f t="shared" si="3"/>
        <v>0</v>
      </c>
    </row>
    <row r="24" spans="1:9" hidden="1" x14ac:dyDescent="0.35">
      <c r="A24" t="e">
        <f>-L4gyIN7AAz6xLM0nXq3</f>
        <v>#NAME?</v>
      </c>
      <c r="B24">
        <v>30</v>
      </c>
      <c r="C24">
        <v>24</v>
      </c>
      <c r="D24">
        <v>22.73</v>
      </c>
      <c r="E24" t="s">
        <v>5</v>
      </c>
      <c r="F24">
        <f t="shared" si="0"/>
        <v>2.8865501473243431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hidden="1" x14ac:dyDescent="0.35">
      <c r="A25" t="e">
        <f>-L4gyIN8b6Lbng3VbbMj</f>
        <v>#NAME?</v>
      </c>
      <c r="B25">
        <v>10</v>
      </c>
      <c r="C25">
        <v>25</v>
      </c>
      <c r="D25">
        <v>12.05</v>
      </c>
      <c r="E25" t="s">
        <v>6</v>
      </c>
      <c r="F25">
        <f t="shared" si="0"/>
        <v>0</v>
      </c>
      <c r="G25">
        <f t="shared" si="1"/>
        <v>0</v>
      </c>
      <c r="H25">
        <f t="shared" si="2"/>
        <v>1.1210154009613664</v>
      </c>
      <c r="I25">
        <f t="shared" si="3"/>
        <v>0</v>
      </c>
    </row>
    <row r="26" spans="1:9" x14ac:dyDescent="0.35">
      <c r="A26" t="e">
        <f>-L4gyIN8b6Lbng3VbbMk</f>
        <v>#NAME?</v>
      </c>
      <c r="B26">
        <v>35</v>
      </c>
      <c r="C26">
        <v>26</v>
      </c>
      <c r="D26">
        <v>49.4</v>
      </c>
      <c r="E26" t="s">
        <v>8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3.860466258517167</v>
      </c>
    </row>
    <row r="27" spans="1:9" hidden="1" x14ac:dyDescent="0.35">
      <c r="A27" t="e">
        <f>-L4gyIN8b6Lbng3VbbMl</f>
        <v>#NAME?</v>
      </c>
      <c r="B27">
        <v>70</v>
      </c>
      <c r="C27">
        <v>27</v>
      </c>
      <c r="D27">
        <v>79.66</v>
      </c>
      <c r="E27" t="s">
        <v>6</v>
      </c>
      <c r="F27">
        <f t="shared" si="0"/>
        <v>0</v>
      </c>
      <c r="G27">
        <f t="shared" si="1"/>
        <v>0</v>
      </c>
      <c r="H27">
        <f t="shared" si="2"/>
        <v>3.2905718508520789</v>
      </c>
      <c r="I27">
        <f t="shared" si="3"/>
        <v>0</v>
      </c>
    </row>
    <row r="28" spans="1:9" x14ac:dyDescent="0.35">
      <c r="A28" t="e">
        <f>-L4gyIN92vn2ueS-X7GX</f>
        <v>#NAME?</v>
      </c>
      <c r="B28">
        <v>5</v>
      </c>
      <c r="C28">
        <v>28</v>
      </c>
      <c r="D28">
        <v>14.63</v>
      </c>
      <c r="E28" t="s">
        <v>8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3.2861418728343019</v>
      </c>
    </row>
    <row r="29" spans="1:9" x14ac:dyDescent="0.35">
      <c r="A29" t="e">
        <f>-L4gyIN92vn2ueS-X7GY</f>
        <v>#NAME?</v>
      </c>
      <c r="B29">
        <v>50</v>
      </c>
      <c r="C29">
        <v>29</v>
      </c>
      <c r="D29">
        <v>60</v>
      </c>
      <c r="E29" t="s">
        <v>8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3.3398500028846252</v>
      </c>
    </row>
    <row r="30" spans="1:9" hidden="1" x14ac:dyDescent="0.35">
      <c r="A30" t="e">
        <f>-L4gyIN92vn2ueS-X7GZ</f>
        <v>#NAME?</v>
      </c>
      <c r="B30">
        <v>95</v>
      </c>
      <c r="C30">
        <v>30</v>
      </c>
      <c r="D30">
        <v>91.57</v>
      </c>
      <c r="E30" t="s">
        <v>5</v>
      </c>
      <c r="F30">
        <f t="shared" si="0"/>
        <v>1.8298495598446933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hidden="1" x14ac:dyDescent="0.35">
      <c r="A31" t="e">
        <f>-L4gyIN92vn2ueS-X7G_</f>
        <v>#NAME?</v>
      </c>
      <c r="B31">
        <v>95</v>
      </c>
      <c r="C31">
        <v>31</v>
      </c>
      <c r="D31">
        <v>91.57</v>
      </c>
      <c r="E31" t="s">
        <v>5</v>
      </c>
      <c r="F31">
        <f t="shared" si="0"/>
        <v>1.8298495598446933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35">
      <c r="A32" t="e">
        <f>-L4gyINAzBAlsW7OmiIV</f>
        <v>#NAME?</v>
      </c>
      <c r="B32">
        <v>50</v>
      </c>
      <c r="C32">
        <v>32</v>
      </c>
      <c r="D32">
        <v>60</v>
      </c>
      <c r="E32" t="s">
        <v>8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3.3398500028846252</v>
      </c>
    </row>
    <row r="33" spans="1:9" hidden="1" x14ac:dyDescent="0.35">
      <c r="A33" t="e">
        <f>-L4gyINAzBAlsW7OmiIW</f>
        <v>#NAME?</v>
      </c>
      <c r="B33">
        <v>20</v>
      </c>
      <c r="C33">
        <v>33</v>
      </c>
      <c r="D33">
        <v>12.05</v>
      </c>
      <c r="E33" t="s">
        <v>6</v>
      </c>
      <c r="F33">
        <f t="shared" si="0"/>
        <v>0</v>
      </c>
      <c r="G33">
        <f t="shared" si="1"/>
        <v>0</v>
      </c>
      <c r="H33">
        <f t="shared" si="2"/>
        <v>3.0134622598065626</v>
      </c>
      <c r="I33">
        <f t="shared" si="3"/>
        <v>0</v>
      </c>
    </row>
    <row r="34" spans="1:9" hidden="1" x14ac:dyDescent="0.35">
      <c r="A34" t="e">
        <f>-L4gyINAzBAlsW7OmiIX</f>
        <v>#NAME?</v>
      </c>
      <c r="B34">
        <v>30</v>
      </c>
      <c r="C34">
        <v>34</v>
      </c>
      <c r="D34">
        <v>33.33</v>
      </c>
      <c r="E34" t="s">
        <v>6</v>
      </c>
      <c r="F34">
        <f t="shared" si="0"/>
        <v>0</v>
      </c>
      <c r="G34">
        <f t="shared" si="1"/>
        <v>0</v>
      </c>
      <c r="H34">
        <f t="shared" si="2"/>
        <v>1.7886857106135332</v>
      </c>
      <c r="I34">
        <f t="shared" si="3"/>
        <v>0</v>
      </c>
    </row>
    <row r="35" spans="1:9" x14ac:dyDescent="0.35">
      <c r="A35" t="e">
        <f>-L4gyINAzBAlsW7OmiIY</f>
        <v>#NAME?</v>
      </c>
      <c r="B35">
        <v>30</v>
      </c>
      <c r="C35">
        <v>35</v>
      </c>
      <c r="D35">
        <v>26.32</v>
      </c>
      <c r="E35" t="s">
        <v>8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1.9278964537288208</v>
      </c>
    </row>
    <row r="36" spans="1:9" hidden="1" x14ac:dyDescent="0.35">
      <c r="A36" t="e">
        <f>-L4gyINBYTAK0leav9kL</f>
        <v>#NAME?</v>
      </c>
      <c r="B36">
        <v>50</v>
      </c>
      <c r="C36">
        <v>36</v>
      </c>
      <c r="D36">
        <v>49.4</v>
      </c>
      <c r="E36" t="s">
        <v>6</v>
      </c>
      <c r="F36">
        <f t="shared" si="0"/>
        <v>0</v>
      </c>
      <c r="G36">
        <f t="shared" si="1"/>
        <v>0</v>
      </c>
      <c r="H36">
        <f t="shared" si="2"/>
        <v>-0.46394709975978743</v>
      </c>
      <c r="I36">
        <f t="shared" si="3"/>
        <v>0</v>
      </c>
    </row>
    <row r="37" spans="1:9" hidden="1" x14ac:dyDescent="0.35">
      <c r="A37" t="e">
        <f>-L4gyINBYTAK0leav9kM</f>
        <v>#NAME?</v>
      </c>
      <c r="B37">
        <v>5</v>
      </c>
      <c r="C37">
        <v>37</v>
      </c>
      <c r="D37">
        <v>7.23</v>
      </c>
      <c r="E37" t="s">
        <v>6</v>
      </c>
      <c r="F37">
        <f t="shared" si="0"/>
        <v>0</v>
      </c>
      <c r="G37">
        <f t="shared" si="1"/>
        <v>0</v>
      </c>
      <c r="H37">
        <f t="shared" si="2"/>
        <v>1.2357270598380588</v>
      </c>
      <c r="I37">
        <f t="shared" si="3"/>
        <v>0</v>
      </c>
    </row>
    <row r="38" spans="1:9" x14ac:dyDescent="0.35">
      <c r="A38" t="e">
        <f>-L4gyINBYTAK0leav9kN</f>
        <v>#NAME?</v>
      </c>
      <c r="B38">
        <v>10</v>
      </c>
      <c r="C38">
        <v>38</v>
      </c>
      <c r="D38">
        <v>24.39</v>
      </c>
      <c r="E38" t="s">
        <v>8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3.859472666851937</v>
      </c>
    </row>
    <row r="39" spans="1:9" hidden="1" x14ac:dyDescent="0.35">
      <c r="A39" t="e">
        <f>-L4gyINCIkCYREZG8lc0</f>
        <v>#NAME?</v>
      </c>
      <c r="B39">
        <v>10</v>
      </c>
      <c r="C39">
        <v>39</v>
      </c>
      <c r="D39">
        <v>12.77</v>
      </c>
      <c r="E39" t="s">
        <v>6</v>
      </c>
      <c r="F39">
        <f t="shared" si="0"/>
        <v>0</v>
      </c>
      <c r="G39">
        <f t="shared" si="1"/>
        <v>0</v>
      </c>
      <c r="H39">
        <f t="shared" si="2"/>
        <v>1.5335633482145117</v>
      </c>
      <c r="I39">
        <f t="shared" si="3"/>
        <v>0</v>
      </c>
    </row>
    <row r="40" spans="1:9" hidden="1" x14ac:dyDescent="0.35">
      <c r="A40" t="e">
        <f>-L4gyINDQ8XaRGPV6qCp</f>
        <v>#NAME?</v>
      </c>
      <c r="B40">
        <v>34</v>
      </c>
      <c r="C40">
        <v>40</v>
      </c>
      <c r="D40">
        <v>33.9</v>
      </c>
      <c r="E40" t="s">
        <v>6</v>
      </c>
      <c r="F40">
        <f t="shared" si="0"/>
        <v>0</v>
      </c>
      <c r="G40">
        <f t="shared" si="1"/>
        <v>0</v>
      </c>
      <c r="H40">
        <f t="shared" si="2"/>
        <v>-2.1520030934450411</v>
      </c>
      <c r="I40">
        <f t="shared" si="3"/>
        <v>0</v>
      </c>
    </row>
    <row r="41" spans="1:9" hidden="1" x14ac:dyDescent="0.35">
      <c r="A41" t="e">
        <f>-L4gyINDQ8XaRGPV6qCq</f>
        <v>#NAME?</v>
      </c>
      <c r="B41">
        <v>40</v>
      </c>
      <c r="C41">
        <v>41</v>
      </c>
      <c r="D41">
        <v>48.78</v>
      </c>
      <c r="E41" t="s">
        <v>7</v>
      </c>
      <c r="F41">
        <f t="shared" si="0"/>
        <v>0</v>
      </c>
      <c r="G41">
        <f t="shared" si="1"/>
        <v>3.1546156113268946</v>
      </c>
      <c r="H41">
        <f t="shared" si="2"/>
        <v>0</v>
      </c>
      <c r="I41">
        <f t="shared" si="3"/>
        <v>0</v>
      </c>
    </row>
    <row r="42" spans="1:9" x14ac:dyDescent="0.35">
      <c r="A42" t="e">
        <f>-L4gyINDQ8XaRGPV6qCr</f>
        <v>#NAME?</v>
      </c>
      <c r="B42">
        <v>40</v>
      </c>
      <c r="C42">
        <v>42</v>
      </c>
      <c r="D42">
        <v>33.9</v>
      </c>
      <c r="E42" t="s">
        <v>8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2.6380738371807189</v>
      </c>
    </row>
    <row r="43" spans="1:9" hidden="1" x14ac:dyDescent="0.35">
      <c r="A43" t="e">
        <f>-L4gyINEcZf9-eYf3nS0</f>
        <v>#NAME?</v>
      </c>
      <c r="B43">
        <v>20</v>
      </c>
      <c r="C43">
        <v>43</v>
      </c>
      <c r="D43">
        <v>30</v>
      </c>
      <c r="E43" t="s">
        <v>6</v>
      </c>
      <c r="F43">
        <f t="shared" si="0"/>
        <v>0</v>
      </c>
      <c r="G43">
        <f t="shared" si="1"/>
        <v>0</v>
      </c>
      <c r="H43">
        <f t="shared" si="2"/>
        <v>3.3398500028846252</v>
      </c>
      <c r="I43">
        <f t="shared" si="3"/>
        <v>0</v>
      </c>
    </row>
    <row r="44" spans="1:9" hidden="1" x14ac:dyDescent="0.35">
      <c r="A44" t="e">
        <f>-L4gyINEcZf9-eYf3nS1</f>
        <v>#NAME?</v>
      </c>
      <c r="B44">
        <v>20</v>
      </c>
      <c r="C44">
        <v>44</v>
      </c>
      <c r="D44">
        <v>30</v>
      </c>
      <c r="E44" t="s">
        <v>7</v>
      </c>
      <c r="F44">
        <f t="shared" si="0"/>
        <v>0</v>
      </c>
      <c r="G44">
        <f t="shared" si="1"/>
        <v>3.3398500028846252</v>
      </c>
      <c r="H44">
        <f t="shared" si="2"/>
        <v>0</v>
      </c>
      <c r="I44">
        <f t="shared" si="3"/>
        <v>0</v>
      </c>
    </row>
    <row r="45" spans="1:9" hidden="1" x14ac:dyDescent="0.35">
      <c r="A45" t="e">
        <f>-L4gyINEcZf9-eYf3nS2</f>
        <v>#NAME?</v>
      </c>
      <c r="B45">
        <v>50</v>
      </c>
      <c r="C45">
        <v>45</v>
      </c>
      <c r="D45">
        <v>49.4</v>
      </c>
      <c r="E45" t="s">
        <v>6</v>
      </c>
      <c r="F45">
        <f t="shared" si="0"/>
        <v>0</v>
      </c>
      <c r="G45">
        <f t="shared" si="1"/>
        <v>0</v>
      </c>
      <c r="H45">
        <f t="shared" si="2"/>
        <v>-0.46394709975978743</v>
      </c>
      <c r="I45">
        <f t="shared" si="3"/>
        <v>0</v>
      </c>
    </row>
    <row r="46" spans="1:9" x14ac:dyDescent="0.35">
      <c r="A46" t="e">
        <f>-L4gyINFUhk9VxjmXUaO</f>
        <v>#NAME?</v>
      </c>
      <c r="B46">
        <v>40</v>
      </c>
      <c r="C46">
        <v>46</v>
      </c>
      <c r="D46">
        <v>50.85</v>
      </c>
      <c r="E46" t="s">
        <v>8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3.4561490346479964</v>
      </c>
    </row>
    <row r="47" spans="1:9" x14ac:dyDescent="0.35">
      <c r="A47" t="e">
        <f>-L4gyINFUhk9VxjmXUaP</f>
        <v>#NAME?</v>
      </c>
      <c r="B47">
        <v>15</v>
      </c>
      <c r="C47">
        <v>47</v>
      </c>
      <c r="D47">
        <v>16.95</v>
      </c>
      <c r="E47" t="s">
        <v>8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1.0531113364595619</v>
      </c>
    </row>
    <row r="48" spans="1:9" hidden="1" x14ac:dyDescent="0.35">
      <c r="A48" t="e">
        <f>-L4gyINFUhk9VxjmXUaQ</f>
        <v>#NAME?</v>
      </c>
      <c r="B48">
        <v>30</v>
      </c>
      <c r="C48">
        <v>48</v>
      </c>
      <c r="D48">
        <v>21.28</v>
      </c>
      <c r="E48" t="s">
        <v>5</v>
      </c>
      <c r="F48">
        <f t="shared" si="0"/>
        <v>3.1448621429157333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35">
      <c r="A49" t="e">
        <f>-L4gyINGcSW9-L3akr5x</f>
        <v>#NAME?</v>
      </c>
      <c r="B49">
        <v>10</v>
      </c>
      <c r="C49">
        <v>49</v>
      </c>
      <c r="D49">
        <v>13.16</v>
      </c>
      <c r="E49" t="s">
        <v>8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1.7158933705476052</v>
      </c>
    </row>
    <row r="50" spans="1:9" hidden="1" x14ac:dyDescent="0.35">
      <c r="A50" t="e">
        <f>-L4gyINGcSW9-L3akr5y</f>
        <v>#NAME?</v>
      </c>
      <c r="B50">
        <v>5</v>
      </c>
      <c r="C50">
        <v>50</v>
      </c>
      <c r="D50">
        <v>7.89</v>
      </c>
      <c r="E50" t="s">
        <v>7</v>
      </c>
      <c r="F50">
        <f t="shared" si="0"/>
        <v>0</v>
      </c>
      <c r="G50">
        <f t="shared" si="1"/>
        <v>1.5921580021253601</v>
      </c>
      <c r="H50">
        <f t="shared" si="2"/>
        <v>0</v>
      </c>
      <c r="I50">
        <f t="shared" si="3"/>
        <v>0</v>
      </c>
    </row>
    <row r="51" spans="1:9" x14ac:dyDescent="0.35">
      <c r="A51" t="e">
        <f>-L4gyINGcSW9-L3akr5z</f>
        <v>#NAME?</v>
      </c>
      <c r="B51">
        <v>60</v>
      </c>
      <c r="C51">
        <v>51</v>
      </c>
      <c r="D51">
        <v>61.84</v>
      </c>
      <c r="E51" t="s">
        <v>8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0.9745293124838843</v>
      </c>
    </row>
    <row r="52" spans="1:9" x14ac:dyDescent="0.35">
      <c r="A52" t="e">
        <f>-L4gyINH_9XxDFzXIj98</f>
        <v>#NAME?</v>
      </c>
      <c r="B52">
        <v>50</v>
      </c>
      <c r="C52">
        <v>52</v>
      </c>
      <c r="D52">
        <v>50</v>
      </c>
      <c r="E52" t="s">
        <v>8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-3</v>
      </c>
    </row>
    <row r="53" spans="1:9" x14ac:dyDescent="0.35">
      <c r="A53" t="e">
        <f>-L4gyINH_9XxDFzXIj99</f>
        <v>#NAME?</v>
      </c>
      <c r="B53">
        <v>60</v>
      </c>
      <c r="C53">
        <v>53</v>
      </c>
      <c r="D53">
        <v>67.05</v>
      </c>
      <c r="E53" t="s">
        <v>8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2.8429788317883249</v>
      </c>
    </row>
    <row r="54" spans="1:9" x14ac:dyDescent="0.35">
      <c r="A54" t="e">
        <f>-L4gyINH_9XxDFzXIj9A</f>
        <v>#NAME?</v>
      </c>
      <c r="B54">
        <v>85</v>
      </c>
      <c r="C54">
        <v>54</v>
      </c>
      <c r="D54">
        <v>87.23</v>
      </c>
      <c r="E54" t="s">
        <v>8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1.235727059838061</v>
      </c>
    </row>
    <row r="55" spans="1:9" x14ac:dyDescent="0.35">
      <c r="A55" t="e">
        <f>-L4gyINIg5vYxiAKoBI3</f>
        <v>#NAME?</v>
      </c>
      <c r="B55">
        <v>10</v>
      </c>
      <c r="C55">
        <v>55</v>
      </c>
      <c r="D55">
        <v>12.77</v>
      </c>
      <c r="E55" t="s">
        <v>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1.5335633482145117</v>
      </c>
    </row>
    <row r="56" spans="1:9" hidden="1" x14ac:dyDescent="0.35">
      <c r="A56" t="e">
        <f>-L4gyINIg5vYxiAKoBI4</f>
        <v>#NAME?</v>
      </c>
      <c r="B56">
        <v>60</v>
      </c>
      <c r="C56">
        <v>56</v>
      </c>
      <c r="D56">
        <v>49.4</v>
      </c>
      <c r="E56" t="s">
        <v>7</v>
      </c>
      <c r="F56">
        <f t="shared" si="0"/>
        <v>0</v>
      </c>
      <c r="G56">
        <f t="shared" si="1"/>
        <v>3.4229057426121834</v>
      </c>
      <c r="H56">
        <f t="shared" si="2"/>
        <v>0</v>
      </c>
      <c r="I56">
        <f t="shared" si="3"/>
        <v>0</v>
      </c>
    </row>
    <row r="57" spans="1:9" hidden="1" x14ac:dyDescent="0.35">
      <c r="A57" t="e">
        <f>-L4gyINIg5vYxiAKoBI5</f>
        <v>#NAME?</v>
      </c>
      <c r="B57">
        <v>50</v>
      </c>
      <c r="C57">
        <v>57</v>
      </c>
      <c r="D57">
        <v>50</v>
      </c>
      <c r="E57" t="s">
        <v>5</v>
      </c>
      <c r="F57">
        <f t="shared" si="0"/>
        <v>-3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hidden="1" x14ac:dyDescent="0.35">
      <c r="A58" t="e">
        <f>-L4gyINJCxdGaA-fhiUR</f>
        <v>#NAME?</v>
      </c>
      <c r="B58">
        <v>70</v>
      </c>
      <c r="C58">
        <v>58</v>
      </c>
      <c r="D58">
        <v>66.67</v>
      </c>
      <c r="E58" t="s">
        <v>7</v>
      </c>
      <c r="F58">
        <f t="shared" si="0"/>
        <v>0</v>
      </c>
      <c r="G58">
        <f t="shared" si="1"/>
        <v>1.7886857106135332</v>
      </c>
      <c r="H58">
        <f t="shared" si="2"/>
        <v>0</v>
      </c>
      <c r="I58">
        <f t="shared" si="3"/>
        <v>0</v>
      </c>
    </row>
    <row r="59" spans="1:9" hidden="1" x14ac:dyDescent="0.35">
      <c r="A59" t="e">
        <f>-L4gyINJCxdGaA-fhiUS</f>
        <v>#NAME?</v>
      </c>
      <c r="B59">
        <v>95</v>
      </c>
      <c r="C59">
        <v>59</v>
      </c>
      <c r="D59">
        <v>91.57</v>
      </c>
      <c r="E59" t="s">
        <v>5</v>
      </c>
      <c r="F59">
        <f t="shared" si="0"/>
        <v>1.8298495598446933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hidden="1" x14ac:dyDescent="0.35">
      <c r="A60" t="e">
        <f>-L4gyINJCxdGaA-fhiUT</f>
        <v>#NAME?</v>
      </c>
      <c r="B60">
        <v>5</v>
      </c>
      <c r="C60">
        <v>60</v>
      </c>
      <c r="D60">
        <v>10.17</v>
      </c>
      <c r="E60" t="s">
        <v>6</v>
      </c>
      <c r="F60">
        <f t="shared" si="0"/>
        <v>0</v>
      </c>
      <c r="G60">
        <f t="shared" si="1"/>
        <v>0</v>
      </c>
      <c r="H60">
        <f t="shared" si="2"/>
        <v>2.4046306842176119</v>
      </c>
      <c r="I60">
        <f t="shared" si="3"/>
        <v>0</v>
      </c>
    </row>
    <row r="61" spans="1:9" hidden="1" x14ac:dyDescent="0.35">
      <c r="A61" t="e">
        <f>-L4gyINJCxdGaA-fhiUU</f>
        <v>#NAME?</v>
      </c>
      <c r="B61">
        <v>20</v>
      </c>
      <c r="C61">
        <v>61</v>
      </c>
      <c r="D61">
        <v>21.28</v>
      </c>
      <c r="E61" t="s">
        <v>6</v>
      </c>
      <c r="F61">
        <f t="shared" si="0"/>
        <v>0</v>
      </c>
      <c r="G61">
        <f t="shared" si="1"/>
        <v>0</v>
      </c>
      <c r="H61">
        <f t="shared" si="2"/>
        <v>0.49057013044620257</v>
      </c>
      <c r="I61">
        <f t="shared" si="3"/>
        <v>0</v>
      </c>
    </row>
    <row r="62" spans="1:9" hidden="1" x14ac:dyDescent="0.35">
      <c r="A62" t="e">
        <f>-L4gyINK8Y8KtLlGqMcc</f>
        <v>#NAME?</v>
      </c>
      <c r="B62">
        <v>5</v>
      </c>
      <c r="C62">
        <v>62</v>
      </c>
      <c r="D62">
        <v>12.77</v>
      </c>
      <c r="E62" t="s">
        <v>6</v>
      </c>
      <c r="F62">
        <f t="shared" si="0"/>
        <v>0</v>
      </c>
      <c r="G62">
        <f t="shared" si="1"/>
        <v>0</v>
      </c>
      <c r="H62">
        <f t="shared" si="2"/>
        <v>2.9809392660855121</v>
      </c>
      <c r="I62">
        <f t="shared" si="3"/>
        <v>0</v>
      </c>
    </row>
    <row r="63" spans="1:9" hidden="1" x14ac:dyDescent="0.35">
      <c r="A63" t="e">
        <f>-L4gyINK8Y8KtLlGqMcd</f>
        <v>#NAME?</v>
      </c>
      <c r="B63">
        <v>65</v>
      </c>
      <c r="C63">
        <v>63</v>
      </c>
      <c r="D63">
        <v>61.84</v>
      </c>
      <c r="E63" t="s">
        <v>5</v>
      </c>
      <c r="F63">
        <f t="shared" si="0"/>
        <v>1.7158933705476036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hidden="1" x14ac:dyDescent="0.35">
      <c r="A64" t="e">
        <f>-L4gyINK8Y8KtLlGqMce</f>
        <v>#NAME?</v>
      </c>
      <c r="B64">
        <v>20</v>
      </c>
      <c r="C64">
        <v>64</v>
      </c>
      <c r="D64">
        <v>16.95</v>
      </c>
      <c r="E64" t="s">
        <v>5</v>
      </c>
      <c r="F64">
        <f t="shared" si="0"/>
        <v>1.6667565918848037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hidden="1" x14ac:dyDescent="0.35">
      <c r="A65" t="e">
        <f>-L4gyINLDeKNe2XLguDK</f>
        <v>#NAME?</v>
      </c>
      <c r="B65">
        <v>20</v>
      </c>
      <c r="C65">
        <v>65</v>
      </c>
      <c r="D65">
        <v>33.9</v>
      </c>
      <c r="E65" t="s">
        <v>7</v>
      </c>
      <c r="F65">
        <f t="shared" si="0"/>
        <v>0</v>
      </c>
      <c r="G65">
        <f t="shared" si="1"/>
        <v>3.8099288657214303</v>
      </c>
      <c r="H65">
        <f t="shared" si="2"/>
        <v>0</v>
      </c>
      <c r="I65">
        <f t="shared" si="3"/>
        <v>0</v>
      </c>
    </row>
    <row r="66" spans="1:9" x14ac:dyDescent="0.35">
      <c r="A66" t="e">
        <f>-L4gyINLDeKNe2XLguDL</f>
        <v>#NAME?</v>
      </c>
      <c r="B66">
        <v>80</v>
      </c>
      <c r="C66">
        <v>66</v>
      </c>
      <c r="D66">
        <v>79.66</v>
      </c>
      <c r="E66" t="s">
        <v>8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-1.1046973786666827</v>
      </c>
    </row>
    <row r="67" spans="1:9" hidden="1" x14ac:dyDescent="0.35">
      <c r="A67" t="e">
        <f>-L4gyINLDeKNe2XLguDM</f>
        <v>#NAME?</v>
      </c>
      <c r="B67">
        <v>15</v>
      </c>
      <c r="C67">
        <v>67</v>
      </c>
      <c r="D67">
        <v>12.05</v>
      </c>
      <c r="E67" t="s">
        <v>5</v>
      </c>
      <c r="F67">
        <f t="shared" ref="F67:F130" si="4">IF(EXACT(E67, "Bar"),LOG(ABS(B67-D67) + 1/8, 2), 0)</f>
        <v>1.6205864104518775</v>
      </c>
      <c r="G67">
        <f t="shared" ref="G67:G130" si="5">IF(EXACT(E67, "Pie"),LOG(ABS(B67-D67) + 1/8, 2), 0)</f>
        <v>0</v>
      </c>
      <c r="H67">
        <f t="shared" ref="H67:H130" si="6">IF(EXACT(E67, "HBar"),LOG(ABS(B67-D67) + 1/8, 2), 0)</f>
        <v>0</v>
      </c>
      <c r="I67">
        <f t="shared" ref="I67:I130" si="7">IF(EXACT(E67, "UDBar"),LOG(ABS(B67-D67) + 1/8, 2), 0)</f>
        <v>0</v>
      </c>
    </row>
    <row r="68" spans="1:9" x14ac:dyDescent="0.35">
      <c r="A68" t="e">
        <f>-L4gyINLDeKNe2XLguDN</f>
        <v>#NAME?</v>
      </c>
      <c r="B68">
        <v>10</v>
      </c>
      <c r="C68">
        <v>68</v>
      </c>
      <c r="D68">
        <v>11.36</v>
      </c>
      <c r="E68" t="s">
        <v>8</v>
      </c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0.57046293102604051</v>
      </c>
    </row>
    <row r="69" spans="1:9" hidden="1" x14ac:dyDescent="0.35">
      <c r="A69" t="e">
        <f>-L4gyINMswHpzBp7BBxA</f>
        <v>#NAME?</v>
      </c>
      <c r="B69">
        <v>30</v>
      </c>
      <c r="C69">
        <v>69</v>
      </c>
      <c r="D69">
        <v>33.9</v>
      </c>
      <c r="E69" t="s">
        <v>6</v>
      </c>
      <c r="F69">
        <f t="shared" si="4"/>
        <v>0</v>
      </c>
      <c r="G69">
        <f t="shared" si="5"/>
        <v>0</v>
      </c>
      <c r="H69">
        <f t="shared" si="6"/>
        <v>2.0089887832272542</v>
      </c>
      <c r="I69">
        <f t="shared" si="7"/>
        <v>0</v>
      </c>
    </row>
    <row r="70" spans="1:9" x14ac:dyDescent="0.35">
      <c r="A70" t="e">
        <f>-L4gyINMswHpzBp7BBxB</f>
        <v>#NAME?</v>
      </c>
      <c r="B70">
        <v>95</v>
      </c>
      <c r="C70">
        <v>70</v>
      </c>
      <c r="D70">
        <v>94.32</v>
      </c>
      <c r="E70" t="s">
        <v>8</v>
      </c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-0.31293931166009553</v>
      </c>
    </row>
    <row r="71" spans="1:9" hidden="1" x14ac:dyDescent="0.35">
      <c r="A71" t="e">
        <f>-L4gyINMswHpzBp7BBxC</f>
        <v>#NAME?</v>
      </c>
      <c r="B71">
        <v>70</v>
      </c>
      <c r="C71">
        <v>71</v>
      </c>
      <c r="D71">
        <v>67.05</v>
      </c>
      <c r="E71" t="s">
        <v>6</v>
      </c>
      <c r="F71">
        <f t="shared" si="4"/>
        <v>0</v>
      </c>
      <c r="G71">
        <f t="shared" si="5"/>
        <v>0</v>
      </c>
      <c r="H71">
        <f t="shared" si="6"/>
        <v>1.620586410451879</v>
      </c>
      <c r="I71">
        <f t="shared" si="7"/>
        <v>0</v>
      </c>
    </row>
    <row r="72" spans="1:9" hidden="1" x14ac:dyDescent="0.35">
      <c r="A72" t="e">
        <f>-L4gyINN2-xAR1ZCOMI2</f>
        <v>#NAME?</v>
      </c>
      <c r="B72">
        <v>40</v>
      </c>
      <c r="C72">
        <v>72</v>
      </c>
      <c r="D72">
        <v>30</v>
      </c>
      <c r="E72" t="s">
        <v>5</v>
      </c>
      <c r="F72">
        <f t="shared" si="4"/>
        <v>3.3398500028846252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hidden="1" x14ac:dyDescent="0.35">
      <c r="A73" t="e">
        <f>-L4gyINN2-xAR1ZCOMI3</f>
        <v>#NAME?</v>
      </c>
      <c r="B73">
        <v>65</v>
      </c>
      <c r="C73">
        <v>73</v>
      </c>
      <c r="D73">
        <v>71.08</v>
      </c>
      <c r="E73" t="s">
        <v>5</v>
      </c>
      <c r="F73">
        <f t="shared" si="4"/>
        <v>2.6334312103556319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hidden="1" x14ac:dyDescent="0.35">
      <c r="A74" t="e">
        <f>-L4gyINN2-xAR1ZCOMI4</f>
        <v>#NAME?</v>
      </c>
      <c r="B74">
        <v>50</v>
      </c>
      <c r="C74">
        <v>74</v>
      </c>
      <c r="D74">
        <v>46.59</v>
      </c>
      <c r="E74" t="s">
        <v>7</v>
      </c>
      <c r="F74">
        <f t="shared" si="4"/>
        <v>0</v>
      </c>
      <c r="G74">
        <f t="shared" si="5"/>
        <v>1.8217102150346727</v>
      </c>
      <c r="H74">
        <f t="shared" si="6"/>
        <v>0</v>
      </c>
      <c r="I74">
        <f t="shared" si="7"/>
        <v>0</v>
      </c>
    </row>
    <row r="75" spans="1:9" hidden="1" x14ac:dyDescent="0.35">
      <c r="A75" t="e">
        <f>-L4gyINN2-xAR1ZCOMI5</f>
        <v>#NAME?</v>
      </c>
      <c r="B75">
        <v>100</v>
      </c>
      <c r="C75">
        <v>75</v>
      </c>
      <c r="D75">
        <v>73.17</v>
      </c>
      <c r="E75" t="s">
        <v>7</v>
      </c>
      <c r="F75">
        <f t="shared" si="4"/>
        <v>0</v>
      </c>
      <c r="G75">
        <f t="shared" si="5"/>
        <v>4.7524810044563734</v>
      </c>
      <c r="H75">
        <f t="shared" si="6"/>
        <v>0</v>
      </c>
      <c r="I75">
        <f t="shared" si="7"/>
        <v>0</v>
      </c>
    </row>
    <row r="76" spans="1:9" hidden="1" x14ac:dyDescent="0.35">
      <c r="A76" t="e">
        <f>-L4gyINOmPs_QKmTe6HN</f>
        <v>#NAME?</v>
      </c>
      <c r="B76">
        <v>40</v>
      </c>
      <c r="C76">
        <v>76</v>
      </c>
      <c r="D76">
        <v>50.85</v>
      </c>
      <c r="E76" t="s">
        <v>7</v>
      </c>
      <c r="F76">
        <f t="shared" si="4"/>
        <v>0</v>
      </c>
      <c r="G76">
        <f t="shared" si="5"/>
        <v>3.4561490346479964</v>
      </c>
      <c r="H76">
        <f t="shared" si="6"/>
        <v>0</v>
      </c>
      <c r="I76">
        <f t="shared" si="7"/>
        <v>0</v>
      </c>
    </row>
    <row r="77" spans="1:9" hidden="1" x14ac:dyDescent="0.35">
      <c r="A77" t="e">
        <f>-L4gyINOmPs_QKmTe6HO</f>
        <v>#NAME?</v>
      </c>
      <c r="B77">
        <v>30</v>
      </c>
      <c r="C77">
        <v>77</v>
      </c>
      <c r="D77">
        <v>24.39</v>
      </c>
      <c r="E77" t="s">
        <v>5</v>
      </c>
      <c r="F77">
        <f t="shared" si="4"/>
        <v>2.5197934862411002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35">
      <c r="A78" t="e">
        <f>-L4gyINOmPs_QKmTe6HP</f>
        <v>#NAME?</v>
      </c>
      <c r="B78">
        <v>40</v>
      </c>
      <c r="C78">
        <v>78</v>
      </c>
      <c r="D78">
        <v>42.55</v>
      </c>
      <c r="E78" t="s">
        <v>8</v>
      </c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1.4195388915137832</v>
      </c>
    </row>
    <row r="79" spans="1:9" hidden="1" x14ac:dyDescent="0.35">
      <c r="A79" t="e">
        <f>-L4gyINP_6PNHwsOQO5X</f>
        <v>#NAME?</v>
      </c>
      <c r="B79">
        <v>10</v>
      </c>
      <c r="C79">
        <v>79</v>
      </c>
      <c r="D79">
        <v>14.63</v>
      </c>
      <c r="E79" t="s">
        <v>7</v>
      </c>
      <c r="F79">
        <f t="shared" si="4"/>
        <v>0</v>
      </c>
      <c r="G79">
        <f t="shared" si="5"/>
        <v>2.2494453410858388</v>
      </c>
      <c r="H79">
        <f t="shared" si="6"/>
        <v>0</v>
      </c>
      <c r="I79">
        <f t="shared" si="7"/>
        <v>0</v>
      </c>
    </row>
    <row r="80" spans="1:9" hidden="1" x14ac:dyDescent="0.35">
      <c r="A80" t="e">
        <f>-L4gyINP_6PNHwsOQO5Y</f>
        <v>#NAME?</v>
      </c>
      <c r="B80">
        <v>100</v>
      </c>
      <c r="C80">
        <v>80</v>
      </c>
      <c r="D80">
        <v>73.17</v>
      </c>
      <c r="E80" t="s">
        <v>7</v>
      </c>
      <c r="F80">
        <f t="shared" si="4"/>
        <v>0</v>
      </c>
      <c r="G80">
        <f t="shared" si="5"/>
        <v>4.7524810044563734</v>
      </c>
      <c r="H80">
        <f t="shared" si="6"/>
        <v>0</v>
      </c>
      <c r="I80">
        <f t="shared" si="7"/>
        <v>0</v>
      </c>
    </row>
    <row r="81" spans="1:9" hidden="1" x14ac:dyDescent="0.35">
      <c r="A81" t="e">
        <f>-L4gyINP_6PNHwsOQO5Z</f>
        <v>#NAME?</v>
      </c>
      <c r="B81">
        <v>10</v>
      </c>
      <c r="C81">
        <v>81</v>
      </c>
      <c r="D81">
        <v>10.17</v>
      </c>
      <c r="E81" t="s">
        <v>6</v>
      </c>
      <c r="F81">
        <f t="shared" si="4"/>
        <v>0</v>
      </c>
      <c r="G81">
        <f t="shared" si="5"/>
        <v>0</v>
      </c>
      <c r="H81">
        <f t="shared" si="6"/>
        <v>-1.7612131404128839</v>
      </c>
      <c r="I81">
        <f t="shared" si="7"/>
        <v>0</v>
      </c>
    </row>
    <row r="82" spans="1:9" hidden="1" x14ac:dyDescent="0.35">
      <c r="A82" t="e">
        <f>-L4gyINQw982Vb2AMCpz</f>
        <v>#NAME?</v>
      </c>
      <c r="B82">
        <v>50</v>
      </c>
      <c r="C82">
        <v>82</v>
      </c>
      <c r="D82">
        <v>48.78</v>
      </c>
      <c r="E82" t="s">
        <v>6</v>
      </c>
      <c r="F82">
        <f t="shared" si="4"/>
        <v>0</v>
      </c>
      <c r="G82">
        <f t="shared" si="5"/>
        <v>0</v>
      </c>
      <c r="H82">
        <f t="shared" si="6"/>
        <v>0.42760617278189827</v>
      </c>
      <c r="I82">
        <f t="shared" si="7"/>
        <v>0</v>
      </c>
    </row>
    <row r="83" spans="1:9" hidden="1" x14ac:dyDescent="0.35">
      <c r="A83" t="s">
        <v>9</v>
      </c>
      <c r="B83">
        <v>10</v>
      </c>
      <c r="C83">
        <v>83</v>
      </c>
      <c r="D83">
        <v>13.16</v>
      </c>
      <c r="E83" t="s">
        <v>6</v>
      </c>
      <c r="F83">
        <f t="shared" si="4"/>
        <v>0</v>
      </c>
      <c r="G83">
        <f t="shared" si="5"/>
        <v>0</v>
      </c>
      <c r="H83">
        <f t="shared" si="6"/>
        <v>1.7158933705476052</v>
      </c>
      <c r="I83">
        <f t="shared" si="7"/>
        <v>0</v>
      </c>
    </row>
    <row r="84" spans="1:9" x14ac:dyDescent="0.35">
      <c r="A84" t="e">
        <f>-L4gyINR9qQNsyVBLNc5</f>
        <v>#NAME?</v>
      </c>
      <c r="B84">
        <v>75</v>
      </c>
      <c r="C84">
        <v>84</v>
      </c>
      <c r="D84">
        <v>77.63</v>
      </c>
      <c r="E84" t="s">
        <v>8</v>
      </c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1.4620523187964305</v>
      </c>
    </row>
    <row r="85" spans="1:9" hidden="1" x14ac:dyDescent="0.35">
      <c r="A85" t="e">
        <f>-L4gyINR9qQNsyVBLNc6</f>
        <v>#NAME?</v>
      </c>
      <c r="B85">
        <v>80</v>
      </c>
      <c r="C85">
        <v>85</v>
      </c>
      <c r="D85">
        <v>77.63</v>
      </c>
      <c r="E85" t="s">
        <v>6</v>
      </c>
      <c r="F85">
        <f t="shared" si="4"/>
        <v>0</v>
      </c>
      <c r="G85">
        <f t="shared" si="5"/>
        <v>0</v>
      </c>
      <c r="H85">
        <f t="shared" si="6"/>
        <v>1.3190398155625385</v>
      </c>
      <c r="I85">
        <f t="shared" si="7"/>
        <v>0</v>
      </c>
    </row>
    <row r="86" spans="1:9" hidden="1" x14ac:dyDescent="0.35">
      <c r="A86" t="e">
        <f>-L4gyINR9qQNsyVBLNc7</f>
        <v>#NAME?</v>
      </c>
      <c r="B86">
        <v>85</v>
      </c>
      <c r="C86">
        <v>86</v>
      </c>
      <c r="D86">
        <v>87.23</v>
      </c>
      <c r="E86" t="s">
        <v>5</v>
      </c>
      <c r="F86">
        <f t="shared" si="4"/>
        <v>1.235727059838061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1:9" hidden="1" x14ac:dyDescent="0.35">
      <c r="A87" t="e">
        <f>-L4gyINR9qQNsyVBLNc8</f>
        <v>#NAME?</v>
      </c>
      <c r="B87">
        <v>95</v>
      </c>
      <c r="C87">
        <v>87</v>
      </c>
      <c r="D87">
        <v>67.05</v>
      </c>
      <c r="E87" t="s">
        <v>7</v>
      </c>
      <c r="F87">
        <f t="shared" si="4"/>
        <v>0</v>
      </c>
      <c r="G87">
        <f t="shared" si="5"/>
        <v>4.8112141175132397</v>
      </c>
      <c r="H87">
        <f t="shared" si="6"/>
        <v>0</v>
      </c>
      <c r="I87">
        <f t="shared" si="7"/>
        <v>0</v>
      </c>
    </row>
    <row r="88" spans="1:9" hidden="1" x14ac:dyDescent="0.35">
      <c r="A88" t="e">
        <f>-L4gyINSlQfwWtVjIUG0</f>
        <v>#NAME?</v>
      </c>
      <c r="B88">
        <v>50</v>
      </c>
      <c r="C88">
        <v>88</v>
      </c>
      <c r="D88">
        <v>53.95</v>
      </c>
      <c r="E88" t="s">
        <v>6</v>
      </c>
      <c r="F88">
        <f t="shared" si="4"/>
        <v>0</v>
      </c>
      <c r="G88">
        <f t="shared" si="5"/>
        <v>0</v>
      </c>
      <c r="H88">
        <f t="shared" si="6"/>
        <v>2.0268000593437163</v>
      </c>
      <c r="I88">
        <f t="shared" si="7"/>
        <v>0</v>
      </c>
    </row>
    <row r="89" spans="1:9" x14ac:dyDescent="0.35">
      <c r="A89" t="e">
        <f>-L4gyINSlQfwWtVjIUG1</f>
        <v>#NAME?</v>
      </c>
      <c r="B89">
        <v>10</v>
      </c>
      <c r="C89">
        <v>89</v>
      </c>
      <c r="D89">
        <v>7.89</v>
      </c>
      <c r="E89" t="s">
        <v>8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1.1602748314085933</v>
      </c>
    </row>
    <row r="90" spans="1:9" hidden="1" x14ac:dyDescent="0.35">
      <c r="A90" t="e">
        <f>-L4gyINSlQfwWtVjIUG2</f>
        <v>#NAME?</v>
      </c>
      <c r="B90">
        <v>80</v>
      </c>
      <c r="C90">
        <v>90</v>
      </c>
      <c r="D90">
        <v>66.67</v>
      </c>
      <c r="E90" t="s">
        <v>7</v>
      </c>
      <c r="F90">
        <f t="shared" si="4"/>
        <v>0</v>
      </c>
      <c r="G90">
        <f t="shared" si="5"/>
        <v>3.750070485865693</v>
      </c>
      <c r="H90">
        <f t="shared" si="6"/>
        <v>0</v>
      </c>
      <c r="I90">
        <f t="shared" si="7"/>
        <v>0</v>
      </c>
    </row>
    <row r="91" spans="1:9" hidden="1" x14ac:dyDescent="0.35">
      <c r="A91" t="e">
        <f>-L4gyINTaIPtnEa0VxFz</f>
        <v>#NAME?</v>
      </c>
      <c r="B91">
        <v>65</v>
      </c>
      <c r="C91">
        <v>91</v>
      </c>
      <c r="D91">
        <v>56.63</v>
      </c>
      <c r="E91" t="s">
        <v>6</v>
      </c>
      <c r="F91">
        <f t="shared" si="4"/>
        <v>0</v>
      </c>
      <c r="G91">
        <f t="shared" si="5"/>
        <v>0</v>
      </c>
      <c r="H91">
        <f t="shared" si="6"/>
        <v>3.086613947409496</v>
      </c>
      <c r="I91">
        <f t="shared" si="7"/>
        <v>0</v>
      </c>
    </row>
    <row r="92" spans="1:9" hidden="1" x14ac:dyDescent="0.35">
      <c r="A92" t="s">
        <v>10</v>
      </c>
      <c r="B92">
        <v>20</v>
      </c>
      <c r="C92">
        <v>92</v>
      </c>
      <c r="D92">
        <v>16.95</v>
      </c>
      <c r="E92" t="s">
        <v>5</v>
      </c>
      <c r="F92">
        <f t="shared" si="4"/>
        <v>1.6667565918848037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hidden="1" x14ac:dyDescent="0.35">
      <c r="A93" t="e">
        <f>-L4gyINTaIPtnEa0VxG0</f>
        <v>#NAME?</v>
      </c>
      <c r="B93">
        <v>20</v>
      </c>
      <c r="C93">
        <v>93</v>
      </c>
      <c r="D93">
        <v>16.95</v>
      </c>
      <c r="E93" t="s">
        <v>5</v>
      </c>
      <c r="F93">
        <f t="shared" si="4"/>
        <v>1.6667565918848037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hidden="1" x14ac:dyDescent="0.35">
      <c r="A94" t="e">
        <f>-L4gyINTaIPtnEa0VxG1</f>
        <v>#NAME?</v>
      </c>
      <c r="B94">
        <v>10</v>
      </c>
      <c r="C94">
        <v>94</v>
      </c>
      <c r="D94">
        <v>11.36</v>
      </c>
      <c r="E94" t="s">
        <v>7</v>
      </c>
      <c r="F94">
        <f t="shared" si="4"/>
        <v>0</v>
      </c>
      <c r="G94">
        <f t="shared" si="5"/>
        <v>0.57046293102604051</v>
      </c>
      <c r="H94">
        <f t="shared" si="6"/>
        <v>0</v>
      </c>
      <c r="I94">
        <f t="shared" si="7"/>
        <v>0</v>
      </c>
    </row>
    <row r="95" spans="1:9" x14ac:dyDescent="0.35">
      <c r="A95" t="e">
        <f>-L4gyINU4ITJfMe18Vox</f>
        <v>#NAME?</v>
      </c>
      <c r="B95">
        <v>40</v>
      </c>
      <c r="C95">
        <v>95</v>
      </c>
      <c r="D95">
        <v>36.14</v>
      </c>
      <c r="E95" t="s">
        <v>8</v>
      </c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1.994579724215747</v>
      </c>
    </row>
    <row r="96" spans="1:9" hidden="1" x14ac:dyDescent="0.35">
      <c r="A96" t="e">
        <f>-L4gyINV9ZyiWem9LOiO</f>
        <v>#NAME?</v>
      </c>
      <c r="B96">
        <v>60</v>
      </c>
      <c r="C96">
        <v>96</v>
      </c>
      <c r="D96">
        <v>63.83</v>
      </c>
      <c r="E96" t="s">
        <v>6</v>
      </c>
      <c r="F96">
        <f t="shared" si="4"/>
        <v>0</v>
      </c>
      <c r="G96">
        <f t="shared" si="5"/>
        <v>0</v>
      </c>
      <c r="H96">
        <f t="shared" si="6"/>
        <v>1.9836776946980668</v>
      </c>
      <c r="I96">
        <f t="shared" si="7"/>
        <v>0</v>
      </c>
    </row>
    <row r="97" spans="1:9" hidden="1" x14ac:dyDescent="0.35">
      <c r="A97" t="e">
        <f>-L4gyINV9ZyiWem9LOiP</f>
        <v>#NAME?</v>
      </c>
      <c r="B97">
        <v>30</v>
      </c>
      <c r="C97">
        <v>97</v>
      </c>
      <c r="D97">
        <v>33.9</v>
      </c>
      <c r="E97" t="s">
        <v>6</v>
      </c>
      <c r="F97">
        <f t="shared" si="4"/>
        <v>0</v>
      </c>
      <c r="G97">
        <f t="shared" si="5"/>
        <v>0</v>
      </c>
      <c r="H97">
        <f t="shared" si="6"/>
        <v>2.0089887832272542</v>
      </c>
      <c r="I97">
        <f t="shared" si="7"/>
        <v>0</v>
      </c>
    </row>
    <row r="98" spans="1:9" hidden="1" x14ac:dyDescent="0.35">
      <c r="A98" t="e">
        <f>-L4gyINWVNjOnK8b_kz0</f>
        <v>#NAME?</v>
      </c>
      <c r="B98">
        <v>40</v>
      </c>
      <c r="C98">
        <v>98</v>
      </c>
      <c r="D98">
        <v>36.14</v>
      </c>
      <c r="E98" t="s">
        <v>6</v>
      </c>
      <c r="F98">
        <f t="shared" si="4"/>
        <v>0</v>
      </c>
      <c r="G98">
        <f t="shared" si="5"/>
        <v>0</v>
      </c>
      <c r="H98">
        <f t="shared" si="6"/>
        <v>1.994579724215747</v>
      </c>
      <c r="I98">
        <f t="shared" si="7"/>
        <v>0</v>
      </c>
    </row>
    <row r="99" spans="1:9" hidden="1" x14ac:dyDescent="0.35">
      <c r="A99" t="e">
        <f>-L4gyINWVNjOnK8b_kz1</f>
        <v>#NAME?</v>
      </c>
      <c r="B99">
        <v>50</v>
      </c>
      <c r="C99">
        <v>99</v>
      </c>
      <c r="D99">
        <v>53.41</v>
      </c>
      <c r="E99" t="s">
        <v>5</v>
      </c>
      <c r="F99">
        <f t="shared" si="4"/>
        <v>1.8217102150346727</v>
      </c>
      <c r="G99">
        <f t="shared" si="5"/>
        <v>0</v>
      </c>
      <c r="H99">
        <f t="shared" si="6"/>
        <v>0</v>
      </c>
      <c r="I99">
        <f t="shared" si="7"/>
        <v>0</v>
      </c>
    </row>
    <row r="100" spans="1:9" hidden="1" x14ac:dyDescent="0.35">
      <c r="A100" t="e">
        <f>-L4gyINWVNjOnK8b_kz2</f>
        <v>#NAME?</v>
      </c>
      <c r="B100">
        <v>50</v>
      </c>
      <c r="C100">
        <v>100</v>
      </c>
      <c r="D100">
        <v>53.41</v>
      </c>
      <c r="E100" t="s">
        <v>5</v>
      </c>
      <c r="F100">
        <f t="shared" si="4"/>
        <v>1.8217102150346727</v>
      </c>
      <c r="G100">
        <f t="shared" si="5"/>
        <v>0</v>
      </c>
      <c r="H100">
        <f t="shared" si="6"/>
        <v>0</v>
      </c>
      <c r="I100">
        <f t="shared" si="7"/>
        <v>0</v>
      </c>
    </row>
    <row r="101" spans="1:9" hidden="1" x14ac:dyDescent="0.35">
      <c r="A101" t="e">
        <f>-L4gyINWVNjOnK8b_kz3</f>
        <v>#NAME?</v>
      </c>
      <c r="B101">
        <v>95</v>
      </c>
      <c r="C101">
        <v>101</v>
      </c>
      <c r="D101">
        <v>73.17</v>
      </c>
      <c r="E101" t="s">
        <v>7</v>
      </c>
      <c r="F101">
        <f t="shared" si="4"/>
        <v>0</v>
      </c>
      <c r="G101">
        <f t="shared" si="5"/>
        <v>4.4564776293518173</v>
      </c>
      <c r="H101">
        <f t="shared" si="6"/>
        <v>0</v>
      </c>
      <c r="I101">
        <f t="shared" si="7"/>
        <v>0</v>
      </c>
    </row>
    <row r="102" spans="1:9" x14ac:dyDescent="0.35">
      <c r="A102" t="e">
        <f>-L4gyINXl9xgguCWnF-s</f>
        <v>#NAME?</v>
      </c>
      <c r="B102">
        <v>30</v>
      </c>
      <c r="C102">
        <v>102</v>
      </c>
      <c r="D102">
        <v>33.33</v>
      </c>
      <c r="E102" t="s">
        <v>8</v>
      </c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1.7886857106135332</v>
      </c>
    </row>
    <row r="103" spans="1:9" hidden="1" x14ac:dyDescent="0.35">
      <c r="A103" t="e">
        <f>-L4gyINXl9xgguCWnF-t</f>
        <v>#NAME?</v>
      </c>
      <c r="B103">
        <v>20</v>
      </c>
      <c r="C103">
        <v>103</v>
      </c>
      <c r="D103">
        <v>12.05</v>
      </c>
      <c r="E103" t="s">
        <v>5</v>
      </c>
      <c r="F103">
        <f t="shared" si="4"/>
        <v>3.0134622598065626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1:9" x14ac:dyDescent="0.35">
      <c r="A104" t="e">
        <f>-L4gyINXl9xgguCWnF-u</f>
        <v>#NAME?</v>
      </c>
      <c r="B104">
        <v>30</v>
      </c>
      <c r="C104">
        <v>104</v>
      </c>
      <c r="D104">
        <v>24.1</v>
      </c>
      <c r="E104" t="s">
        <v>8</v>
      </c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2.5909612413425993</v>
      </c>
    </row>
    <row r="105" spans="1:9" hidden="1" x14ac:dyDescent="0.35">
      <c r="A105" t="e">
        <f>-L4gyINYVqTSGU1I6c0C</f>
        <v>#NAME?</v>
      </c>
      <c r="B105">
        <v>10</v>
      </c>
      <c r="C105">
        <v>105</v>
      </c>
      <c r="D105">
        <v>7.89</v>
      </c>
      <c r="E105" t="s">
        <v>6</v>
      </c>
      <c r="F105">
        <f t="shared" si="4"/>
        <v>0</v>
      </c>
      <c r="G105">
        <f t="shared" si="5"/>
        <v>0</v>
      </c>
      <c r="H105">
        <f t="shared" si="6"/>
        <v>1.1602748314085933</v>
      </c>
      <c r="I105">
        <f t="shared" si="7"/>
        <v>0</v>
      </c>
    </row>
    <row r="106" spans="1:9" x14ac:dyDescent="0.35">
      <c r="A106" t="e">
        <f>-L4gyINYVqTSGU1I6c0D</f>
        <v>#NAME?</v>
      </c>
      <c r="B106">
        <v>40</v>
      </c>
      <c r="C106">
        <v>106</v>
      </c>
      <c r="D106">
        <v>50.85</v>
      </c>
      <c r="E106" t="s">
        <v>8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3.4561490346479964</v>
      </c>
    </row>
    <row r="107" spans="1:9" hidden="1" x14ac:dyDescent="0.35">
      <c r="A107" t="e">
        <f>-L4gyINYVqTSGU1I6c0E</f>
        <v>#NAME?</v>
      </c>
      <c r="B107">
        <v>20</v>
      </c>
      <c r="C107">
        <v>107</v>
      </c>
      <c r="D107">
        <v>24.39</v>
      </c>
      <c r="E107" t="s">
        <v>7</v>
      </c>
      <c r="F107">
        <f t="shared" si="4"/>
        <v>0</v>
      </c>
      <c r="G107">
        <f t="shared" si="5"/>
        <v>2.1747259877061338</v>
      </c>
      <c r="H107">
        <f t="shared" si="6"/>
        <v>0</v>
      </c>
      <c r="I107">
        <f t="shared" si="7"/>
        <v>0</v>
      </c>
    </row>
    <row r="108" spans="1:9" x14ac:dyDescent="0.35">
      <c r="A108" t="e">
        <f>-L4gyINZC2hdX0N_Ysga</f>
        <v>#NAME?</v>
      </c>
      <c r="B108">
        <v>60</v>
      </c>
      <c r="C108">
        <v>108</v>
      </c>
      <c r="D108">
        <v>71.08</v>
      </c>
      <c r="E108" t="s">
        <v>8</v>
      </c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3.4860707437356684</v>
      </c>
    </row>
    <row r="109" spans="1:9" hidden="1" x14ac:dyDescent="0.35">
      <c r="A109" t="e">
        <f>-L4gyINZC2hdX0N_Ysgb</f>
        <v>#NAME?</v>
      </c>
      <c r="B109">
        <v>40</v>
      </c>
      <c r="C109">
        <v>109</v>
      </c>
      <c r="D109">
        <v>34.090000000000003</v>
      </c>
      <c r="E109" t="s">
        <v>6</v>
      </c>
      <c r="F109">
        <f t="shared" si="4"/>
        <v>0</v>
      </c>
      <c r="G109">
        <f t="shared" si="5"/>
        <v>0</v>
      </c>
      <c r="H109">
        <f t="shared" si="6"/>
        <v>2.5933537709802961</v>
      </c>
      <c r="I109">
        <f t="shared" si="7"/>
        <v>0</v>
      </c>
    </row>
    <row r="110" spans="1:9" hidden="1" x14ac:dyDescent="0.35">
      <c r="A110" t="e">
        <f>-L4gyINZC2hdX0N_Ysgc</f>
        <v>#NAME?</v>
      </c>
      <c r="B110">
        <v>60</v>
      </c>
      <c r="C110">
        <v>110</v>
      </c>
      <c r="D110">
        <v>60</v>
      </c>
      <c r="E110" t="s">
        <v>6</v>
      </c>
      <c r="F110">
        <f t="shared" si="4"/>
        <v>0</v>
      </c>
      <c r="G110">
        <f t="shared" si="5"/>
        <v>0</v>
      </c>
      <c r="H110">
        <f t="shared" si="6"/>
        <v>-3</v>
      </c>
      <c r="I110">
        <f t="shared" si="7"/>
        <v>0</v>
      </c>
    </row>
    <row r="111" spans="1:9" hidden="1" x14ac:dyDescent="0.35">
      <c r="A111" t="e">
        <f>-L4gyIN_6WpFMa0tmTO4</f>
        <v>#NAME?</v>
      </c>
      <c r="B111">
        <v>50</v>
      </c>
      <c r="C111">
        <v>111</v>
      </c>
      <c r="D111">
        <v>46.59</v>
      </c>
      <c r="E111" t="s">
        <v>6</v>
      </c>
      <c r="F111">
        <f t="shared" si="4"/>
        <v>0</v>
      </c>
      <c r="G111">
        <f t="shared" si="5"/>
        <v>0</v>
      </c>
      <c r="H111">
        <f t="shared" si="6"/>
        <v>1.8217102150346727</v>
      </c>
      <c r="I111">
        <f t="shared" si="7"/>
        <v>0</v>
      </c>
    </row>
    <row r="112" spans="1:9" hidden="1" x14ac:dyDescent="0.35">
      <c r="A112" t="e">
        <f>-L4gyIN_6WpFMa0tmTO5</f>
        <v>#NAME?</v>
      </c>
      <c r="B112">
        <v>5</v>
      </c>
      <c r="C112">
        <v>112</v>
      </c>
      <c r="D112">
        <v>12.05</v>
      </c>
      <c r="E112" t="s">
        <v>7</v>
      </c>
      <c r="F112">
        <f t="shared" si="4"/>
        <v>0</v>
      </c>
      <c r="G112">
        <f t="shared" si="5"/>
        <v>2.8429788317883258</v>
      </c>
      <c r="H112">
        <f t="shared" si="6"/>
        <v>0</v>
      </c>
      <c r="I112">
        <f t="shared" si="7"/>
        <v>0</v>
      </c>
    </row>
    <row r="113" spans="1:9" hidden="1" x14ac:dyDescent="0.35">
      <c r="A113" t="e">
        <f>-L4gyIN_6WpFMa0tmTO6</f>
        <v>#NAME?</v>
      </c>
      <c r="B113">
        <v>5</v>
      </c>
      <c r="C113">
        <v>113</v>
      </c>
      <c r="D113">
        <v>7.89</v>
      </c>
      <c r="E113" t="s">
        <v>7</v>
      </c>
      <c r="F113">
        <f t="shared" si="4"/>
        <v>0</v>
      </c>
      <c r="G113">
        <f t="shared" si="5"/>
        <v>1.5921580021253601</v>
      </c>
      <c r="H113">
        <f t="shared" si="6"/>
        <v>0</v>
      </c>
      <c r="I113">
        <f t="shared" si="7"/>
        <v>0</v>
      </c>
    </row>
    <row r="114" spans="1:9" hidden="1" x14ac:dyDescent="0.35">
      <c r="A114" t="e">
        <f>-L4gyINaT2sihuBBrYoE</f>
        <v>#NAME?</v>
      </c>
      <c r="B114">
        <v>30</v>
      </c>
      <c r="C114">
        <v>114</v>
      </c>
      <c r="D114">
        <v>49.4</v>
      </c>
      <c r="E114" t="s">
        <v>7</v>
      </c>
      <c r="F114">
        <f t="shared" si="4"/>
        <v>0</v>
      </c>
      <c r="G114">
        <f t="shared" si="5"/>
        <v>4.2872506432546169</v>
      </c>
      <c r="H114">
        <f t="shared" si="6"/>
        <v>0</v>
      </c>
      <c r="I114">
        <f t="shared" si="7"/>
        <v>0</v>
      </c>
    </row>
    <row r="115" spans="1:9" hidden="1" x14ac:dyDescent="0.35">
      <c r="A115" t="e">
        <f>-L4gyINaT2sihuBBrYoF</f>
        <v>#NAME?</v>
      </c>
      <c r="B115">
        <v>5</v>
      </c>
      <c r="C115">
        <v>115</v>
      </c>
      <c r="D115">
        <v>12.05</v>
      </c>
      <c r="E115" t="s">
        <v>7</v>
      </c>
      <c r="F115">
        <f t="shared" si="4"/>
        <v>0</v>
      </c>
      <c r="G115">
        <f t="shared" si="5"/>
        <v>2.8429788317883258</v>
      </c>
      <c r="H115">
        <f t="shared" si="6"/>
        <v>0</v>
      </c>
      <c r="I115">
        <f t="shared" si="7"/>
        <v>0</v>
      </c>
    </row>
    <row r="116" spans="1:9" hidden="1" x14ac:dyDescent="0.35">
      <c r="A116" t="e">
        <f>-L4gyINb6qYyf9DmWq1v</f>
        <v>#NAME?</v>
      </c>
      <c r="B116">
        <v>25</v>
      </c>
      <c r="C116">
        <v>116</v>
      </c>
      <c r="D116">
        <v>30</v>
      </c>
      <c r="E116" t="s">
        <v>7</v>
      </c>
      <c r="F116">
        <f t="shared" si="4"/>
        <v>0</v>
      </c>
      <c r="G116">
        <f t="shared" si="5"/>
        <v>2.3575520046180838</v>
      </c>
      <c r="H116">
        <f t="shared" si="6"/>
        <v>0</v>
      </c>
      <c r="I116">
        <f t="shared" si="7"/>
        <v>0</v>
      </c>
    </row>
    <row r="117" spans="1:9" hidden="1" x14ac:dyDescent="0.35">
      <c r="A117" t="e">
        <f>-L4gyINb6qYyf9DmWq1w</f>
        <v>#NAME?</v>
      </c>
      <c r="B117">
        <v>30</v>
      </c>
      <c r="C117">
        <v>117</v>
      </c>
      <c r="D117">
        <v>33.9</v>
      </c>
      <c r="E117" t="s">
        <v>7</v>
      </c>
      <c r="F117">
        <f t="shared" si="4"/>
        <v>0</v>
      </c>
      <c r="G117">
        <f t="shared" si="5"/>
        <v>2.0089887832272542</v>
      </c>
      <c r="H117">
        <f t="shared" si="6"/>
        <v>0</v>
      </c>
      <c r="I117">
        <f t="shared" si="7"/>
        <v>0</v>
      </c>
    </row>
    <row r="118" spans="1:9" hidden="1" x14ac:dyDescent="0.35">
      <c r="A118" t="e">
        <f>-L4gyINb6qYyf9DmWq1x</f>
        <v>#NAME?</v>
      </c>
      <c r="B118">
        <v>23</v>
      </c>
      <c r="C118">
        <v>118</v>
      </c>
      <c r="D118">
        <v>26.32</v>
      </c>
      <c r="E118" t="s">
        <v>7</v>
      </c>
      <c r="F118">
        <f t="shared" si="4"/>
        <v>0</v>
      </c>
      <c r="G118">
        <f t="shared" si="5"/>
        <v>1.7845039829295668</v>
      </c>
      <c r="H118">
        <f t="shared" si="6"/>
        <v>0</v>
      </c>
      <c r="I118">
        <f t="shared" si="7"/>
        <v>0</v>
      </c>
    </row>
    <row r="119" spans="1:9" hidden="1" x14ac:dyDescent="0.35">
      <c r="A119" t="e">
        <f>-L4gyINcqadt54zbWZQB</f>
        <v>#NAME?</v>
      </c>
      <c r="B119">
        <v>10</v>
      </c>
      <c r="C119">
        <v>119</v>
      </c>
      <c r="D119">
        <v>11.36</v>
      </c>
      <c r="E119" t="s">
        <v>7</v>
      </c>
      <c r="F119">
        <f t="shared" si="4"/>
        <v>0</v>
      </c>
      <c r="G119">
        <f t="shared" si="5"/>
        <v>0.57046293102604051</v>
      </c>
      <c r="H119">
        <f t="shared" si="6"/>
        <v>0</v>
      </c>
      <c r="I119">
        <f t="shared" si="7"/>
        <v>0</v>
      </c>
    </row>
    <row r="120" spans="1:9" hidden="1" x14ac:dyDescent="0.35">
      <c r="A120" t="e">
        <f>-L4gyINcqadt54zbWZQC</f>
        <v>#NAME?</v>
      </c>
      <c r="B120">
        <v>50</v>
      </c>
      <c r="C120">
        <v>120</v>
      </c>
      <c r="D120">
        <v>48.78</v>
      </c>
      <c r="E120" t="s">
        <v>7</v>
      </c>
      <c r="F120">
        <f t="shared" si="4"/>
        <v>0</v>
      </c>
      <c r="G120">
        <f t="shared" si="5"/>
        <v>0.42760617278189827</v>
      </c>
      <c r="H120">
        <f t="shared" si="6"/>
        <v>0</v>
      </c>
      <c r="I120">
        <f t="shared" si="7"/>
        <v>0</v>
      </c>
    </row>
    <row r="121" spans="1:9" hidden="1" x14ac:dyDescent="0.35">
      <c r="A121" t="e">
        <f>-L4gyINcqadt54zbWZQD</f>
        <v>#NAME?</v>
      </c>
      <c r="B121">
        <v>100</v>
      </c>
      <c r="C121">
        <v>121</v>
      </c>
      <c r="D121">
        <v>94.32</v>
      </c>
      <c r="E121" t="s">
        <v>7</v>
      </c>
      <c r="F121">
        <f t="shared" si="4"/>
        <v>0</v>
      </c>
      <c r="G121">
        <f t="shared" si="5"/>
        <v>2.5372960670908435</v>
      </c>
      <c r="H121">
        <f t="shared" si="6"/>
        <v>0</v>
      </c>
      <c r="I121">
        <f t="shared" si="7"/>
        <v>0</v>
      </c>
    </row>
    <row r="122" spans="1:9" hidden="1" x14ac:dyDescent="0.35">
      <c r="A122" t="e">
        <f>-L4h2ef11ofWhd9bswOe</f>
        <v>#NAME?</v>
      </c>
      <c r="B122">
        <v>20</v>
      </c>
      <c r="C122">
        <v>2</v>
      </c>
      <c r="D122">
        <v>19.79</v>
      </c>
      <c r="E122" t="s">
        <v>5</v>
      </c>
      <c r="F122">
        <f t="shared" si="4"/>
        <v>-1.5777669993169487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1:9" x14ac:dyDescent="0.35">
      <c r="A123" t="e">
        <f>-L4h2ef6pTXsUSkZhlGR</f>
        <v>#NAME?</v>
      </c>
      <c r="B123">
        <v>30</v>
      </c>
      <c r="C123">
        <v>3</v>
      </c>
      <c r="D123">
        <v>35.85</v>
      </c>
      <c r="E123" t="s">
        <v>8</v>
      </c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2.5789387130933865</v>
      </c>
    </row>
    <row r="124" spans="1:9" hidden="1" x14ac:dyDescent="0.35">
      <c r="A124" t="e">
        <f>-L4h2ef7V0sqxZY_wksr</f>
        <v>#NAME?</v>
      </c>
      <c r="B124">
        <v>40</v>
      </c>
      <c r="C124">
        <v>4</v>
      </c>
      <c r="D124">
        <v>50</v>
      </c>
      <c r="E124" t="s">
        <v>7</v>
      </c>
      <c r="F124">
        <f t="shared" si="4"/>
        <v>0</v>
      </c>
      <c r="G124">
        <f t="shared" si="5"/>
        <v>3.3398500028846252</v>
      </c>
      <c r="H124">
        <f t="shared" si="6"/>
        <v>0</v>
      </c>
      <c r="I124">
        <f t="shared" si="7"/>
        <v>0</v>
      </c>
    </row>
    <row r="125" spans="1:9" hidden="1" x14ac:dyDescent="0.35">
      <c r="A125" t="e">
        <f>-L4h2ef7V0sqxZY_wkss</f>
        <v>#NAME?</v>
      </c>
      <c r="B125">
        <v>15</v>
      </c>
      <c r="C125">
        <v>5</v>
      </c>
      <c r="D125">
        <v>26.26</v>
      </c>
      <c r="E125" t="s">
        <v>7</v>
      </c>
      <c r="F125">
        <f t="shared" si="4"/>
        <v>0</v>
      </c>
      <c r="G125">
        <f t="shared" si="5"/>
        <v>3.5090623863618982</v>
      </c>
      <c r="H125">
        <f t="shared" si="6"/>
        <v>0</v>
      </c>
      <c r="I125">
        <f t="shared" si="7"/>
        <v>0</v>
      </c>
    </row>
    <row r="126" spans="1:9" hidden="1" x14ac:dyDescent="0.35">
      <c r="A126" t="e">
        <f>-L4h2ef7V0sqxZY_wkst</f>
        <v>#NAME?</v>
      </c>
      <c r="B126">
        <v>52</v>
      </c>
      <c r="C126">
        <v>6</v>
      </c>
      <c r="D126">
        <v>54.72</v>
      </c>
      <c r="E126" t="s">
        <v>5</v>
      </c>
      <c r="F126">
        <f t="shared" si="4"/>
        <v>1.5084286525318567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hidden="1" x14ac:dyDescent="0.35">
      <c r="A127" t="e">
        <f>-L4h2ef83koccrt-licV</f>
        <v>#NAME?</v>
      </c>
      <c r="B127">
        <v>7</v>
      </c>
      <c r="C127">
        <v>7</v>
      </c>
      <c r="D127">
        <v>6.45</v>
      </c>
      <c r="E127" t="s">
        <v>7</v>
      </c>
      <c r="F127">
        <f t="shared" si="4"/>
        <v>0</v>
      </c>
      <c r="G127">
        <f t="shared" si="5"/>
        <v>-0.56704059272389429</v>
      </c>
      <c r="H127">
        <f t="shared" si="6"/>
        <v>0</v>
      </c>
      <c r="I127">
        <f t="shared" si="7"/>
        <v>0</v>
      </c>
    </row>
    <row r="128" spans="1:9" hidden="1" x14ac:dyDescent="0.35">
      <c r="A128" t="e">
        <f>-L4h2ef83koccrt-licW</f>
        <v>#NAME?</v>
      </c>
      <c r="B128">
        <v>5</v>
      </c>
      <c r="C128">
        <v>8</v>
      </c>
      <c r="D128">
        <v>2.02</v>
      </c>
      <c r="E128" t="s">
        <v>7</v>
      </c>
      <c r="F128">
        <f t="shared" si="4"/>
        <v>0</v>
      </c>
      <c r="G128">
        <f t="shared" si="5"/>
        <v>1.6345932684457567</v>
      </c>
      <c r="H128">
        <f t="shared" si="6"/>
        <v>0</v>
      </c>
      <c r="I128">
        <f t="shared" si="7"/>
        <v>0</v>
      </c>
    </row>
    <row r="129" spans="1:9" x14ac:dyDescent="0.35">
      <c r="A129" t="e">
        <f>-L4h2ef83koccrt-licX</f>
        <v>#NAME?</v>
      </c>
      <c r="B129">
        <v>53</v>
      </c>
      <c r="C129">
        <v>9</v>
      </c>
      <c r="D129">
        <v>54.17</v>
      </c>
      <c r="E129" t="s">
        <v>8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0.37295209791183109</v>
      </c>
    </row>
    <row r="130" spans="1:9" hidden="1" x14ac:dyDescent="0.35">
      <c r="A130" t="e">
        <f>-L4h2ef83koccrt-licY</f>
        <v>#NAME?</v>
      </c>
      <c r="B130">
        <v>25</v>
      </c>
      <c r="C130">
        <v>10</v>
      </c>
      <c r="D130">
        <v>19.190000000000001</v>
      </c>
      <c r="E130" t="s">
        <v>6</v>
      </c>
      <c r="F130">
        <f t="shared" si="4"/>
        <v>0</v>
      </c>
      <c r="G130">
        <f t="shared" si="5"/>
        <v>0</v>
      </c>
      <c r="H130">
        <f t="shared" si="6"/>
        <v>2.569248029867182</v>
      </c>
      <c r="I130">
        <f t="shared" si="7"/>
        <v>0</v>
      </c>
    </row>
    <row r="131" spans="1:9" hidden="1" x14ac:dyDescent="0.35">
      <c r="A131" t="e">
        <f>-L4h2ef83koccrt-licZ</f>
        <v>#NAME?</v>
      </c>
      <c r="B131">
        <v>90</v>
      </c>
      <c r="C131">
        <v>11</v>
      </c>
      <c r="D131">
        <v>89.66</v>
      </c>
      <c r="E131" t="s">
        <v>6</v>
      </c>
      <c r="F131">
        <f t="shared" ref="F131:F194" si="8">IF(EXACT(E131, "Bar"),LOG(ABS(B131-D131) + 1/8, 2), 0)</f>
        <v>0</v>
      </c>
      <c r="G131">
        <f t="shared" ref="G131:G194" si="9">IF(EXACT(E131, "Pie"),LOG(ABS(B131-D131) + 1/8, 2), 0)</f>
        <v>0</v>
      </c>
      <c r="H131">
        <f t="shared" ref="H131:H194" si="10">IF(EXACT(E131, "HBar"),LOG(ABS(B131-D131) + 1/8, 2), 0)</f>
        <v>-1.1046973786666827</v>
      </c>
      <c r="I131">
        <f t="shared" ref="I131:I194" si="11">IF(EXACT(E131, "UDBar"),LOG(ABS(B131-D131) + 1/8, 2), 0)</f>
        <v>0</v>
      </c>
    </row>
    <row r="132" spans="1:9" hidden="1" x14ac:dyDescent="0.35">
      <c r="A132" t="e">
        <f>-L4h2ef9lEwYkMROjs5U</f>
        <v>#NAME?</v>
      </c>
      <c r="B132">
        <v>33</v>
      </c>
      <c r="C132">
        <v>12</v>
      </c>
      <c r="D132">
        <v>26.26</v>
      </c>
      <c r="E132" t="s">
        <v>5</v>
      </c>
      <c r="F132">
        <f t="shared" si="8"/>
        <v>2.7792597203723757</v>
      </c>
      <c r="G132">
        <f t="shared" si="9"/>
        <v>0</v>
      </c>
      <c r="H132">
        <f t="shared" si="10"/>
        <v>0</v>
      </c>
      <c r="I132">
        <f t="shared" si="11"/>
        <v>0</v>
      </c>
    </row>
    <row r="133" spans="1:9" hidden="1" x14ac:dyDescent="0.35">
      <c r="A133" t="e">
        <f>-L4h2ef9lEwYkMROjs5V</f>
        <v>#NAME?</v>
      </c>
      <c r="B133">
        <v>60</v>
      </c>
      <c r="C133">
        <v>13</v>
      </c>
      <c r="D133">
        <v>65.52</v>
      </c>
      <c r="E133" t="s">
        <v>5</v>
      </c>
      <c r="F133">
        <f t="shared" si="8"/>
        <v>2.4969735809982749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1:9" x14ac:dyDescent="0.35">
      <c r="A134" t="e">
        <f>-L4h2ef9lEwYkMROjs5W</f>
        <v>#NAME?</v>
      </c>
      <c r="B134">
        <v>5</v>
      </c>
      <c r="C134">
        <v>14</v>
      </c>
      <c r="D134">
        <v>2.08</v>
      </c>
      <c r="E134" t="s">
        <v>8</v>
      </c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1.6064422281316078</v>
      </c>
    </row>
    <row r="135" spans="1:9" hidden="1" x14ac:dyDescent="0.35">
      <c r="A135" t="e">
        <f>-L4h2ef9lEwYkMROjs5X</f>
        <v>#NAME?</v>
      </c>
      <c r="B135">
        <v>20</v>
      </c>
      <c r="C135">
        <v>15</v>
      </c>
      <c r="D135">
        <v>19.79</v>
      </c>
      <c r="E135" t="s">
        <v>7</v>
      </c>
      <c r="F135">
        <f t="shared" si="8"/>
        <v>0</v>
      </c>
      <c r="G135">
        <f t="shared" si="9"/>
        <v>-1.5777669993169487</v>
      </c>
      <c r="H135">
        <f t="shared" si="10"/>
        <v>0</v>
      </c>
      <c r="I135">
        <f t="shared" si="11"/>
        <v>0</v>
      </c>
    </row>
    <row r="136" spans="1:9" x14ac:dyDescent="0.35">
      <c r="A136" t="e">
        <f>-L4h2efACyEQo98Rmxv7</f>
        <v>#NAME?</v>
      </c>
      <c r="B136">
        <v>55</v>
      </c>
      <c r="C136">
        <v>16</v>
      </c>
      <c r="D136">
        <v>65.52</v>
      </c>
      <c r="E136" t="s">
        <v>8</v>
      </c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3.412104044677569</v>
      </c>
    </row>
    <row r="137" spans="1:9" hidden="1" x14ac:dyDescent="0.35">
      <c r="A137" t="e">
        <f>-L4h2efACyEQo98Rmxv8</f>
        <v>#NAME?</v>
      </c>
      <c r="B137">
        <v>50</v>
      </c>
      <c r="C137">
        <v>17</v>
      </c>
      <c r="D137">
        <v>50</v>
      </c>
      <c r="E137" t="s">
        <v>6</v>
      </c>
      <c r="F137">
        <f t="shared" si="8"/>
        <v>0</v>
      </c>
      <c r="G137">
        <f t="shared" si="9"/>
        <v>0</v>
      </c>
      <c r="H137">
        <f t="shared" si="10"/>
        <v>-3</v>
      </c>
      <c r="I137">
        <f t="shared" si="11"/>
        <v>0</v>
      </c>
    </row>
    <row r="138" spans="1:9" x14ac:dyDescent="0.35">
      <c r="A138" t="e">
        <f>-L4h2efACyEQo98Rmxv9</f>
        <v>#NAME?</v>
      </c>
      <c r="B138">
        <v>99</v>
      </c>
      <c r="C138">
        <v>18</v>
      </c>
      <c r="D138">
        <v>100</v>
      </c>
      <c r="E138" t="s">
        <v>8</v>
      </c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0.16992500144231237</v>
      </c>
    </row>
    <row r="139" spans="1:9" x14ac:dyDescent="0.35">
      <c r="A139" t="e">
        <f>-L4h2efBY-BNA5SncWRP</f>
        <v>#NAME?</v>
      </c>
      <c r="B139">
        <v>55</v>
      </c>
      <c r="C139">
        <v>19</v>
      </c>
      <c r="D139">
        <v>54.72</v>
      </c>
      <c r="E139" t="s">
        <v>8</v>
      </c>
      <c r="F139">
        <f t="shared" si="8"/>
        <v>0</v>
      </c>
      <c r="G139">
        <f t="shared" si="9"/>
        <v>0</v>
      </c>
      <c r="H139">
        <f t="shared" si="10"/>
        <v>0</v>
      </c>
      <c r="I139">
        <f t="shared" si="11"/>
        <v>-1.3040061868900958</v>
      </c>
    </row>
    <row r="140" spans="1:9" hidden="1" x14ac:dyDescent="0.35">
      <c r="A140" t="e">
        <f>-L4h2efBY-BNA5SncWRQ</f>
        <v>#NAME?</v>
      </c>
      <c r="B140">
        <v>30</v>
      </c>
      <c r="C140">
        <v>20</v>
      </c>
      <c r="D140">
        <v>35.85</v>
      </c>
      <c r="E140" t="s">
        <v>7</v>
      </c>
      <c r="F140">
        <f t="shared" si="8"/>
        <v>0</v>
      </c>
      <c r="G140">
        <f t="shared" si="9"/>
        <v>2.5789387130933865</v>
      </c>
      <c r="H140">
        <f t="shared" si="10"/>
        <v>0</v>
      </c>
      <c r="I140">
        <f t="shared" si="11"/>
        <v>0</v>
      </c>
    </row>
    <row r="141" spans="1:9" hidden="1" x14ac:dyDescent="0.35">
      <c r="A141" t="e">
        <f>-L4h2efBY-BNA5SncWRR</f>
        <v>#NAME?</v>
      </c>
      <c r="B141">
        <v>30</v>
      </c>
      <c r="C141">
        <v>21</v>
      </c>
      <c r="D141">
        <v>30.21</v>
      </c>
      <c r="E141" t="s">
        <v>5</v>
      </c>
      <c r="F141">
        <f t="shared" si="8"/>
        <v>-1.5777669993169487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1:9" hidden="1" x14ac:dyDescent="0.35">
      <c r="A142" t="e">
        <f>-L4h2efBY-BNA5SncWRS</f>
        <v>#NAME?</v>
      </c>
      <c r="B142">
        <v>50</v>
      </c>
      <c r="C142">
        <v>22</v>
      </c>
      <c r="D142">
        <v>54.72</v>
      </c>
      <c r="E142" t="s">
        <v>7</v>
      </c>
      <c r="F142">
        <f t="shared" si="8"/>
        <v>0</v>
      </c>
      <c r="G142">
        <f t="shared" si="9"/>
        <v>2.276496665640356</v>
      </c>
      <c r="H142">
        <f t="shared" si="10"/>
        <v>0</v>
      </c>
      <c r="I142">
        <f t="shared" si="11"/>
        <v>0</v>
      </c>
    </row>
    <row r="143" spans="1:9" x14ac:dyDescent="0.35">
      <c r="A143" t="e">
        <f>-L4h2efCK_At2YTOkewZ</f>
        <v>#NAME?</v>
      </c>
      <c r="B143">
        <v>15</v>
      </c>
      <c r="C143">
        <v>23</v>
      </c>
      <c r="D143">
        <v>19.79</v>
      </c>
      <c r="E143" t="s">
        <v>8</v>
      </c>
      <c r="F143">
        <f t="shared" si="8"/>
        <v>0</v>
      </c>
      <c r="G143">
        <f t="shared" si="9"/>
        <v>0</v>
      </c>
      <c r="H143">
        <f t="shared" si="10"/>
        <v>0</v>
      </c>
      <c r="I143">
        <f t="shared" si="11"/>
        <v>2.2971914165658558</v>
      </c>
    </row>
    <row r="144" spans="1:9" hidden="1" x14ac:dyDescent="0.35">
      <c r="A144" t="e">
        <f>-L4h2efCK_At2YTOkew_</f>
        <v>#NAME?</v>
      </c>
      <c r="B144">
        <v>10</v>
      </c>
      <c r="C144">
        <v>24</v>
      </c>
      <c r="D144">
        <v>10.53</v>
      </c>
      <c r="E144" t="s">
        <v>6</v>
      </c>
      <c r="F144">
        <f t="shared" si="8"/>
        <v>0</v>
      </c>
      <c r="G144">
        <f t="shared" si="9"/>
        <v>0</v>
      </c>
      <c r="H144">
        <f t="shared" si="10"/>
        <v>-0.61043318823727588</v>
      </c>
      <c r="I144">
        <f t="shared" si="11"/>
        <v>0</v>
      </c>
    </row>
    <row r="145" spans="1:9" hidden="1" x14ac:dyDescent="0.35">
      <c r="A145" t="e">
        <f>-L4h2efCK_At2YTOkewa</f>
        <v>#NAME?</v>
      </c>
      <c r="B145">
        <v>51</v>
      </c>
      <c r="C145">
        <v>25</v>
      </c>
      <c r="D145">
        <v>53.54</v>
      </c>
      <c r="E145" t="s">
        <v>5</v>
      </c>
      <c r="F145">
        <f t="shared" si="8"/>
        <v>1.4141355329844507</v>
      </c>
      <c r="G145">
        <f t="shared" si="9"/>
        <v>0</v>
      </c>
      <c r="H145">
        <f t="shared" si="10"/>
        <v>0</v>
      </c>
      <c r="I145">
        <f t="shared" si="11"/>
        <v>0</v>
      </c>
    </row>
    <row r="146" spans="1:9" hidden="1" x14ac:dyDescent="0.35">
      <c r="A146" t="e">
        <f>-L4h2efCK_At2YTOkewb</f>
        <v>#NAME?</v>
      </c>
      <c r="B146">
        <v>95</v>
      </c>
      <c r="C146">
        <v>26</v>
      </c>
      <c r="D146">
        <v>100</v>
      </c>
      <c r="E146" t="s">
        <v>7</v>
      </c>
      <c r="F146">
        <f t="shared" si="8"/>
        <v>0</v>
      </c>
      <c r="G146">
        <f t="shared" si="9"/>
        <v>2.3575520046180838</v>
      </c>
      <c r="H146">
        <f t="shared" si="10"/>
        <v>0</v>
      </c>
      <c r="I146">
        <f t="shared" si="11"/>
        <v>0</v>
      </c>
    </row>
    <row r="147" spans="1:9" x14ac:dyDescent="0.35">
      <c r="A147" t="e">
        <f>-L4h2efDk_OgLZB7FHdW</f>
        <v>#NAME?</v>
      </c>
      <c r="B147">
        <v>35</v>
      </c>
      <c r="C147">
        <v>27</v>
      </c>
      <c r="D147">
        <v>35.85</v>
      </c>
      <c r="E147" t="s">
        <v>8</v>
      </c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-3.6525876025111904E-2</v>
      </c>
    </row>
    <row r="148" spans="1:9" hidden="1" x14ac:dyDescent="0.35">
      <c r="A148" t="e">
        <f>-L4h2efDk_OgLZB7FHdX</f>
        <v>#NAME?</v>
      </c>
      <c r="B148">
        <v>98</v>
      </c>
      <c r="C148">
        <v>28</v>
      </c>
      <c r="D148">
        <v>100</v>
      </c>
      <c r="E148" t="s">
        <v>7</v>
      </c>
      <c r="F148">
        <f t="shared" si="8"/>
        <v>0</v>
      </c>
      <c r="G148">
        <f t="shared" si="9"/>
        <v>1.0874628412503395</v>
      </c>
      <c r="H148">
        <f t="shared" si="10"/>
        <v>0</v>
      </c>
      <c r="I148">
        <f t="shared" si="11"/>
        <v>0</v>
      </c>
    </row>
    <row r="149" spans="1:9" hidden="1" x14ac:dyDescent="0.35">
      <c r="A149" t="e">
        <f>-L4h2efDk_OgLZB7FHdY</f>
        <v>#NAME?</v>
      </c>
      <c r="B149">
        <v>60</v>
      </c>
      <c r="C149">
        <v>29</v>
      </c>
      <c r="D149">
        <v>61.29</v>
      </c>
      <c r="E149" t="s">
        <v>5</v>
      </c>
      <c r="F149">
        <f t="shared" si="8"/>
        <v>0.50080205305715675</v>
      </c>
      <c r="G149">
        <f t="shared" si="9"/>
        <v>0</v>
      </c>
      <c r="H149">
        <f t="shared" si="10"/>
        <v>0</v>
      </c>
      <c r="I149">
        <f t="shared" si="11"/>
        <v>0</v>
      </c>
    </row>
    <row r="150" spans="1:9" hidden="1" x14ac:dyDescent="0.35">
      <c r="A150" t="e">
        <f>-L4h2efDk_OgLZB7FHdZ</f>
        <v>#NAME?</v>
      </c>
      <c r="B150">
        <v>12</v>
      </c>
      <c r="C150">
        <v>30</v>
      </c>
      <c r="D150">
        <v>19.190000000000001</v>
      </c>
      <c r="E150" t="s">
        <v>7</v>
      </c>
      <c r="F150">
        <f t="shared" si="8"/>
        <v>0</v>
      </c>
      <c r="G150">
        <f t="shared" si="9"/>
        <v>2.8708578643637628</v>
      </c>
      <c r="H150">
        <f t="shared" si="10"/>
        <v>0</v>
      </c>
      <c r="I150">
        <f t="shared" si="11"/>
        <v>0</v>
      </c>
    </row>
    <row r="151" spans="1:9" hidden="1" x14ac:dyDescent="0.35">
      <c r="A151" t="e">
        <f>-L4h2efE53OLaZkUHnTs</f>
        <v>#NAME?</v>
      </c>
      <c r="B151">
        <v>35</v>
      </c>
      <c r="C151">
        <v>31</v>
      </c>
      <c r="D151">
        <v>27.08</v>
      </c>
      <c r="E151" t="s">
        <v>5</v>
      </c>
      <c r="F151">
        <f t="shared" si="8"/>
        <v>3.0080924209487221</v>
      </c>
      <c r="G151">
        <f t="shared" si="9"/>
        <v>0</v>
      </c>
      <c r="H151">
        <f t="shared" si="10"/>
        <v>0</v>
      </c>
      <c r="I151">
        <f t="shared" si="11"/>
        <v>0</v>
      </c>
    </row>
    <row r="152" spans="1:9" hidden="1" x14ac:dyDescent="0.35">
      <c r="A152" t="e">
        <f>-L4h2efE53OLaZkUHnTt</f>
        <v>#NAME?</v>
      </c>
      <c r="B152">
        <v>98</v>
      </c>
      <c r="C152">
        <v>32</v>
      </c>
      <c r="D152">
        <v>100</v>
      </c>
      <c r="E152" t="s">
        <v>6</v>
      </c>
      <c r="F152">
        <f t="shared" si="8"/>
        <v>0</v>
      </c>
      <c r="G152">
        <f t="shared" si="9"/>
        <v>0</v>
      </c>
      <c r="H152">
        <f t="shared" si="10"/>
        <v>1.0874628412503395</v>
      </c>
      <c r="I152">
        <f t="shared" si="11"/>
        <v>0</v>
      </c>
    </row>
    <row r="153" spans="1:9" x14ac:dyDescent="0.35">
      <c r="A153" t="e">
        <f>-L4h2efE53OLaZkUHnTu</f>
        <v>#NAME?</v>
      </c>
      <c r="B153">
        <v>40</v>
      </c>
      <c r="C153">
        <v>33</v>
      </c>
      <c r="D153">
        <v>35.85</v>
      </c>
      <c r="E153" t="s">
        <v>8</v>
      </c>
      <c r="F153">
        <f t="shared" si="8"/>
        <v>0</v>
      </c>
      <c r="G153">
        <f t="shared" si="9"/>
        <v>0</v>
      </c>
      <c r="H153">
        <f t="shared" si="10"/>
        <v>0</v>
      </c>
      <c r="I153">
        <f t="shared" si="11"/>
        <v>2.0959244199985352</v>
      </c>
    </row>
    <row r="154" spans="1:9" hidden="1" x14ac:dyDescent="0.35">
      <c r="A154" t="e">
        <f>-L4h2efE53OLaZkUHnTv</f>
        <v>#NAME?</v>
      </c>
      <c r="B154">
        <v>50</v>
      </c>
      <c r="C154">
        <v>34</v>
      </c>
      <c r="D154">
        <v>52.53</v>
      </c>
      <c r="E154" t="s">
        <v>5</v>
      </c>
      <c r="F154">
        <f t="shared" si="8"/>
        <v>1.4087118610294296</v>
      </c>
      <c r="G154">
        <f t="shared" si="9"/>
        <v>0</v>
      </c>
      <c r="H154">
        <f t="shared" si="10"/>
        <v>0</v>
      </c>
      <c r="I154">
        <f t="shared" si="11"/>
        <v>0</v>
      </c>
    </row>
    <row r="155" spans="1:9" hidden="1" x14ac:dyDescent="0.35">
      <c r="A155" t="e">
        <f>-L4h2efFnWtYju-ZrDZC</f>
        <v>#NAME?</v>
      </c>
      <c r="B155">
        <v>50</v>
      </c>
      <c r="C155">
        <v>35</v>
      </c>
      <c r="D155">
        <v>58.49</v>
      </c>
      <c r="E155" t="s">
        <v>7</v>
      </c>
      <c r="F155">
        <f t="shared" si="8"/>
        <v>0</v>
      </c>
      <c r="G155">
        <f t="shared" si="9"/>
        <v>3.1068507964502241</v>
      </c>
      <c r="H155">
        <f t="shared" si="10"/>
        <v>0</v>
      </c>
      <c r="I155">
        <f t="shared" si="11"/>
        <v>0</v>
      </c>
    </row>
    <row r="156" spans="1:9" hidden="1" x14ac:dyDescent="0.35">
      <c r="A156" t="e">
        <f>-L4h2efFnWtYju-ZrDZD</f>
        <v>#NAME?</v>
      </c>
      <c r="B156">
        <v>40</v>
      </c>
      <c r="C156">
        <v>36</v>
      </c>
      <c r="D156">
        <v>30.21</v>
      </c>
      <c r="E156" t="s">
        <v>6</v>
      </c>
      <c r="F156">
        <f t="shared" si="8"/>
        <v>0</v>
      </c>
      <c r="G156">
        <f t="shared" si="9"/>
        <v>0</v>
      </c>
      <c r="H156">
        <f t="shared" si="10"/>
        <v>3.3096127724541229</v>
      </c>
      <c r="I156">
        <f t="shared" si="11"/>
        <v>0</v>
      </c>
    </row>
    <row r="157" spans="1:9" hidden="1" x14ac:dyDescent="0.35">
      <c r="A157" t="e">
        <f>-L4h2efFnWtYju-ZrDZE</f>
        <v>#NAME?</v>
      </c>
      <c r="B157">
        <v>40</v>
      </c>
      <c r="C157">
        <v>37</v>
      </c>
      <c r="D157">
        <v>36.54</v>
      </c>
      <c r="E157" t="s">
        <v>6</v>
      </c>
      <c r="F157">
        <f t="shared" si="8"/>
        <v>0</v>
      </c>
      <c r="G157">
        <f t="shared" si="9"/>
        <v>0</v>
      </c>
      <c r="H157">
        <f t="shared" si="10"/>
        <v>1.8419731189271804</v>
      </c>
      <c r="I157">
        <f t="shared" si="11"/>
        <v>0</v>
      </c>
    </row>
    <row r="158" spans="1:9" x14ac:dyDescent="0.35">
      <c r="A158" t="e">
        <f>-L4h2efFnWtYju-ZrDZF</f>
        <v>#NAME?</v>
      </c>
      <c r="B158">
        <v>15</v>
      </c>
      <c r="C158">
        <v>38</v>
      </c>
      <c r="D158">
        <v>19.190000000000001</v>
      </c>
      <c r="E158" t="s">
        <v>8</v>
      </c>
      <c r="F158">
        <f t="shared" si="8"/>
        <v>0</v>
      </c>
      <c r="G158">
        <f t="shared" si="9"/>
        <v>0</v>
      </c>
      <c r="H158">
        <f t="shared" si="10"/>
        <v>0</v>
      </c>
      <c r="I158">
        <f t="shared" si="11"/>
        <v>2.1093605594042311</v>
      </c>
    </row>
    <row r="159" spans="1:9" hidden="1" x14ac:dyDescent="0.35">
      <c r="A159" t="e">
        <f>-L4h2efFnWtYju-ZrDZG</f>
        <v>#NAME?</v>
      </c>
      <c r="B159">
        <v>30</v>
      </c>
      <c r="C159">
        <v>39</v>
      </c>
      <c r="D159">
        <v>26.26</v>
      </c>
      <c r="E159" t="s">
        <v>6</v>
      </c>
      <c r="F159">
        <f t="shared" si="8"/>
        <v>0</v>
      </c>
      <c r="G159">
        <f t="shared" si="9"/>
        <v>0</v>
      </c>
      <c r="H159">
        <f t="shared" si="10"/>
        <v>1.9504684141501223</v>
      </c>
      <c r="I159">
        <f t="shared" si="11"/>
        <v>0</v>
      </c>
    </row>
    <row r="160" spans="1:9" x14ac:dyDescent="0.35">
      <c r="A160" t="e">
        <f>-L4h2efGj7D0UkSTZgMK</f>
        <v>#NAME?</v>
      </c>
      <c r="B160">
        <v>60</v>
      </c>
      <c r="C160">
        <v>40</v>
      </c>
      <c r="D160">
        <v>61.29</v>
      </c>
      <c r="E160" t="s">
        <v>8</v>
      </c>
      <c r="F160">
        <f t="shared" si="8"/>
        <v>0</v>
      </c>
      <c r="G160">
        <f t="shared" si="9"/>
        <v>0</v>
      </c>
      <c r="H160">
        <f t="shared" si="10"/>
        <v>0</v>
      </c>
      <c r="I160">
        <f t="shared" si="11"/>
        <v>0.50080205305715675</v>
      </c>
    </row>
    <row r="161" spans="1:9" hidden="1" x14ac:dyDescent="0.35">
      <c r="A161" t="e">
        <f>-L4h2efGj7D0UkSTZgML</f>
        <v>#NAME?</v>
      </c>
      <c r="B161">
        <v>53</v>
      </c>
      <c r="C161">
        <v>41</v>
      </c>
      <c r="D161">
        <v>52.53</v>
      </c>
      <c r="E161" t="s">
        <v>5</v>
      </c>
      <c r="F161">
        <f t="shared" si="8"/>
        <v>-0.74903842646678398</v>
      </c>
      <c r="G161">
        <f t="shared" si="9"/>
        <v>0</v>
      </c>
      <c r="H161">
        <f t="shared" si="10"/>
        <v>0</v>
      </c>
      <c r="I161">
        <f t="shared" si="11"/>
        <v>0</v>
      </c>
    </row>
    <row r="162" spans="1:9" hidden="1" x14ac:dyDescent="0.35">
      <c r="A162" t="e">
        <f>-L4h2efGj7D0UkSTZgMM</f>
        <v>#NAME?</v>
      </c>
      <c r="B162">
        <v>51</v>
      </c>
      <c r="C162">
        <v>42</v>
      </c>
      <c r="D162">
        <v>49.06</v>
      </c>
      <c r="E162" t="s">
        <v>6</v>
      </c>
      <c r="F162">
        <f t="shared" si="8"/>
        <v>0</v>
      </c>
      <c r="G162">
        <f t="shared" si="9"/>
        <v>0</v>
      </c>
      <c r="H162">
        <f t="shared" si="10"/>
        <v>1.0461417816447192</v>
      </c>
      <c r="I162">
        <f t="shared" si="11"/>
        <v>0</v>
      </c>
    </row>
    <row r="163" spans="1:9" x14ac:dyDescent="0.35">
      <c r="A163" t="e">
        <f>-L4h2efGj7D0UkSTZgMN</f>
        <v>#NAME?</v>
      </c>
      <c r="B163">
        <v>38</v>
      </c>
      <c r="C163">
        <v>43</v>
      </c>
      <c r="D163">
        <v>32.29</v>
      </c>
      <c r="E163" t="s">
        <v>8</v>
      </c>
      <c r="F163">
        <f t="shared" si="8"/>
        <v>0</v>
      </c>
      <c r="G163">
        <f t="shared" si="9"/>
        <v>0</v>
      </c>
      <c r="H163">
        <f t="shared" si="10"/>
        <v>0</v>
      </c>
      <c r="I163">
        <f t="shared" si="11"/>
        <v>2.5447326559326235</v>
      </c>
    </row>
    <row r="164" spans="1:9" hidden="1" x14ac:dyDescent="0.35">
      <c r="A164" t="e">
        <f>-L4h2efGj7D0UkSTZgMO</f>
        <v>#NAME?</v>
      </c>
      <c r="B164">
        <v>7</v>
      </c>
      <c r="C164">
        <v>44</v>
      </c>
      <c r="D164">
        <v>19.190000000000001</v>
      </c>
      <c r="E164" t="s">
        <v>7</v>
      </c>
      <c r="F164">
        <f t="shared" si="8"/>
        <v>0</v>
      </c>
      <c r="G164">
        <f t="shared" si="9"/>
        <v>3.6223447227242369</v>
      </c>
      <c r="H164">
        <f t="shared" si="10"/>
        <v>0</v>
      </c>
      <c r="I164">
        <f t="shared" si="11"/>
        <v>0</v>
      </c>
    </row>
    <row r="165" spans="1:9" hidden="1" x14ac:dyDescent="0.35">
      <c r="A165" t="e">
        <f>-L4h2efGj7D0UkSTZgMP</f>
        <v>#NAME?</v>
      </c>
      <c r="B165">
        <v>65</v>
      </c>
      <c r="C165">
        <v>45</v>
      </c>
      <c r="D165">
        <v>65.52</v>
      </c>
      <c r="E165" t="s">
        <v>5</v>
      </c>
      <c r="F165">
        <f t="shared" si="8"/>
        <v>-0.63262893435147949</v>
      </c>
      <c r="G165">
        <f t="shared" si="9"/>
        <v>0</v>
      </c>
      <c r="H165">
        <f t="shared" si="10"/>
        <v>0</v>
      </c>
      <c r="I165">
        <f t="shared" si="11"/>
        <v>0</v>
      </c>
    </row>
    <row r="166" spans="1:9" x14ac:dyDescent="0.35">
      <c r="A166" t="e">
        <f>-L4h2efHfNJLiFfil8gi</f>
        <v>#NAME?</v>
      </c>
      <c r="B166">
        <v>3</v>
      </c>
      <c r="C166">
        <v>46</v>
      </c>
      <c r="D166">
        <v>2.08</v>
      </c>
      <c r="E166" t="s">
        <v>8</v>
      </c>
      <c r="F166">
        <f t="shared" si="8"/>
        <v>0</v>
      </c>
      <c r="G166">
        <f t="shared" si="9"/>
        <v>0</v>
      </c>
      <c r="H166">
        <f t="shared" si="10"/>
        <v>0</v>
      </c>
      <c r="I166">
        <f t="shared" si="11"/>
        <v>6.3502942306157953E-2</v>
      </c>
    </row>
    <row r="167" spans="1:9" hidden="1" x14ac:dyDescent="0.35">
      <c r="A167" t="e">
        <f>-L4h2efHfNJLiFfil8gj</f>
        <v>#NAME?</v>
      </c>
      <c r="B167">
        <v>52</v>
      </c>
      <c r="C167">
        <v>47</v>
      </c>
      <c r="D167">
        <v>49.06</v>
      </c>
      <c r="E167" t="s">
        <v>6</v>
      </c>
      <c r="F167">
        <f t="shared" si="8"/>
        <v>0</v>
      </c>
      <c r="G167">
        <f t="shared" si="9"/>
        <v>0</v>
      </c>
      <c r="H167">
        <f t="shared" si="10"/>
        <v>1.6158870739160558</v>
      </c>
      <c r="I167">
        <f t="shared" si="11"/>
        <v>0</v>
      </c>
    </row>
    <row r="168" spans="1:9" hidden="1" x14ac:dyDescent="0.35">
      <c r="A168" t="e">
        <f>-L4h2efHfNJLiFfil8gk</f>
        <v>#NAME?</v>
      </c>
      <c r="B168">
        <v>50</v>
      </c>
      <c r="C168">
        <v>48</v>
      </c>
      <c r="D168">
        <v>61.29</v>
      </c>
      <c r="E168" t="s">
        <v>7</v>
      </c>
      <c r="F168">
        <f t="shared" si="8"/>
        <v>0</v>
      </c>
      <c r="G168">
        <f t="shared" si="9"/>
        <v>3.5128589544499769</v>
      </c>
      <c r="H168">
        <f t="shared" si="10"/>
        <v>0</v>
      </c>
      <c r="I168">
        <f t="shared" si="11"/>
        <v>0</v>
      </c>
    </row>
    <row r="169" spans="1:9" hidden="1" x14ac:dyDescent="0.35">
      <c r="A169" t="e">
        <f>-L4h2efHfNJLiFfil8gl</f>
        <v>#NAME?</v>
      </c>
      <c r="B169">
        <v>97</v>
      </c>
      <c r="C169">
        <v>49</v>
      </c>
      <c r="D169">
        <v>93.55</v>
      </c>
      <c r="E169" t="s">
        <v>7</v>
      </c>
      <c r="F169">
        <f t="shared" si="8"/>
        <v>0</v>
      </c>
      <c r="G169">
        <f t="shared" si="9"/>
        <v>1.8379432418910284</v>
      </c>
      <c r="H169">
        <f t="shared" si="10"/>
        <v>0</v>
      </c>
      <c r="I169">
        <f t="shared" si="11"/>
        <v>0</v>
      </c>
    </row>
    <row r="170" spans="1:9" hidden="1" x14ac:dyDescent="0.35">
      <c r="A170" t="e">
        <f>-L4h2efHfNJLiFfil8gm</f>
        <v>#NAME?</v>
      </c>
      <c r="B170">
        <v>15</v>
      </c>
      <c r="C170">
        <v>50</v>
      </c>
      <c r="D170">
        <v>19.79</v>
      </c>
      <c r="E170" t="s">
        <v>7</v>
      </c>
      <c r="F170">
        <f t="shared" si="8"/>
        <v>0</v>
      </c>
      <c r="G170">
        <f t="shared" si="9"/>
        <v>2.2971914165658558</v>
      </c>
      <c r="H170">
        <f t="shared" si="10"/>
        <v>0</v>
      </c>
      <c r="I170">
        <f t="shared" si="11"/>
        <v>0</v>
      </c>
    </row>
    <row r="171" spans="1:9" x14ac:dyDescent="0.35">
      <c r="A171" t="e">
        <f>-L4h2efIUHilC18IDd6l</f>
        <v>#NAME?</v>
      </c>
      <c r="B171">
        <v>15</v>
      </c>
      <c r="C171">
        <v>51</v>
      </c>
      <c r="D171">
        <v>19.190000000000001</v>
      </c>
      <c r="E171" t="s">
        <v>8</v>
      </c>
      <c r="F171">
        <f t="shared" si="8"/>
        <v>0</v>
      </c>
      <c r="G171">
        <f t="shared" si="9"/>
        <v>0</v>
      </c>
      <c r="H171">
        <f t="shared" si="10"/>
        <v>0</v>
      </c>
      <c r="I171">
        <f t="shared" si="11"/>
        <v>2.1093605594042311</v>
      </c>
    </row>
    <row r="172" spans="1:9" x14ac:dyDescent="0.35">
      <c r="A172" t="e">
        <f>-L4h2efIUHilC18IDd6m</f>
        <v>#NAME?</v>
      </c>
      <c r="B172">
        <v>60</v>
      </c>
      <c r="C172">
        <v>52</v>
      </c>
      <c r="D172">
        <v>59.62</v>
      </c>
      <c r="E172" t="s">
        <v>8</v>
      </c>
      <c r="F172">
        <f t="shared" si="8"/>
        <v>0</v>
      </c>
      <c r="G172">
        <f t="shared" si="9"/>
        <v>0</v>
      </c>
      <c r="H172">
        <f t="shared" si="10"/>
        <v>0</v>
      </c>
      <c r="I172">
        <f t="shared" si="11"/>
        <v>-0.98564470702292273</v>
      </c>
    </row>
    <row r="173" spans="1:9" x14ac:dyDescent="0.35">
      <c r="A173" t="e">
        <f>-L4h2efJPUE92rx9zhrt</f>
        <v>#NAME?</v>
      </c>
      <c r="B173">
        <v>50</v>
      </c>
      <c r="C173">
        <v>53</v>
      </c>
      <c r="D173">
        <v>49.06</v>
      </c>
      <c r="E173" t="s">
        <v>8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9.0853430451110481E-2</v>
      </c>
    </row>
    <row r="174" spans="1:9" x14ac:dyDescent="0.35">
      <c r="A174" t="e">
        <f>-L4h2efJPUE92rx9zhru</f>
        <v>#NAME?</v>
      </c>
      <c r="B174">
        <v>85</v>
      </c>
      <c r="C174">
        <v>54</v>
      </c>
      <c r="D174">
        <v>73.08</v>
      </c>
      <c r="E174" t="s">
        <v>8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3.5903624884637462</v>
      </c>
    </row>
    <row r="175" spans="1:9" hidden="1" x14ac:dyDescent="0.35">
      <c r="A175" t="e">
        <f>-L4h2efJPUE92rx9zhrv</f>
        <v>#NAME?</v>
      </c>
      <c r="B175">
        <v>30</v>
      </c>
      <c r="C175">
        <v>55</v>
      </c>
      <c r="D175">
        <v>36.54</v>
      </c>
      <c r="E175" t="s">
        <v>6</v>
      </c>
      <c r="F175">
        <f t="shared" si="8"/>
        <v>0</v>
      </c>
      <c r="G175">
        <f t="shared" si="9"/>
        <v>0</v>
      </c>
      <c r="H175">
        <f t="shared" si="10"/>
        <v>2.7366048753142485</v>
      </c>
      <c r="I175">
        <f t="shared" si="11"/>
        <v>0</v>
      </c>
    </row>
    <row r="176" spans="1:9" hidden="1" x14ac:dyDescent="0.35">
      <c r="A176" t="e">
        <f>-L4h2efKii0Y5BUFM894</f>
        <v>#NAME?</v>
      </c>
      <c r="B176">
        <v>90</v>
      </c>
      <c r="C176">
        <v>56</v>
      </c>
      <c r="D176">
        <v>89.66</v>
      </c>
      <c r="E176" t="s">
        <v>5</v>
      </c>
      <c r="F176">
        <f t="shared" si="8"/>
        <v>-1.1046973786666827</v>
      </c>
      <c r="G176">
        <f t="shared" si="9"/>
        <v>0</v>
      </c>
      <c r="H176">
        <f t="shared" si="10"/>
        <v>0</v>
      </c>
      <c r="I176">
        <f t="shared" si="11"/>
        <v>0</v>
      </c>
    </row>
    <row r="177" spans="1:9" hidden="1" x14ac:dyDescent="0.35">
      <c r="A177" t="e">
        <f>-L4h2efKii0Y5BUFM895</f>
        <v>#NAME?</v>
      </c>
      <c r="B177">
        <v>60</v>
      </c>
      <c r="C177">
        <v>57</v>
      </c>
      <c r="D177">
        <v>58.49</v>
      </c>
      <c r="E177" t="s">
        <v>6</v>
      </c>
      <c r="F177">
        <f t="shared" si="8"/>
        <v>0</v>
      </c>
      <c r="G177">
        <f t="shared" si="9"/>
        <v>0</v>
      </c>
      <c r="H177">
        <f t="shared" si="10"/>
        <v>0.70929063572335604</v>
      </c>
      <c r="I177">
        <f t="shared" si="11"/>
        <v>0</v>
      </c>
    </row>
    <row r="178" spans="1:9" x14ac:dyDescent="0.35">
      <c r="A178" t="e">
        <f>-L4h2efKii0Y5BUFM896</f>
        <v>#NAME?</v>
      </c>
      <c r="B178">
        <v>4</v>
      </c>
      <c r="C178">
        <v>58</v>
      </c>
      <c r="D178">
        <v>3.77</v>
      </c>
      <c r="E178" t="s">
        <v>8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-1.4941090702700428</v>
      </c>
    </row>
    <row r="179" spans="1:9" hidden="1" x14ac:dyDescent="0.35">
      <c r="A179" t="e">
        <f>-L4h2efKii0Y5BUFM897</f>
        <v>#NAME?</v>
      </c>
      <c r="B179">
        <v>10</v>
      </c>
      <c r="C179">
        <v>59</v>
      </c>
      <c r="D179">
        <v>10.53</v>
      </c>
      <c r="E179" t="s">
        <v>6</v>
      </c>
      <c r="F179">
        <f t="shared" si="8"/>
        <v>0</v>
      </c>
      <c r="G179">
        <f t="shared" si="9"/>
        <v>0</v>
      </c>
      <c r="H179">
        <f t="shared" si="10"/>
        <v>-0.61043318823727588</v>
      </c>
      <c r="I179">
        <f t="shared" si="11"/>
        <v>0</v>
      </c>
    </row>
    <row r="180" spans="1:9" hidden="1" x14ac:dyDescent="0.35">
      <c r="A180" t="e">
        <f>-L4h2efKii0Y5BUFM898</f>
        <v>#NAME?</v>
      </c>
      <c r="B180">
        <v>40</v>
      </c>
      <c r="C180">
        <v>60</v>
      </c>
      <c r="D180">
        <v>61.29</v>
      </c>
      <c r="E180" t="s">
        <v>7</v>
      </c>
      <c r="F180">
        <f t="shared" si="8"/>
        <v>0</v>
      </c>
      <c r="G180">
        <f t="shared" si="9"/>
        <v>4.4205497721163178</v>
      </c>
      <c r="H180">
        <f t="shared" si="10"/>
        <v>0</v>
      </c>
      <c r="I180">
        <f t="shared" si="11"/>
        <v>0</v>
      </c>
    </row>
    <row r="181" spans="1:9" x14ac:dyDescent="0.35">
      <c r="A181" t="e">
        <f>-L4h2efKii0Y5BUFM899</f>
        <v>#NAME?</v>
      </c>
      <c r="B181">
        <v>50</v>
      </c>
      <c r="C181">
        <v>61</v>
      </c>
      <c r="D181">
        <v>49.06</v>
      </c>
      <c r="E181" t="s">
        <v>8</v>
      </c>
      <c r="F181">
        <f t="shared" si="8"/>
        <v>0</v>
      </c>
      <c r="G181">
        <f t="shared" si="9"/>
        <v>0</v>
      </c>
      <c r="H181">
        <f t="shared" si="10"/>
        <v>0</v>
      </c>
      <c r="I181">
        <f t="shared" si="11"/>
        <v>9.0853430451110481E-2</v>
      </c>
    </row>
    <row r="182" spans="1:9" hidden="1" x14ac:dyDescent="0.35">
      <c r="A182" t="e">
        <f>-L4h2efLIPYhAdDv56WI</f>
        <v>#NAME?</v>
      </c>
      <c r="B182">
        <v>2</v>
      </c>
      <c r="C182">
        <v>62</v>
      </c>
      <c r="D182">
        <v>2.02</v>
      </c>
      <c r="E182" t="s">
        <v>6</v>
      </c>
      <c r="F182">
        <f t="shared" si="8"/>
        <v>0</v>
      </c>
      <c r="G182">
        <f t="shared" si="9"/>
        <v>0</v>
      </c>
      <c r="H182">
        <f t="shared" si="10"/>
        <v>-2.7858751946471525</v>
      </c>
      <c r="I182">
        <f t="shared" si="11"/>
        <v>0</v>
      </c>
    </row>
    <row r="183" spans="1:9" x14ac:dyDescent="0.35">
      <c r="A183" t="e">
        <f>-L4h2efLIPYhAdDv56WJ</f>
        <v>#NAME?</v>
      </c>
      <c r="B183">
        <v>30</v>
      </c>
      <c r="C183">
        <v>63</v>
      </c>
      <c r="D183">
        <v>32.29</v>
      </c>
      <c r="E183" t="s">
        <v>8</v>
      </c>
      <c r="F183">
        <f t="shared" si="8"/>
        <v>0</v>
      </c>
      <c r="G183">
        <f t="shared" si="9"/>
        <v>0</v>
      </c>
      <c r="H183">
        <f t="shared" si="10"/>
        <v>0</v>
      </c>
      <c r="I183">
        <f t="shared" si="11"/>
        <v>1.2720231890610481</v>
      </c>
    </row>
    <row r="184" spans="1:9" hidden="1" x14ac:dyDescent="0.35">
      <c r="A184" t="e">
        <f>-L4h2efLIPYhAdDv56WK</f>
        <v>#NAME?</v>
      </c>
      <c r="B184">
        <v>35</v>
      </c>
      <c r="C184">
        <v>64</v>
      </c>
      <c r="D184">
        <v>35.85</v>
      </c>
      <c r="E184" t="s">
        <v>5</v>
      </c>
      <c r="F184">
        <f t="shared" si="8"/>
        <v>-3.6525876025111904E-2</v>
      </c>
      <c r="G184">
        <f t="shared" si="9"/>
        <v>0</v>
      </c>
      <c r="H184">
        <f t="shared" si="10"/>
        <v>0</v>
      </c>
      <c r="I184">
        <f t="shared" si="11"/>
        <v>0</v>
      </c>
    </row>
    <row r="185" spans="1:9" hidden="1" x14ac:dyDescent="0.35">
      <c r="A185" t="e">
        <f>-L4h2efLIPYhAdDv56WL</f>
        <v>#NAME?</v>
      </c>
      <c r="B185">
        <v>17</v>
      </c>
      <c r="C185">
        <v>65</v>
      </c>
      <c r="D185">
        <v>19.79</v>
      </c>
      <c r="E185" t="s">
        <v>5</v>
      </c>
      <c r="F185">
        <f t="shared" si="8"/>
        <v>1.5434958834257715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hidden="1" x14ac:dyDescent="0.35">
      <c r="A186" t="e">
        <f>-L4h2efLIPYhAdDv56WM</f>
        <v>#NAME?</v>
      </c>
      <c r="B186">
        <v>40</v>
      </c>
      <c r="C186">
        <v>66</v>
      </c>
      <c r="D186">
        <v>35.85</v>
      </c>
      <c r="E186" t="s">
        <v>5</v>
      </c>
      <c r="F186">
        <f t="shared" si="8"/>
        <v>2.0959244199985352</v>
      </c>
      <c r="G186">
        <f t="shared" si="9"/>
        <v>0</v>
      </c>
      <c r="H186">
        <f t="shared" si="10"/>
        <v>0</v>
      </c>
      <c r="I186">
        <f t="shared" si="11"/>
        <v>0</v>
      </c>
    </row>
    <row r="187" spans="1:9" hidden="1" x14ac:dyDescent="0.35">
      <c r="A187" t="e">
        <f>-L4h2efMWqd32YpSq3hS</f>
        <v>#NAME?</v>
      </c>
      <c r="B187">
        <v>40</v>
      </c>
      <c r="C187">
        <v>67</v>
      </c>
      <c r="D187">
        <v>35.85</v>
      </c>
      <c r="E187" t="s">
        <v>5</v>
      </c>
      <c r="F187">
        <f t="shared" si="8"/>
        <v>2.0959244199985352</v>
      </c>
      <c r="G187">
        <f t="shared" si="9"/>
        <v>0</v>
      </c>
      <c r="H187">
        <f t="shared" si="10"/>
        <v>0</v>
      </c>
      <c r="I187">
        <f t="shared" si="11"/>
        <v>0</v>
      </c>
    </row>
    <row r="188" spans="1:9" hidden="1" x14ac:dyDescent="0.35">
      <c r="A188" t="e">
        <f>-L4h2efMWqd32YpSq3hT</f>
        <v>#NAME?</v>
      </c>
      <c r="B188">
        <v>80</v>
      </c>
      <c r="C188">
        <v>68</v>
      </c>
      <c r="D188">
        <v>83.87</v>
      </c>
      <c r="E188" t="s">
        <v>5</v>
      </c>
      <c r="F188">
        <f t="shared" si="8"/>
        <v>1.9981955031532539</v>
      </c>
      <c r="G188">
        <f t="shared" si="9"/>
        <v>0</v>
      </c>
      <c r="H188">
        <f t="shared" si="10"/>
        <v>0</v>
      </c>
      <c r="I188">
        <f t="shared" si="11"/>
        <v>0</v>
      </c>
    </row>
    <row r="189" spans="1:9" hidden="1" x14ac:dyDescent="0.35">
      <c r="A189" t="e">
        <f>-L4h2efMWqd32YpSq3hU</f>
        <v>#NAME?</v>
      </c>
      <c r="B189">
        <v>5</v>
      </c>
      <c r="C189">
        <v>69</v>
      </c>
      <c r="D189">
        <v>6.45</v>
      </c>
      <c r="E189" t="s">
        <v>7</v>
      </c>
      <c r="F189">
        <f t="shared" si="8"/>
        <v>0</v>
      </c>
      <c r="G189">
        <f t="shared" si="9"/>
        <v>0.65535182861255425</v>
      </c>
      <c r="H189">
        <f t="shared" si="10"/>
        <v>0</v>
      </c>
      <c r="I189">
        <f t="shared" si="11"/>
        <v>0</v>
      </c>
    </row>
    <row r="190" spans="1:9" hidden="1" x14ac:dyDescent="0.35">
      <c r="A190" t="e">
        <f>-L4h2efNWWPVkPPFHCLl</f>
        <v>#NAME?</v>
      </c>
      <c r="B190">
        <v>55</v>
      </c>
      <c r="C190">
        <v>70</v>
      </c>
      <c r="D190">
        <v>61.29</v>
      </c>
      <c r="E190" t="s">
        <v>5</v>
      </c>
      <c r="F190">
        <f t="shared" si="8"/>
        <v>2.6814492653149578</v>
      </c>
      <c r="G190">
        <f t="shared" si="9"/>
        <v>0</v>
      </c>
      <c r="H190">
        <f t="shared" si="10"/>
        <v>0</v>
      </c>
      <c r="I190">
        <f t="shared" si="11"/>
        <v>0</v>
      </c>
    </row>
    <row r="191" spans="1:9" hidden="1" x14ac:dyDescent="0.35">
      <c r="A191" t="e">
        <f>-L4h2efNWWPVkPPFHCLm</f>
        <v>#NAME?</v>
      </c>
      <c r="B191">
        <v>23</v>
      </c>
      <c r="C191">
        <v>71</v>
      </c>
      <c r="D191">
        <v>26.26</v>
      </c>
      <c r="E191" t="s">
        <v>6</v>
      </c>
      <c r="F191">
        <f t="shared" si="8"/>
        <v>0</v>
      </c>
      <c r="G191">
        <f t="shared" si="9"/>
        <v>0</v>
      </c>
      <c r="H191">
        <f t="shared" si="10"/>
        <v>1.7591558338002726</v>
      </c>
      <c r="I191">
        <f t="shared" si="11"/>
        <v>0</v>
      </c>
    </row>
    <row r="192" spans="1:9" hidden="1" x14ac:dyDescent="0.35">
      <c r="A192" t="e">
        <f>-L4h2efNWWPVkPPFHCLn</f>
        <v>#NAME?</v>
      </c>
      <c r="B192">
        <v>3</v>
      </c>
      <c r="C192">
        <v>72</v>
      </c>
      <c r="D192">
        <v>3.85</v>
      </c>
      <c r="E192" t="s">
        <v>6</v>
      </c>
      <c r="F192">
        <f t="shared" si="8"/>
        <v>0</v>
      </c>
      <c r="G192">
        <f t="shared" si="9"/>
        <v>0</v>
      </c>
      <c r="H192">
        <f t="shared" si="10"/>
        <v>-3.6525876025113875E-2</v>
      </c>
      <c r="I192">
        <f t="shared" si="11"/>
        <v>0</v>
      </c>
    </row>
    <row r="193" spans="1:9" hidden="1" x14ac:dyDescent="0.35">
      <c r="A193" t="e">
        <f>-L4h2efNWWPVkPPFHCLo</f>
        <v>#NAME?</v>
      </c>
      <c r="B193">
        <v>30</v>
      </c>
      <c r="C193">
        <v>73</v>
      </c>
      <c r="D193">
        <v>30.21</v>
      </c>
      <c r="E193" t="s">
        <v>5</v>
      </c>
      <c r="F193">
        <f t="shared" si="8"/>
        <v>-1.5777669993169487</v>
      </c>
      <c r="G193">
        <f t="shared" si="9"/>
        <v>0</v>
      </c>
      <c r="H193">
        <f t="shared" si="10"/>
        <v>0</v>
      </c>
      <c r="I193">
        <f t="shared" si="11"/>
        <v>0</v>
      </c>
    </row>
    <row r="194" spans="1:9" hidden="1" x14ac:dyDescent="0.35">
      <c r="A194" t="e">
        <f>-L4h2efOLcUtpOj1lb-Q</f>
        <v>#NAME?</v>
      </c>
      <c r="B194">
        <v>57</v>
      </c>
      <c r="C194">
        <v>74</v>
      </c>
      <c r="D194">
        <v>54.72</v>
      </c>
      <c r="E194" t="s">
        <v>6</v>
      </c>
      <c r="F194">
        <f t="shared" si="8"/>
        <v>0</v>
      </c>
      <c r="G194">
        <f t="shared" si="9"/>
        <v>0</v>
      </c>
      <c r="H194">
        <f t="shared" si="10"/>
        <v>1.2660368939953179</v>
      </c>
      <c r="I194">
        <f t="shared" si="11"/>
        <v>0</v>
      </c>
    </row>
    <row r="195" spans="1:9" hidden="1" x14ac:dyDescent="0.35">
      <c r="A195" t="s">
        <v>11</v>
      </c>
      <c r="B195">
        <v>3</v>
      </c>
      <c r="C195">
        <v>75</v>
      </c>
      <c r="D195">
        <v>2.08</v>
      </c>
      <c r="E195" t="s">
        <v>6</v>
      </c>
      <c r="F195">
        <f t="shared" ref="F195:F258" si="12">IF(EXACT(E195, "Bar"),LOG(ABS(B195-D195) + 1/8, 2), 0)</f>
        <v>0</v>
      </c>
      <c r="G195">
        <f t="shared" ref="G195:G258" si="13">IF(EXACT(E195, "Pie"),LOG(ABS(B195-D195) + 1/8, 2), 0)</f>
        <v>0</v>
      </c>
      <c r="H195">
        <f t="shared" ref="H195:H258" si="14">IF(EXACT(E195, "HBar"),LOG(ABS(B195-D195) + 1/8, 2), 0)</f>
        <v>6.3502942306157953E-2</v>
      </c>
      <c r="I195">
        <f t="shared" ref="I195:I258" si="15">IF(EXACT(E195, "UDBar"),LOG(ABS(B195-D195) + 1/8, 2), 0)</f>
        <v>0</v>
      </c>
    </row>
    <row r="196" spans="1:9" hidden="1" x14ac:dyDescent="0.35">
      <c r="A196" t="e">
        <f>-L4h2efOLcUtpOj1lb-s</f>
        <v>#NAME?</v>
      </c>
      <c r="B196">
        <v>60</v>
      </c>
      <c r="C196">
        <v>76</v>
      </c>
      <c r="D196">
        <v>59.62</v>
      </c>
      <c r="E196" t="s">
        <v>6</v>
      </c>
      <c r="F196">
        <f t="shared" si="12"/>
        <v>0</v>
      </c>
      <c r="G196">
        <f t="shared" si="13"/>
        <v>0</v>
      </c>
      <c r="H196">
        <f t="shared" si="14"/>
        <v>-0.98564470702292273</v>
      </c>
      <c r="I196">
        <f t="shared" si="15"/>
        <v>0</v>
      </c>
    </row>
    <row r="197" spans="1:9" hidden="1" x14ac:dyDescent="0.35">
      <c r="A197" t="e">
        <f>-L4h2efOLcUtpOj1lb-t</f>
        <v>#NAME?</v>
      </c>
      <c r="B197">
        <v>13</v>
      </c>
      <c r="C197">
        <v>77</v>
      </c>
      <c r="D197">
        <v>10.53</v>
      </c>
      <c r="E197" t="s">
        <v>7</v>
      </c>
      <c r="F197">
        <f t="shared" si="12"/>
        <v>0</v>
      </c>
      <c r="G197">
        <f t="shared" si="13"/>
        <v>1.3757345385831565</v>
      </c>
      <c r="H197">
        <f t="shared" si="14"/>
        <v>0</v>
      </c>
      <c r="I197">
        <f t="shared" si="15"/>
        <v>0</v>
      </c>
    </row>
    <row r="198" spans="1:9" hidden="1" x14ac:dyDescent="0.35">
      <c r="A198" t="e">
        <f>-L4h2efOLcUtpOj1lb-u</f>
        <v>#NAME?</v>
      </c>
      <c r="B198">
        <v>20</v>
      </c>
      <c r="C198">
        <v>78</v>
      </c>
      <c r="D198">
        <v>19.190000000000001</v>
      </c>
      <c r="E198" t="s">
        <v>6</v>
      </c>
      <c r="F198">
        <f t="shared" si="12"/>
        <v>0</v>
      </c>
      <c r="G198">
        <f t="shared" si="13"/>
        <v>0</v>
      </c>
      <c r="H198">
        <f t="shared" si="14"/>
        <v>-9.6961729887090009E-2</v>
      </c>
      <c r="I198">
        <f t="shared" si="15"/>
        <v>0</v>
      </c>
    </row>
    <row r="199" spans="1:9" hidden="1" x14ac:dyDescent="0.35">
      <c r="A199" t="e">
        <f>-L4h2efPXCCqo_gDE8Xy</f>
        <v>#NAME?</v>
      </c>
      <c r="B199">
        <v>85</v>
      </c>
      <c r="C199">
        <v>79</v>
      </c>
      <c r="D199">
        <v>89.66</v>
      </c>
      <c r="E199" t="s">
        <v>7</v>
      </c>
      <c r="F199">
        <f t="shared" si="12"/>
        <v>0</v>
      </c>
      <c r="G199">
        <f t="shared" si="13"/>
        <v>2.2585189247113</v>
      </c>
      <c r="H199">
        <f t="shared" si="14"/>
        <v>0</v>
      </c>
      <c r="I199">
        <f t="shared" si="15"/>
        <v>0</v>
      </c>
    </row>
    <row r="200" spans="1:9" hidden="1" x14ac:dyDescent="0.35">
      <c r="A200" t="e">
        <f>-L4h2efPXCCqo_gDE8Xz</f>
        <v>#NAME?</v>
      </c>
      <c r="B200">
        <v>50</v>
      </c>
      <c r="C200">
        <v>80</v>
      </c>
      <c r="D200">
        <v>52.53</v>
      </c>
      <c r="E200" t="s">
        <v>5</v>
      </c>
      <c r="F200">
        <f t="shared" si="12"/>
        <v>1.4087118610294296</v>
      </c>
      <c r="G200">
        <f t="shared" si="13"/>
        <v>0</v>
      </c>
      <c r="H200">
        <f t="shared" si="14"/>
        <v>0</v>
      </c>
      <c r="I200">
        <f t="shared" si="15"/>
        <v>0</v>
      </c>
    </row>
    <row r="201" spans="1:9" x14ac:dyDescent="0.35">
      <c r="A201" t="s">
        <v>12</v>
      </c>
      <c r="B201">
        <v>60</v>
      </c>
      <c r="C201">
        <v>81</v>
      </c>
      <c r="D201">
        <v>65.52</v>
      </c>
      <c r="E201" t="s">
        <v>8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2.4969735809982749</v>
      </c>
    </row>
    <row r="202" spans="1:9" hidden="1" x14ac:dyDescent="0.35">
      <c r="A202" t="e">
        <f>-L4h2efQ_GPxFytJ9FT4</f>
        <v>#NAME?</v>
      </c>
      <c r="B202">
        <v>60</v>
      </c>
      <c r="C202">
        <v>82</v>
      </c>
      <c r="D202">
        <v>61.29</v>
      </c>
      <c r="E202" t="s">
        <v>6</v>
      </c>
      <c r="F202">
        <f t="shared" si="12"/>
        <v>0</v>
      </c>
      <c r="G202">
        <f t="shared" si="13"/>
        <v>0</v>
      </c>
      <c r="H202">
        <f t="shared" si="14"/>
        <v>0.50080205305715675</v>
      </c>
      <c r="I202">
        <f t="shared" si="15"/>
        <v>0</v>
      </c>
    </row>
    <row r="203" spans="1:9" x14ac:dyDescent="0.35">
      <c r="A203" t="e">
        <f>-L4h2efQ_GPxFytJ9FT5</f>
        <v>#NAME?</v>
      </c>
      <c r="B203">
        <v>5</v>
      </c>
      <c r="C203">
        <v>83</v>
      </c>
      <c r="D203">
        <v>3.77</v>
      </c>
      <c r="E203" t="s">
        <v>8</v>
      </c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0.43829285157914688</v>
      </c>
    </row>
    <row r="204" spans="1:9" x14ac:dyDescent="0.35">
      <c r="A204" t="e">
        <f>-L4h2efQ_GPxFytJ9FT6</f>
        <v>#NAME?</v>
      </c>
      <c r="B204">
        <v>3</v>
      </c>
      <c r="C204">
        <v>84</v>
      </c>
      <c r="D204">
        <v>2.02</v>
      </c>
      <c r="E204" t="s">
        <v>8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0.14404636961670686</v>
      </c>
    </row>
    <row r="205" spans="1:9" hidden="1" x14ac:dyDescent="0.35">
      <c r="A205" t="e">
        <f>-L4h2efRrYYPHzZYHHue</f>
        <v>#NAME?</v>
      </c>
      <c r="B205">
        <v>67</v>
      </c>
      <c r="C205">
        <v>85</v>
      </c>
      <c r="D205">
        <v>73.08</v>
      </c>
      <c r="E205" t="s">
        <v>6</v>
      </c>
      <c r="F205">
        <f t="shared" si="12"/>
        <v>0</v>
      </c>
      <c r="G205">
        <f t="shared" si="13"/>
        <v>0</v>
      </c>
      <c r="H205">
        <f t="shared" si="14"/>
        <v>2.6334312103556319</v>
      </c>
      <c r="I205">
        <f t="shared" si="15"/>
        <v>0</v>
      </c>
    </row>
    <row r="206" spans="1:9" x14ac:dyDescent="0.35">
      <c r="A206" t="e">
        <f>-L4h2efRrYYPHzZYHHuf</f>
        <v>#NAME?</v>
      </c>
      <c r="B206">
        <v>35</v>
      </c>
      <c r="C206">
        <v>86</v>
      </c>
      <c r="D206">
        <v>27.08</v>
      </c>
      <c r="E206" t="s">
        <v>8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3.0080924209487221</v>
      </c>
    </row>
    <row r="207" spans="1:9" x14ac:dyDescent="0.35">
      <c r="A207" t="e">
        <f>-L4h2efRrYYPHzZYHHug</f>
        <v>#NAME?</v>
      </c>
      <c r="B207">
        <v>55</v>
      </c>
      <c r="C207">
        <v>87</v>
      </c>
      <c r="D207">
        <v>59.62</v>
      </c>
      <c r="E207" t="s">
        <v>8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2.2464080872463841</v>
      </c>
    </row>
    <row r="208" spans="1:9" hidden="1" x14ac:dyDescent="0.35">
      <c r="A208" t="e">
        <f>-L4h2efRrYYPHzZYHHuh</f>
        <v>#NAME?</v>
      </c>
      <c r="B208">
        <v>50</v>
      </c>
      <c r="C208">
        <v>88</v>
      </c>
      <c r="D208">
        <v>49.06</v>
      </c>
      <c r="E208" t="s">
        <v>7</v>
      </c>
      <c r="F208">
        <f t="shared" si="12"/>
        <v>0</v>
      </c>
      <c r="G208">
        <f t="shared" si="13"/>
        <v>9.0853430451110481E-2</v>
      </c>
      <c r="H208">
        <f t="shared" si="14"/>
        <v>0</v>
      </c>
      <c r="I208">
        <f t="shared" si="15"/>
        <v>0</v>
      </c>
    </row>
    <row r="209" spans="1:9" hidden="1" x14ac:dyDescent="0.35">
      <c r="A209" t="e">
        <f>-L4h2efSzC9NoboDiMMP</f>
        <v>#NAME?</v>
      </c>
      <c r="B209">
        <v>20</v>
      </c>
      <c r="C209">
        <v>89</v>
      </c>
      <c r="D209">
        <v>19.79</v>
      </c>
      <c r="E209" t="s">
        <v>7</v>
      </c>
      <c r="F209">
        <f t="shared" si="12"/>
        <v>0</v>
      </c>
      <c r="G209">
        <f t="shared" si="13"/>
        <v>-1.5777669993169487</v>
      </c>
      <c r="H209">
        <f t="shared" si="14"/>
        <v>0</v>
      </c>
      <c r="I209">
        <f t="shared" si="15"/>
        <v>0</v>
      </c>
    </row>
    <row r="210" spans="1:9" hidden="1" x14ac:dyDescent="0.35">
      <c r="A210" t="e">
        <f>-L4h2efSzC9NoboDiMMQ</f>
        <v>#NAME?</v>
      </c>
      <c r="B210">
        <v>58</v>
      </c>
      <c r="C210">
        <v>90</v>
      </c>
      <c r="D210">
        <v>58.49</v>
      </c>
      <c r="E210" t="s">
        <v>5</v>
      </c>
      <c r="F210">
        <f t="shared" si="12"/>
        <v>-0.70134168443548017</v>
      </c>
      <c r="G210">
        <f t="shared" si="13"/>
        <v>0</v>
      </c>
      <c r="H210">
        <f t="shared" si="14"/>
        <v>0</v>
      </c>
      <c r="I210">
        <f t="shared" si="15"/>
        <v>0</v>
      </c>
    </row>
    <row r="211" spans="1:9" hidden="1" x14ac:dyDescent="0.35">
      <c r="A211" t="e">
        <f>-L4h2efSzC9NoboDiMMR</f>
        <v>#NAME?</v>
      </c>
      <c r="B211">
        <v>50</v>
      </c>
      <c r="C211">
        <v>91</v>
      </c>
      <c r="D211">
        <v>61.29</v>
      </c>
      <c r="E211" t="s">
        <v>7</v>
      </c>
      <c r="F211">
        <f t="shared" si="12"/>
        <v>0</v>
      </c>
      <c r="G211">
        <f t="shared" si="13"/>
        <v>3.5128589544499769</v>
      </c>
      <c r="H211">
        <f t="shared" si="14"/>
        <v>0</v>
      </c>
      <c r="I211">
        <f t="shared" si="15"/>
        <v>0</v>
      </c>
    </row>
    <row r="212" spans="1:9" hidden="1" x14ac:dyDescent="0.35">
      <c r="A212" t="e">
        <f>-L4h2efSzC9NoboDiMMS</f>
        <v>#NAME?</v>
      </c>
      <c r="B212">
        <v>40</v>
      </c>
      <c r="C212">
        <v>92</v>
      </c>
      <c r="D212">
        <v>32.29</v>
      </c>
      <c r="E212" t="s">
        <v>5</v>
      </c>
      <c r="F212">
        <f t="shared" si="12"/>
        <v>2.9699332746978557</v>
      </c>
      <c r="G212">
        <f t="shared" si="13"/>
        <v>0</v>
      </c>
      <c r="H212">
        <f t="shared" si="14"/>
        <v>0</v>
      </c>
      <c r="I212">
        <f t="shared" si="15"/>
        <v>0</v>
      </c>
    </row>
    <row r="213" spans="1:9" x14ac:dyDescent="0.35">
      <c r="A213" t="e">
        <f>-L4h2efTZHkDxTNFBvBX</f>
        <v>#NAME?</v>
      </c>
      <c r="B213">
        <v>53</v>
      </c>
      <c r="C213">
        <v>93</v>
      </c>
      <c r="D213">
        <v>54.17</v>
      </c>
      <c r="E213" t="s">
        <v>8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0.37295209791183109</v>
      </c>
    </row>
    <row r="214" spans="1:9" hidden="1" x14ac:dyDescent="0.35">
      <c r="A214" t="e">
        <f>-L4h2efTZHkDxTNFBvBY</f>
        <v>#NAME?</v>
      </c>
      <c r="B214">
        <v>40</v>
      </c>
      <c r="C214">
        <v>94</v>
      </c>
      <c r="D214">
        <v>27.08</v>
      </c>
      <c r="E214" t="s">
        <v>5</v>
      </c>
      <c r="F214">
        <f t="shared" si="12"/>
        <v>3.7054250390427277</v>
      </c>
      <c r="G214">
        <f t="shared" si="13"/>
        <v>0</v>
      </c>
      <c r="H214">
        <f t="shared" si="14"/>
        <v>0</v>
      </c>
      <c r="I214">
        <f t="shared" si="15"/>
        <v>0</v>
      </c>
    </row>
    <row r="215" spans="1:9" hidden="1" x14ac:dyDescent="0.35">
      <c r="A215" t="e">
        <f>-L4h2efTZHkDxTNFBvBZ</f>
        <v>#NAME?</v>
      </c>
      <c r="B215">
        <v>55</v>
      </c>
      <c r="C215">
        <v>95</v>
      </c>
      <c r="D215">
        <v>58.49</v>
      </c>
      <c r="E215" t="s">
        <v>6</v>
      </c>
      <c r="F215">
        <f t="shared" si="12"/>
        <v>0</v>
      </c>
      <c r="G215">
        <f t="shared" si="13"/>
        <v>0</v>
      </c>
      <c r="H215">
        <f t="shared" si="14"/>
        <v>1.8539956471763939</v>
      </c>
      <c r="I215">
        <f t="shared" si="15"/>
        <v>0</v>
      </c>
    </row>
    <row r="216" spans="1:9" hidden="1" x14ac:dyDescent="0.35">
      <c r="A216" t="e">
        <f>-L4h2efUnXwPcbPQuRSg</f>
        <v>#NAME?</v>
      </c>
      <c r="B216">
        <v>40</v>
      </c>
      <c r="C216">
        <v>96</v>
      </c>
      <c r="D216">
        <v>29.29</v>
      </c>
      <c r="E216" t="s">
        <v>5</v>
      </c>
      <c r="F216">
        <f t="shared" si="12"/>
        <v>3.4376272483189489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35">
      <c r="A217" t="e">
        <f>-L4h2efUnXwPcbPQuRSh</f>
        <v>#NAME?</v>
      </c>
      <c r="B217">
        <v>20</v>
      </c>
      <c r="C217">
        <v>97</v>
      </c>
      <c r="D217">
        <v>19.190000000000001</v>
      </c>
      <c r="E217" t="s">
        <v>8</v>
      </c>
      <c r="F217">
        <f t="shared" si="12"/>
        <v>0</v>
      </c>
      <c r="G217">
        <f t="shared" si="13"/>
        <v>0</v>
      </c>
      <c r="H217">
        <f t="shared" si="14"/>
        <v>0</v>
      </c>
      <c r="I217">
        <f t="shared" si="15"/>
        <v>-9.6961729887090009E-2</v>
      </c>
    </row>
    <row r="218" spans="1:9" x14ac:dyDescent="0.35">
      <c r="A218" t="e">
        <f>-L4h2efUnXwPcbPQuRSi</f>
        <v>#NAME?</v>
      </c>
      <c r="B218">
        <v>35</v>
      </c>
      <c r="C218">
        <v>98</v>
      </c>
      <c r="D218">
        <v>36.54</v>
      </c>
      <c r="E218" t="s">
        <v>8</v>
      </c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0.73552217729653668</v>
      </c>
    </row>
    <row r="219" spans="1:9" x14ac:dyDescent="0.35">
      <c r="A219" t="e">
        <f>-L4h2efUnXwPcbPQuRSj</f>
        <v>#NAME?</v>
      </c>
      <c r="B219">
        <v>50</v>
      </c>
      <c r="C219">
        <v>99</v>
      </c>
      <c r="D219">
        <v>54.72</v>
      </c>
      <c r="E219" t="s">
        <v>8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2.276496665640356</v>
      </c>
    </row>
    <row r="220" spans="1:9" hidden="1" x14ac:dyDescent="0.35">
      <c r="A220" t="e">
        <f>-L4h2efVJxS_T4V2P3Sb</f>
        <v>#NAME?</v>
      </c>
      <c r="B220">
        <v>25</v>
      </c>
      <c r="C220">
        <v>100</v>
      </c>
      <c r="D220">
        <v>19.190000000000001</v>
      </c>
      <c r="E220" t="s">
        <v>6</v>
      </c>
      <c r="F220">
        <f t="shared" si="12"/>
        <v>0</v>
      </c>
      <c r="G220">
        <f t="shared" si="13"/>
        <v>0</v>
      </c>
      <c r="H220">
        <f t="shared" si="14"/>
        <v>2.569248029867182</v>
      </c>
      <c r="I220">
        <f t="shared" si="15"/>
        <v>0</v>
      </c>
    </row>
    <row r="221" spans="1:9" hidden="1" x14ac:dyDescent="0.35">
      <c r="A221" t="e">
        <f>-L4h2efVJxS_T4V2P3Sc</f>
        <v>#NAME?</v>
      </c>
      <c r="B221">
        <v>40</v>
      </c>
      <c r="C221">
        <v>101</v>
      </c>
      <c r="D221">
        <v>36.54</v>
      </c>
      <c r="E221" t="s">
        <v>7</v>
      </c>
      <c r="F221">
        <f t="shared" si="12"/>
        <v>0</v>
      </c>
      <c r="G221">
        <f t="shared" si="13"/>
        <v>1.8419731189271804</v>
      </c>
      <c r="H221">
        <f t="shared" si="14"/>
        <v>0</v>
      </c>
      <c r="I221">
        <f t="shared" si="15"/>
        <v>0</v>
      </c>
    </row>
    <row r="222" spans="1:9" hidden="1" x14ac:dyDescent="0.35">
      <c r="A222" t="e">
        <f>-L4h2efVJxS_T4V2P3Sd</f>
        <v>#NAME?</v>
      </c>
      <c r="B222">
        <v>20</v>
      </c>
      <c r="C222">
        <v>102</v>
      </c>
      <c r="D222">
        <v>19.79</v>
      </c>
      <c r="E222" t="s">
        <v>7</v>
      </c>
      <c r="F222">
        <f t="shared" si="12"/>
        <v>0</v>
      </c>
      <c r="G222">
        <f t="shared" si="13"/>
        <v>-1.5777669993169487</v>
      </c>
      <c r="H222">
        <f t="shared" si="14"/>
        <v>0</v>
      </c>
      <c r="I222">
        <f t="shared" si="15"/>
        <v>0</v>
      </c>
    </row>
    <row r="223" spans="1:9" hidden="1" x14ac:dyDescent="0.35">
      <c r="A223" t="e">
        <f>-L4h2efVJxS_T4V2P3Se</f>
        <v>#NAME?</v>
      </c>
      <c r="B223">
        <v>80</v>
      </c>
      <c r="C223">
        <v>103</v>
      </c>
      <c r="D223">
        <v>93.55</v>
      </c>
      <c r="E223" t="s">
        <v>5</v>
      </c>
      <c r="F223">
        <f t="shared" si="12"/>
        <v>3.7734689279051943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hidden="1" x14ac:dyDescent="0.35">
      <c r="A224" t="e">
        <f>-L4h2efW1nlIdMoKZyEN</f>
        <v>#NAME?</v>
      </c>
      <c r="B224">
        <v>5</v>
      </c>
      <c r="C224">
        <v>104</v>
      </c>
      <c r="D224">
        <v>3.77</v>
      </c>
      <c r="E224" t="s">
        <v>7</v>
      </c>
      <c r="F224">
        <f t="shared" si="12"/>
        <v>0</v>
      </c>
      <c r="G224">
        <f t="shared" si="13"/>
        <v>0.43829285157914688</v>
      </c>
      <c r="H224">
        <f t="shared" si="14"/>
        <v>0</v>
      </c>
      <c r="I224">
        <f t="shared" si="15"/>
        <v>0</v>
      </c>
    </row>
    <row r="225" spans="1:9" hidden="1" x14ac:dyDescent="0.35">
      <c r="A225" t="e">
        <f>-L4h2efW1nlIdMoKZyEO</f>
        <v>#NAME?</v>
      </c>
      <c r="B225">
        <v>20</v>
      </c>
      <c r="C225">
        <v>105</v>
      </c>
      <c r="D225">
        <v>19.79</v>
      </c>
      <c r="E225" t="s">
        <v>5</v>
      </c>
      <c r="F225">
        <f t="shared" si="12"/>
        <v>-1.5777669993169487</v>
      </c>
      <c r="G225">
        <f t="shared" si="13"/>
        <v>0</v>
      </c>
      <c r="H225">
        <f t="shared" si="14"/>
        <v>0</v>
      </c>
      <c r="I225">
        <f t="shared" si="15"/>
        <v>0</v>
      </c>
    </row>
    <row r="226" spans="1:9" hidden="1" x14ac:dyDescent="0.35">
      <c r="A226" t="e">
        <f>-L4h2efW1nlIdMoKZyEP</f>
        <v>#NAME?</v>
      </c>
      <c r="B226">
        <v>90</v>
      </c>
      <c r="C226">
        <v>106</v>
      </c>
      <c r="D226">
        <v>98.11</v>
      </c>
      <c r="E226" t="s">
        <v>7</v>
      </c>
      <c r="F226">
        <f t="shared" si="12"/>
        <v>0</v>
      </c>
      <c r="G226">
        <f t="shared" si="13"/>
        <v>3.0417686499516305</v>
      </c>
      <c r="H226">
        <f t="shared" si="14"/>
        <v>0</v>
      </c>
      <c r="I226">
        <f t="shared" si="15"/>
        <v>0</v>
      </c>
    </row>
    <row r="227" spans="1:9" x14ac:dyDescent="0.35">
      <c r="A227" t="e">
        <f>-L4h2efW1nlIdMoKZyEQ</f>
        <v>#NAME?</v>
      </c>
      <c r="B227">
        <v>90</v>
      </c>
      <c r="C227">
        <v>107</v>
      </c>
      <c r="D227">
        <v>100</v>
      </c>
      <c r="E227" t="s">
        <v>8</v>
      </c>
      <c r="F227">
        <f t="shared" si="12"/>
        <v>0</v>
      </c>
      <c r="G227">
        <f t="shared" si="13"/>
        <v>0</v>
      </c>
      <c r="H227">
        <f t="shared" si="14"/>
        <v>0</v>
      </c>
      <c r="I227">
        <f t="shared" si="15"/>
        <v>3.3398500028846252</v>
      </c>
    </row>
    <row r="228" spans="1:9" hidden="1" x14ac:dyDescent="0.35">
      <c r="A228" t="e">
        <f>-L4h2efXz0mbcwXT0111</f>
        <v>#NAME?</v>
      </c>
      <c r="B228">
        <v>20</v>
      </c>
      <c r="C228">
        <v>108</v>
      </c>
      <c r="D228">
        <v>19.190000000000001</v>
      </c>
      <c r="E228" t="s">
        <v>5</v>
      </c>
      <c r="F228">
        <f t="shared" si="12"/>
        <v>-9.6961729887090009E-2</v>
      </c>
      <c r="G228">
        <f t="shared" si="13"/>
        <v>0</v>
      </c>
      <c r="H228">
        <f t="shared" si="14"/>
        <v>0</v>
      </c>
      <c r="I228">
        <f t="shared" si="15"/>
        <v>0</v>
      </c>
    </row>
    <row r="229" spans="1:9" hidden="1" x14ac:dyDescent="0.35">
      <c r="A229" t="e">
        <f>-L4h2efYo9Psqu9jKn8b</f>
        <v>#NAME?</v>
      </c>
      <c r="B229">
        <v>40</v>
      </c>
      <c r="C229">
        <v>109</v>
      </c>
      <c r="D229">
        <v>50</v>
      </c>
      <c r="E229" t="s">
        <v>7</v>
      </c>
      <c r="F229">
        <f t="shared" si="12"/>
        <v>0</v>
      </c>
      <c r="G229">
        <f t="shared" si="13"/>
        <v>3.3398500028846252</v>
      </c>
      <c r="H229">
        <f t="shared" si="14"/>
        <v>0</v>
      </c>
      <c r="I229">
        <f t="shared" si="15"/>
        <v>0</v>
      </c>
    </row>
    <row r="230" spans="1:9" hidden="1" x14ac:dyDescent="0.35">
      <c r="A230" t="e">
        <f>-L4h2efYo9Psqu9jKn8c</f>
        <v>#NAME?</v>
      </c>
      <c r="B230">
        <v>95</v>
      </c>
      <c r="C230">
        <v>110</v>
      </c>
      <c r="D230">
        <v>100</v>
      </c>
      <c r="E230" t="s">
        <v>6</v>
      </c>
      <c r="F230">
        <f t="shared" si="12"/>
        <v>0</v>
      </c>
      <c r="G230">
        <f t="shared" si="13"/>
        <v>0</v>
      </c>
      <c r="H230">
        <f t="shared" si="14"/>
        <v>2.3575520046180838</v>
      </c>
      <c r="I230">
        <f t="shared" si="15"/>
        <v>0</v>
      </c>
    </row>
    <row r="231" spans="1:9" hidden="1" x14ac:dyDescent="0.35">
      <c r="A231" t="e">
        <f>-L4h2efYo9Psqu9jKn8d</f>
        <v>#NAME?</v>
      </c>
      <c r="B231">
        <v>30</v>
      </c>
      <c r="C231">
        <v>111</v>
      </c>
      <c r="D231">
        <v>30.21</v>
      </c>
      <c r="E231" t="s">
        <v>7</v>
      </c>
      <c r="F231">
        <f t="shared" si="12"/>
        <v>0</v>
      </c>
      <c r="G231">
        <f t="shared" si="13"/>
        <v>-1.5777669993169487</v>
      </c>
      <c r="H231">
        <f t="shared" si="14"/>
        <v>0</v>
      </c>
      <c r="I231">
        <f t="shared" si="15"/>
        <v>0</v>
      </c>
    </row>
    <row r="232" spans="1:9" hidden="1" x14ac:dyDescent="0.35">
      <c r="A232" t="e">
        <f>-L4h2efZP9UfDgHuzCNF</f>
        <v>#NAME?</v>
      </c>
      <c r="B232">
        <v>80</v>
      </c>
      <c r="C232">
        <v>112</v>
      </c>
      <c r="D232">
        <v>83.87</v>
      </c>
      <c r="E232" t="s">
        <v>6</v>
      </c>
      <c r="F232">
        <f t="shared" si="12"/>
        <v>0</v>
      </c>
      <c r="G232">
        <f t="shared" si="13"/>
        <v>0</v>
      </c>
      <c r="H232">
        <f t="shared" si="14"/>
        <v>1.9981955031532539</v>
      </c>
      <c r="I232">
        <f t="shared" si="15"/>
        <v>0</v>
      </c>
    </row>
    <row r="233" spans="1:9" hidden="1" x14ac:dyDescent="0.35">
      <c r="A233" t="e">
        <f>-L4h2efZP9UfDgHuzCNG</f>
        <v>#NAME?</v>
      </c>
      <c r="B233">
        <v>5</v>
      </c>
      <c r="C233">
        <v>113</v>
      </c>
      <c r="D233">
        <v>6.45</v>
      </c>
      <c r="E233" t="s">
        <v>5</v>
      </c>
      <c r="F233">
        <f t="shared" si="12"/>
        <v>0.65535182861255425</v>
      </c>
      <c r="G233">
        <f t="shared" si="13"/>
        <v>0</v>
      </c>
      <c r="H233">
        <f t="shared" si="14"/>
        <v>0</v>
      </c>
      <c r="I233">
        <f t="shared" si="15"/>
        <v>0</v>
      </c>
    </row>
    <row r="234" spans="1:9" hidden="1" x14ac:dyDescent="0.35">
      <c r="A234" t="e">
        <f>-L4h2efZP9UfDgHuzCNH</f>
        <v>#NAME?</v>
      </c>
      <c r="B234">
        <v>95</v>
      </c>
      <c r="C234">
        <v>114</v>
      </c>
      <c r="D234">
        <v>96.97</v>
      </c>
      <c r="E234" t="s">
        <v>5</v>
      </c>
      <c r="F234">
        <f t="shared" si="12"/>
        <v>1.0669502439246261</v>
      </c>
      <c r="G234">
        <f t="shared" si="13"/>
        <v>0</v>
      </c>
      <c r="H234">
        <f t="shared" si="14"/>
        <v>0</v>
      </c>
      <c r="I234">
        <f t="shared" si="15"/>
        <v>0</v>
      </c>
    </row>
    <row r="235" spans="1:9" hidden="1" x14ac:dyDescent="0.35">
      <c r="A235" t="e">
        <f>-L4h2efZP9UfDgHuzCNI</f>
        <v>#NAME?</v>
      </c>
      <c r="B235">
        <v>30</v>
      </c>
      <c r="C235">
        <v>115</v>
      </c>
      <c r="D235">
        <v>35.85</v>
      </c>
      <c r="E235" t="s">
        <v>7</v>
      </c>
      <c r="F235">
        <f t="shared" si="12"/>
        <v>0</v>
      </c>
      <c r="G235">
        <f t="shared" si="13"/>
        <v>2.5789387130933865</v>
      </c>
      <c r="H235">
        <f t="shared" si="14"/>
        <v>0</v>
      </c>
      <c r="I235">
        <f t="shared" si="15"/>
        <v>0</v>
      </c>
    </row>
    <row r="236" spans="1:9" hidden="1" x14ac:dyDescent="0.35">
      <c r="A236" t="e">
        <f>-L4h2ef_0WeOVw8iNxuB</f>
        <v>#NAME?</v>
      </c>
      <c r="B236">
        <v>40</v>
      </c>
      <c r="C236">
        <v>116</v>
      </c>
      <c r="D236">
        <v>58.49</v>
      </c>
      <c r="E236" t="s">
        <v>7</v>
      </c>
      <c r="F236">
        <f t="shared" si="12"/>
        <v>0</v>
      </c>
      <c r="G236">
        <f t="shared" si="13"/>
        <v>4.2183937110767884</v>
      </c>
      <c r="H236">
        <f t="shared" si="14"/>
        <v>0</v>
      </c>
      <c r="I236">
        <f t="shared" si="15"/>
        <v>0</v>
      </c>
    </row>
    <row r="237" spans="1:9" hidden="1" x14ac:dyDescent="0.35">
      <c r="A237" t="e">
        <f>-L4h2ef_0WeOVw8iNxuC</f>
        <v>#NAME?</v>
      </c>
      <c r="B237">
        <v>30</v>
      </c>
      <c r="C237">
        <v>117</v>
      </c>
      <c r="D237">
        <v>35.85</v>
      </c>
      <c r="E237" t="s">
        <v>5</v>
      </c>
      <c r="F237">
        <f t="shared" si="12"/>
        <v>2.5789387130933865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1:9" hidden="1" x14ac:dyDescent="0.35">
      <c r="A238" t="e">
        <f>-L4h2ef_0WeOVw8iNxuD</f>
        <v>#NAME?</v>
      </c>
      <c r="B238">
        <v>60</v>
      </c>
      <c r="C238">
        <v>118</v>
      </c>
      <c r="D238">
        <v>73.08</v>
      </c>
      <c r="E238" t="s">
        <v>6</v>
      </c>
      <c r="F238">
        <f t="shared" si="12"/>
        <v>0</v>
      </c>
      <c r="G238">
        <f t="shared" si="13"/>
        <v>0</v>
      </c>
      <c r="H238">
        <f t="shared" si="14"/>
        <v>3.723012396392368</v>
      </c>
      <c r="I238">
        <f t="shared" si="15"/>
        <v>0</v>
      </c>
    </row>
    <row r="239" spans="1:9" hidden="1" x14ac:dyDescent="0.35">
      <c r="A239" t="e">
        <f>-L4h2ef_0WeOVw8iNxuE</f>
        <v>#NAME?</v>
      </c>
      <c r="B239">
        <v>55</v>
      </c>
      <c r="C239">
        <v>119</v>
      </c>
      <c r="D239">
        <v>55.77</v>
      </c>
      <c r="E239" t="s">
        <v>6</v>
      </c>
      <c r="F239">
        <f t="shared" si="12"/>
        <v>0</v>
      </c>
      <c r="G239">
        <f t="shared" si="13"/>
        <v>0</v>
      </c>
      <c r="H239">
        <f t="shared" si="14"/>
        <v>-0.16004041251046325</v>
      </c>
      <c r="I239">
        <f t="shared" si="15"/>
        <v>0</v>
      </c>
    </row>
    <row r="240" spans="1:9" hidden="1" x14ac:dyDescent="0.35">
      <c r="A240" t="e">
        <f>-L4h2efa1AnOz8z8bVTi</f>
        <v>#NAME?</v>
      </c>
      <c r="B240">
        <v>3</v>
      </c>
      <c r="C240">
        <v>120</v>
      </c>
      <c r="D240">
        <v>2.08</v>
      </c>
      <c r="E240" t="s">
        <v>6</v>
      </c>
      <c r="F240">
        <f t="shared" si="12"/>
        <v>0</v>
      </c>
      <c r="G240">
        <f t="shared" si="13"/>
        <v>0</v>
      </c>
      <c r="H240">
        <f t="shared" si="14"/>
        <v>6.3502942306157953E-2</v>
      </c>
      <c r="I240">
        <f t="shared" si="15"/>
        <v>0</v>
      </c>
    </row>
    <row r="241" spans="1:9" hidden="1" x14ac:dyDescent="0.35">
      <c r="A241" t="e">
        <f>-L4h2efa1AnOz8z8bVTj</f>
        <v>#NAME?</v>
      </c>
      <c r="B241">
        <v>55</v>
      </c>
      <c r="C241">
        <v>121</v>
      </c>
      <c r="D241">
        <v>55.21</v>
      </c>
      <c r="E241" t="s">
        <v>6</v>
      </c>
      <c r="F241">
        <f t="shared" si="12"/>
        <v>0</v>
      </c>
      <c r="G241">
        <f t="shared" si="13"/>
        <v>0</v>
      </c>
      <c r="H241">
        <f t="shared" si="14"/>
        <v>-1.5777669993169487</v>
      </c>
      <c r="I241">
        <f t="shared" si="15"/>
        <v>0</v>
      </c>
    </row>
    <row r="242" spans="1:9" hidden="1" x14ac:dyDescent="0.35">
      <c r="A242" t="e">
        <f>-L4h2hod9VFZyDuG-NF1</f>
        <v>#NAME?</v>
      </c>
      <c r="B242">
        <v>20</v>
      </c>
      <c r="C242">
        <v>2</v>
      </c>
      <c r="D242">
        <v>19.79</v>
      </c>
      <c r="E242" t="s">
        <v>5</v>
      </c>
      <c r="F242">
        <f t="shared" si="12"/>
        <v>-1.5777669993169487</v>
      </c>
      <c r="G242">
        <f t="shared" si="13"/>
        <v>0</v>
      </c>
      <c r="H242">
        <f t="shared" si="14"/>
        <v>0</v>
      </c>
      <c r="I242">
        <f t="shared" si="15"/>
        <v>0</v>
      </c>
    </row>
    <row r="243" spans="1:9" x14ac:dyDescent="0.35">
      <c r="A243" t="e">
        <f>-L4h2hoeYSO9d2QxLPVq</f>
        <v>#NAME?</v>
      </c>
      <c r="B243">
        <v>30</v>
      </c>
      <c r="C243">
        <v>3</v>
      </c>
      <c r="D243">
        <v>35.85</v>
      </c>
      <c r="E243" t="s">
        <v>8</v>
      </c>
      <c r="F243">
        <f t="shared" si="12"/>
        <v>0</v>
      </c>
      <c r="G243">
        <f t="shared" si="13"/>
        <v>0</v>
      </c>
      <c r="H243">
        <f t="shared" si="14"/>
        <v>0</v>
      </c>
      <c r="I243">
        <f t="shared" si="15"/>
        <v>2.5789387130933865</v>
      </c>
    </row>
    <row r="244" spans="1:9" hidden="1" x14ac:dyDescent="0.35">
      <c r="A244" t="e">
        <f>-L4h2hoeYSO9d2QxLPVr</f>
        <v>#NAME?</v>
      </c>
      <c r="B244">
        <v>40</v>
      </c>
      <c r="C244">
        <v>4</v>
      </c>
      <c r="D244">
        <v>50</v>
      </c>
      <c r="E244" t="s">
        <v>7</v>
      </c>
      <c r="F244">
        <f t="shared" si="12"/>
        <v>0</v>
      </c>
      <c r="G244">
        <f t="shared" si="13"/>
        <v>3.3398500028846252</v>
      </c>
      <c r="H244">
        <f t="shared" si="14"/>
        <v>0</v>
      </c>
      <c r="I244">
        <f t="shared" si="15"/>
        <v>0</v>
      </c>
    </row>
    <row r="245" spans="1:9" hidden="1" x14ac:dyDescent="0.35">
      <c r="A245" t="e">
        <f>-L4h2hofZuSW_cs1KoXo</f>
        <v>#NAME?</v>
      </c>
      <c r="B245">
        <v>15</v>
      </c>
      <c r="C245">
        <v>5</v>
      </c>
      <c r="D245">
        <v>26.26</v>
      </c>
      <c r="E245" t="s">
        <v>7</v>
      </c>
      <c r="F245">
        <f t="shared" si="12"/>
        <v>0</v>
      </c>
      <c r="G245">
        <f t="shared" si="13"/>
        <v>3.5090623863618982</v>
      </c>
      <c r="H245">
        <f t="shared" si="14"/>
        <v>0</v>
      </c>
      <c r="I245">
        <f t="shared" si="15"/>
        <v>0</v>
      </c>
    </row>
    <row r="246" spans="1:9" hidden="1" x14ac:dyDescent="0.35">
      <c r="A246" t="e">
        <f>-L4h2hofZuSW_cs1KoXp</f>
        <v>#NAME?</v>
      </c>
      <c r="B246">
        <v>52</v>
      </c>
      <c r="C246">
        <v>6</v>
      </c>
      <c r="D246">
        <v>54.72</v>
      </c>
      <c r="E246" t="s">
        <v>5</v>
      </c>
      <c r="F246">
        <f t="shared" si="12"/>
        <v>1.5084286525318567</v>
      </c>
      <c r="G246">
        <f t="shared" si="13"/>
        <v>0</v>
      </c>
      <c r="H246">
        <f t="shared" si="14"/>
        <v>0</v>
      </c>
      <c r="I246">
        <f t="shared" si="15"/>
        <v>0</v>
      </c>
    </row>
    <row r="247" spans="1:9" hidden="1" x14ac:dyDescent="0.35">
      <c r="A247" t="e">
        <f>-L4h2hofZuSW_cs1KoXq</f>
        <v>#NAME?</v>
      </c>
      <c r="B247">
        <v>7</v>
      </c>
      <c r="C247">
        <v>7</v>
      </c>
      <c r="D247">
        <v>6.45</v>
      </c>
      <c r="E247" t="s">
        <v>7</v>
      </c>
      <c r="F247">
        <f t="shared" si="12"/>
        <v>0</v>
      </c>
      <c r="G247">
        <f t="shared" si="13"/>
        <v>-0.56704059272389429</v>
      </c>
      <c r="H247">
        <f t="shared" si="14"/>
        <v>0</v>
      </c>
      <c r="I247">
        <f t="shared" si="15"/>
        <v>0</v>
      </c>
    </row>
    <row r="248" spans="1:9" hidden="1" x14ac:dyDescent="0.35">
      <c r="A248" t="e">
        <f>-L4h2hogiPCjealsLox1</f>
        <v>#NAME?</v>
      </c>
      <c r="B248">
        <v>5</v>
      </c>
      <c r="C248">
        <v>8</v>
      </c>
      <c r="D248">
        <v>2.02</v>
      </c>
      <c r="E248" t="s">
        <v>7</v>
      </c>
      <c r="F248">
        <f t="shared" si="12"/>
        <v>0</v>
      </c>
      <c r="G248">
        <f t="shared" si="13"/>
        <v>1.6345932684457567</v>
      </c>
      <c r="H248">
        <f t="shared" si="14"/>
        <v>0</v>
      </c>
      <c r="I248">
        <f t="shared" si="15"/>
        <v>0</v>
      </c>
    </row>
    <row r="249" spans="1:9" x14ac:dyDescent="0.35">
      <c r="A249" t="e">
        <f>-L4h2hogiPCjealsLox2</f>
        <v>#NAME?</v>
      </c>
      <c r="B249">
        <v>53</v>
      </c>
      <c r="C249">
        <v>9</v>
      </c>
      <c r="D249">
        <v>54.17</v>
      </c>
      <c r="E249" t="s">
        <v>8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0.37295209791183109</v>
      </c>
    </row>
    <row r="250" spans="1:9" hidden="1" x14ac:dyDescent="0.35">
      <c r="A250" t="e">
        <f>-L4h2hohZ5xRaA8qjGq0</f>
        <v>#NAME?</v>
      </c>
      <c r="B250">
        <v>25</v>
      </c>
      <c r="C250">
        <v>10</v>
      </c>
      <c r="D250">
        <v>19.190000000000001</v>
      </c>
      <c r="E250" t="s">
        <v>6</v>
      </c>
      <c r="F250">
        <f t="shared" si="12"/>
        <v>0</v>
      </c>
      <c r="G250">
        <f t="shared" si="13"/>
        <v>0</v>
      </c>
      <c r="H250">
        <f t="shared" si="14"/>
        <v>2.569248029867182</v>
      </c>
      <c r="I250">
        <f t="shared" si="15"/>
        <v>0</v>
      </c>
    </row>
    <row r="251" spans="1:9" hidden="1" x14ac:dyDescent="0.35">
      <c r="A251" t="e">
        <f>-L4h2hoiI2Tiv2juJNqN</f>
        <v>#NAME?</v>
      </c>
      <c r="B251">
        <v>90</v>
      </c>
      <c r="C251">
        <v>11</v>
      </c>
      <c r="D251">
        <v>89.66</v>
      </c>
      <c r="E251" t="s">
        <v>6</v>
      </c>
      <c r="F251">
        <f t="shared" si="12"/>
        <v>0</v>
      </c>
      <c r="G251">
        <f t="shared" si="13"/>
        <v>0</v>
      </c>
      <c r="H251">
        <f t="shared" si="14"/>
        <v>-1.1046973786666827</v>
      </c>
      <c r="I251">
        <f t="shared" si="15"/>
        <v>0</v>
      </c>
    </row>
    <row r="252" spans="1:9" hidden="1" x14ac:dyDescent="0.35">
      <c r="A252" t="e">
        <f>-L4h2hoiI2Tiv2juJNqO</f>
        <v>#NAME?</v>
      </c>
      <c r="B252">
        <v>33</v>
      </c>
      <c r="C252">
        <v>12</v>
      </c>
      <c r="D252">
        <v>26.26</v>
      </c>
      <c r="E252" t="s">
        <v>5</v>
      </c>
      <c r="F252">
        <f t="shared" si="12"/>
        <v>2.7792597203723757</v>
      </c>
      <c r="G252">
        <f t="shared" si="13"/>
        <v>0</v>
      </c>
      <c r="H252">
        <f t="shared" si="14"/>
        <v>0</v>
      </c>
      <c r="I252">
        <f t="shared" si="15"/>
        <v>0</v>
      </c>
    </row>
    <row r="253" spans="1:9" hidden="1" x14ac:dyDescent="0.35">
      <c r="A253" t="e">
        <f>-L4h2hojhagEcrONH7uq</f>
        <v>#NAME?</v>
      </c>
      <c r="B253">
        <v>60</v>
      </c>
      <c r="C253">
        <v>13</v>
      </c>
      <c r="D253">
        <v>65.52</v>
      </c>
      <c r="E253" t="s">
        <v>5</v>
      </c>
      <c r="F253">
        <f t="shared" si="12"/>
        <v>2.4969735809982749</v>
      </c>
      <c r="G253">
        <f t="shared" si="13"/>
        <v>0</v>
      </c>
      <c r="H253">
        <f t="shared" si="14"/>
        <v>0</v>
      </c>
      <c r="I253">
        <f t="shared" si="15"/>
        <v>0</v>
      </c>
    </row>
    <row r="254" spans="1:9" x14ac:dyDescent="0.35">
      <c r="A254" t="e">
        <f>-L4h2hojhagEcrONH7ur</f>
        <v>#NAME?</v>
      </c>
      <c r="B254">
        <v>5</v>
      </c>
      <c r="C254">
        <v>14</v>
      </c>
      <c r="D254">
        <v>2.08</v>
      </c>
      <c r="E254" t="s">
        <v>8</v>
      </c>
      <c r="F254">
        <f t="shared" si="12"/>
        <v>0</v>
      </c>
      <c r="G254">
        <f t="shared" si="13"/>
        <v>0</v>
      </c>
      <c r="H254">
        <f t="shared" si="14"/>
        <v>0</v>
      </c>
      <c r="I254">
        <f t="shared" si="15"/>
        <v>1.6064422281316078</v>
      </c>
    </row>
    <row r="255" spans="1:9" hidden="1" x14ac:dyDescent="0.35">
      <c r="A255" t="e">
        <f>-L4h2hojhagEcrONH7us</f>
        <v>#NAME?</v>
      </c>
      <c r="B255">
        <v>20</v>
      </c>
      <c r="C255">
        <v>15</v>
      </c>
      <c r="D255">
        <v>19.79</v>
      </c>
      <c r="E255" t="s">
        <v>7</v>
      </c>
      <c r="F255">
        <f t="shared" si="12"/>
        <v>0</v>
      </c>
      <c r="G255">
        <f t="shared" si="13"/>
        <v>-1.5777669993169487</v>
      </c>
      <c r="H255">
        <f t="shared" si="14"/>
        <v>0</v>
      </c>
      <c r="I255">
        <f t="shared" si="15"/>
        <v>0</v>
      </c>
    </row>
    <row r="256" spans="1:9" x14ac:dyDescent="0.35">
      <c r="A256" t="s">
        <v>13</v>
      </c>
      <c r="B256">
        <v>55</v>
      </c>
      <c r="C256">
        <v>16</v>
      </c>
      <c r="D256">
        <v>65.52</v>
      </c>
      <c r="E256" t="s">
        <v>8</v>
      </c>
      <c r="F256">
        <f t="shared" si="12"/>
        <v>0</v>
      </c>
      <c r="G256">
        <f t="shared" si="13"/>
        <v>0</v>
      </c>
      <c r="H256">
        <f t="shared" si="14"/>
        <v>0</v>
      </c>
      <c r="I256">
        <f t="shared" si="15"/>
        <v>3.412104044677569</v>
      </c>
    </row>
    <row r="257" spans="1:9" hidden="1" x14ac:dyDescent="0.35">
      <c r="A257" t="s">
        <v>14</v>
      </c>
      <c r="B257">
        <v>50</v>
      </c>
      <c r="C257">
        <v>17</v>
      </c>
      <c r="D257">
        <v>50</v>
      </c>
      <c r="E257" t="s">
        <v>6</v>
      </c>
      <c r="F257">
        <f t="shared" si="12"/>
        <v>0</v>
      </c>
      <c r="G257">
        <f t="shared" si="13"/>
        <v>0</v>
      </c>
      <c r="H257">
        <f t="shared" si="14"/>
        <v>-3</v>
      </c>
      <c r="I257">
        <f t="shared" si="15"/>
        <v>0</v>
      </c>
    </row>
    <row r="258" spans="1:9" x14ac:dyDescent="0.35">
      <c r="A258" t="e">
        <f>-L4h2holB9c6XsNvWVaB</f>
        <v>#NAME?</v>
      </c>
      <c r="B258">
        <v>99</v>
      </c>
      <c r="C258">
        <v>18</v>
      </c>
      <c r="D258">
        <v>100</v>
      </c>
      <c r="E258" t="s">
        <v>8</v>
      </c>
      <c r="F258">
        <f t="shared" si="12"/>
        <v>0</v>
      </c>
      <c r="G258">
        <f t="shared" si="13"/>
        <v>0</v>
      </c>
      <c r="H258">
        <f t="shared" si="14"/>
        <v>0</v>
      </c>
      <c r="I258">
        <f t="shared" si="15"/>
        <v>0.16992500144231237</v>
      </c>
    </row>
    <row r="259" spans="1:9" x14ac:dyDescent="0.35">
      <c r="A259" t="e">
        <f>-L4h2hom9QpBiGX0yDGC</f>
        <v>#NAME?</v>
      </c>
      <c r="B259">
        <v>55</v>
      </c>
      <c r="C259">
        <v>19</v>
      </c>
      <c r="D259">
        <v>54.72</v>
      </c>
      <c r="E259" t="s">
        <v>8</v>
      </c>
      <c r="F259">
        <f t="shared" ref="F259:F322" si="16">IF(EXACT(E259, "Bar"),LOG(ABS(B259-D259) + 1/8, 2), 0)</f>
        <v>0</v>
      </c>
      <c r="G259">
        <f t="shared" ref="G259:G322" si="17">IF(EXACT(E259, "Pie"),LOG(ABS(B259-D259) + 1/8, 2), 0)</f>
        <v>0</v>
      </c>
      <c r="H259">
        <f t="shared" ref="H259:H322" si="18">IF(EXACT(E259, "HBar"),LOG(ABS(B259-D259) + 1/8, 2), 0)</f>
        <v>0</v>
      </c>
      <c r="I259">
        <f t="shared" ref="I259:I322" si="19">IF(EXACT(E259, "UDBar"),LOG(ABS(B259-D259) + 1/8, 2), 0)</f>
        <v>-1.3040061868900958</v>
      </c>
    </row>
    <row r="260" spans="1:9" hidden="1" x14ac:dyDescent="0.35">
      <c r="A260" t="e">
        <f>-L4h2hom9QpBiGX0yDGD</f>
        <v>#NAME?</v>
      </c>
      <c r="B260">
        <v>30</v>
      </c>
      <c r="C260">
        <v>20</v>
      </c>
      <c r="D260">
        <v>35.85</v>
      </c>
      <c r="E260" t="s">
        <v>7</v>
      </c>
      <c r="F260">
        <f t="shared" si="16"/>
        <v>0</v>
      </c>
      <c r="G260">
        <f t="shared" si="17"/>
        <v>2.5789387130933865</v>
      </c>
      <c r="H260">
        <f t="shared" si="18"/>
        <v>0</v>
      </c>
      <c r="I260">
        <f t="shared" si="19"/>
        <v>0</v>
      </c>
    </row>
    <row r="261" spans="1:9" hidden="1" x14ac:dyDescent="0.35">
      <c r="A261" t="e">
        <f>-L4h2hond4m6bj1Hs5J1</f>
        <v>#NAME?</v>
      </c>
      <c r="B261">
        <v>30</v>
      </c>
      <c r="C261">
        <v>21</v>
      </c>
      <c r="D261">
        <v>30.21</v>
      </c>
      <c r="E261" t="s">
        <v>5</v>
      </c>
      <c r="F261">
        <f t="shared" si="16"/>
        <v>-1.5777669993169487</v>
      </c>
      <c r="G261">
        <f t="shared" si="17"/>
        <v>0</v>
      </c>
      <c r="H261">
        <f t="shared" si="18"/>
        <v>0</v>
      </c>
      <c r="I261">
        <f t="shared" si="19"/>
        <v>0</v>
      </c>
    </row>
    <row r="262" spans="1:9" hidden="1" x14ac:dyDescent="0.35">
      <c r="A262" t="e">
        <f>-L4h2hond4m6bj1Hs5J2</f>
        <v>#NAME?</v>
      </c>
      <c r="B262">
        <v>50</v>
      </c>
      <c r="C262">
        <v>22</v>
      </c>
      <c r="D262">
        <v>54.72</v>
      </c>
      <c r="E262" t="s">
        <v>7</v>
      </c>
      <c r="F262">
        <f t="shared" si="16"/>
        <v>0</v>
      </c>
      <c r="G262">
        <f t="shared" si="17"/>
        <v>2.276496665640356</v>
      </c>
      <c r="H262">
        <f t="shared" si="18"/>
        <v>0</v>
      </c>
      <c r="I262">
        <f t="shared" si="19"/>
        <v>0</v>
      </c>
    </row>
    <row r="263" spans="1:9" x14ac:dyDescent="0.35">
      <c r="A263" t="s">
        <v>15</v>
      </c>
      <c r="B263">
        <v>15</v>
      </c>
      <c r="C263">
        <v>23</v>
      </c>
      <c r="D263">
        <v>19.79</v>
      </c>
      <c r="E263" t="s">
        <v>8</v>
      </c>
      <c r="F263">
        <f t="shared" si="16"/>
        <v>0</v>
      </c>
      <c r="G263">
        <f t="shared" si="17"/>
        <v>0</v>
      </c>
      <c r="H263">
        <f t="shared" si="18"/>
        <v>0</v>
      </c>
      <c r="I263">
        <f t="shared" si="19"/>
        <v>2.2971914165658558</v>
      </c>
    </row>
    <row r="264" spans="1:9" hidden="1" x14ac:dyDescent="0.35">
      <c r="A264" t="e">
        <f>-L4h2hoobRJl4mKZ0Vg0</f>
        <v>#NAME?</v>
      </c>
      <c r="B264">
        <v>10</v>
      </c>
      <c r="C264">
        <v>24</v>
      </c>
      <c r="D264">
        <v>10.53</v>
      </c>
      <c r="E264" t="s">
        <v>6</v>
      </c>
      <c r="F264">
        <f t="shared" si="16"/>
        <v>0</v>
      </c>
      <c r="G264">
        <f t="shared" si="17"/>
        <v>0</v>
      </c>
      <c r="H264">
        <f t="shared" si="18"/>
        <v>-0.61043318823727588</v>
      </c>
      <c r="I264">
        <f t="shared" si="19"/>
        <v>0</v>
      </c>
    </row>
    <row r="265" spans="1:9" hidden="1" x14ac:dyDescent="0.35">
      <c r="A265" t="e">
        <f>-L4h2hoobRJl4mKZ0Vg1</f>
        <v>#NAME?</v>
      </c>
      <c r="B265">
        <v>51</v>
      </c>
      <c r="C265">
        <v>25</v>
      </c>
      <c r="D265">
        <v>53.54</v>
      </c>
      <c r="E265" t="s">
        <v>5</v>
      </c>
      <c r="F265">
        <f t="shared" si="16"/>
        <v>1.4141355329844507</v>
      </c>
      <c r="G265">
        <f t="shared" si="17"/>
        <v>0</v>
      </c>
      <c r="H265">
        <f t="shared" si="18"/>
        <v>0</v>
      </c>
      <c r="I265">
        <f t="shared" si="19"/>
        <v>0</v>
      </c>
    </row>
    <row r="266" spans="1:9" hidden="1" x14ac:dyDescent="0.35">
      <c r="A266" t="e">
        <f>-L4h2hopTp3sCQzAUPCr</f>
        <v>#NAME?</v>
      </c>
      <c r="B266">
        <v>95</v>
      </c>
      <c r="C266">
        <v>26</v>
      </c>
      <c r="D266">
        <v>100</v>
      </c>
      <c r="E266" t="s">
        <v>7</v>
      </c>
      <c r="F266">
        <f t="shared" si="16"/>
        <v>0</v>
      </c>
      <c r="G266">
        <f t="shared" si="17"/>
        <v>2.3575520046180838</v>
      </c>
      <c r="H266">
        <f t="shared" si="18"/>
        <v>0</v>
      </c>
      <c r="I266">
        <f t="shared" si="19"/>
        <v>0</v>
      </c>
    </row>
    <row r="267" spans="1:9" x14ac:dyDescent="0.35">
      <c r="A267" t="e">
        <f>-L4h2hopTp3sCQzAUPCs</f>
        <v>#NAME?</v>
      </c>
      <c r="B267">
        <v>35</v>
      </c>
      <c r="C267">
        <v>27</v>
      </c>
      <c r="D267">
        <v>35.85</v>
      </c>
      <c r="E267" t="s">
        <v>8</v>
      </c>
      <c r="F267">
        <f t="shared" si="16"/>
        <v>0</v>
      </c>
      <c r="G267">
        <f t="shared" si="17"/>
        <v>0</v>
      </c>
      <c r="H267">
        <f t="shared" si="18"/>
        <v>0</v>
      </c>
      <c r="I267">
        <f t="shared" si="19"/>
        <v>-3.6525876025111904E-2</v>
      </c>
    </row>
    <row r="268" spans="1:9" hidden="1" x14ac:dyDescent="0.35">
      <c r="A268" t="e">
        <f>-L4h2horDztvIRu2IX-d</f>
        <v>#NAME?</v>
      </c>
      <c r="B268">
        <v>98</v>
      </c>
      <c r="C268">
        <v>28</v>
      </c>
      <c r="D268">
        <v>100</v>
      </c>
      <c r="E268" t="s">
        <v>7</v>
      </c>
      <c r="F268">
        <f t="shared" si="16"/>
        <v>0</v>
      </c>
      <c r="G268">
        <f t="shared" si="17"/>
        <v>1.0874628412503395</v>
      </c>
      <c r="H268">
        <f t="shared" si="18"/>
        <v>0</v>
      </c>
      <c r="I268">
        <f t="shared" si="19"/>
        <v>0</v>
      </c>
    </row>
    <row r="269" spans="1:9" hidden="1" x14ac:dyDescent="0.35">
      <c r="A269" t="e">
        <f>-L4h2horDztvIRu2IX-e</f>
        <v>#NAME?</v>
      </c>
      <c r="B269">
        <v>60</v>
      </c>
      <c r="C269">
        <v>29</v>
      </c>
      <c r="D269">
        <v>61.29</v>
      </c>
      <c r="E269" t="s">
        <v>5</v>
      </c>
      <c r="F269">
        <f t="shared" si="16"/>
        <v>0.50080205305715675</v>
      </c>
      <c r="G269">
        <f t="shared" si="17"/>
        <v>0</v>
      </c>
      <c r="H269">
        <f t="shared" si="18"/>
        <v>0</v>
      </c>
      <c r="I269">
        <f t="shared" si="19"/>
        <v>0</v>
      </c>
    </row>
    <row r="270" spans="1:9" hidden="1" x14ac:dyDescent="0.35">
      <c r="A270" t="e">
        <f>-L4h2hoslQQ2cbAp_zOZ</f>
        <v>#NAME?</v>
      </c>
      <c r="B270">
        <v>12</v>
      </c>
      <c r="C270">
        <v>30</v>
      </c>
      <c r="D270">
        <v>19.190000000000001</v>
      </c>
      <c r="E270" t="s">
        <v>7</v>
      </c>
      <c r="F270">
        <f t="shared" si="16"/>
        <v>0</v>
      </c>
      <c r="G270">
        <f t="shared" si="17"/>
        <v>2.8708578643637628</v>
      </c>
      <c r="H270">
        <f t="shared" si="18"/>
        <v>0</v>
      </c>
      <c r="I270">
        <f t="shared" si="19"/>
        <v>0</v>
      </c>
    </row>
    <row r="271" spans="1:9" hidden="1" x14ac:dyDescent="0.35">
      <c r="A271" t="e">
        <f>-L4h2hoslQQ2cbAp_zO_</f>
        <v>#NAME?</v>
      </c>
      <c r="B271">
        <v>35</v>
      </c>
      <c r="C271">
        <v>31</v>
      </c>
      <c r="D271">
        <v>27.08</v>
      </c>
      <c r="E271" t="s">
        <v>5</v>
      </c>
      <c r="F271">
        <f t="shared" si="16"/>
        <v>3.0080924209487221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hidden="1" x14ac:dyDescent="0.35">
      <c r="A272" t="e">
        <f>-L4h2hoslQQ2cbAp_zOa</f>
        <v>#NAME?</v>
      </c>
      <c r="B272">
        <v>98</v>
      </c>
      <c r="C272">
        <v>32</v>
      </c>
      <c r="D272">
        <v>100</v>
      </c>
      <c r="E272" t="s">
        <v>6</v>
      </c>
      <c r="F272">
        <f t="shared" si="16"/>
        <v>0</v>
      </c>
      <c r="G272">
        <f t="shared" si="17"/>
        <v>0</v>
      </c>
      <c r="H272">
        <f t="shared" si="18"/>
        <v>1.0874628412503395</v>
      </c>
      <c r="I272">
        <f t="shared" si="19"/>
        <v>0</v>
      </c>
    </row>
    <row r="273" spans="1:9" x14ac:dyDescent="0.35">
      <c r="A273" t="e">
        <f>-L4h2hotOsfgTYzGkv9h</f>
        <v>#NAME?</v>
      </c>
      <c r="B273">
        <v>40</v>
      </c>
      <c r="C273">
        <v>33</v>
      </c>
      <c r="D273">
        <v>35.85</v>
      </c>
      <c r="E273" t="s">
        <v>8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2.0959244199985352</v>
      </c>
    </row>
    <row r="274" spans="1:9" hidden="1" x14ac:dyDescent="0.35">
      <c r="A274" t="e">
        <f>-L4h2hotOsfgTYzGkv9i</f>
        <v>#NAME?</v>
      </c>
      <c r="B274">
        <v>50</v>
      </c>
      <c r="C274">
        <v>34</v>
      </c>
      <c r="D274">
        <v>52.53</v>
      </c>
      <c r="E274" t="s">
        <v>5</v>
      </c>
      <c r="F274">
        <f t="shared" si="16"/>
        <v>1.4087118610294296</v>
      </c>
      <c r="G274">
        <f t="shared" si="17"/>
        <v>0</v>
      </c>
      <c r="H274">
        <f t="shared" si="18"/>
        <v>0</v>
      </c>
      <c r="I274">
        <f t="shared" si="19"/>
        <v>0</v>
      </c>
    </row>
    <row r="275" spans="1:9" hidden="1" x14ac:dyDescent="0.35">
      <c r="A275" t="e">
        <f>-L4h2hotOsfgTYzGkv9j</f>
        <v>#NAME?</v>
      </c>
      <c r="B275">
        <v>50</v>
      </c>
      <c r="C275">
        <v>35</v>
      </c>
      <c r="D275">
        <v>58.49</v>
      </c>
      <c r="E275" t="s">
        <v>7</v>
      </c>
      <c r="F275">
        <f t="shared" si="16"/>
        <v>0</v>
      </c>
      <c r="G275">
        <f t="shared" si="17"/>
        <v>3.1068507964502241</v>
      </c>
      <c r="H275">
        <f t="shared" si="18"/>
        <v>0</v>
      </c>
      <c r="I275">
        <f t="shared" si="19"/>
        <v>0</v>
      </c>
    </row>
    <row r="276" spans="1:9" hidden="1" x14ac:dyDescent="0.35">
      <c r="A276" t="e">
        <f>-L4h2houOq4cB7tfAQHz</f>
        <v>#NAME?</v>
      </c>
      <c r="B276">
        <v>40</v>
      </c>
      <c r="C276">
        <v>36</v>
      </c>
      <c r="D276">
        <v>30.21</v>
      </c>
      <c r="E276" t="s">
        <v>6</v>
      </c>
      <c r="F276">
        <f t="shared" si="16"/>
        <v>0</v>
      </c>
      <c r="G276">
        <f t="shared" si="17"/>
        <v>0</v>
      </c>
      <c r="H276">
        <f t="shared" si="18"/>
        <v>3.3096127724541229</v>
      </c>
      <c r="I276">
        <f t="shared" si="19"/>
        <v>0</v>
      </c>
    </row>
    <row r="277" spans="1:9" hidden="1" x14ac:dyDescent="0.35">
      <c r="A277" t="s">
        <v>16</v>
      </c>
      <c r="B277">
        <v>40</v>
      </c>
      <c r="C277">
        <v>37</v>
      </c>
      <c r="D277">
        <v>36.54</v>
      </c>
      <c r="E277" t="s">
        <v>6</v>
      </c>
      <c r="F277">
        <f t="shared" si="16"/>
        <v>0</v>
      </c>
      <c r="G277">
        <f t="shared" si="17"/>
        <v>0</v>
      </c>
      <c r="H277">
        <f t="shared" si="18"/>
        <v>1.8419731189271804</v>
      </c>
      <c r="I277">
        <f t="shared" si="19"/>
        <v>0</v>
      </c>
    </row>
    <row r="278" spans="1:9" x14ac:dyDescent="0.35">
      <c r="A278" t="e">
        <f>-L4h2houOq4cB7tfAQI0</f>
        <v>#NAME?</v>
      </c>
      <c r="B278">
        <v>15</v>
      </c>
      <c r="C278">
        <v>38</v>
      </c>
      <c r="D278">
        <v>19.190000000000001</v>
      </c>
      <c r="E278" t="s">
        <v>8</v>
      </c>
      <c r="F278">
        <f t="shared" si="16"/>
        <v>0</v>
      </c>
      <c r="G278">
        <f t="shared" si="17"/>
        <v>0</v>
      </c>
      <c r="H278">
        <f t="shared" si="18"/>
        <v>0</v>
      </c>
      <c r="I278">
        <f t="shared" si="19"/>
        <v>2.1093605594042311</v>
      </c>
    </row>
    <row r="279" spans="1:9" hidden="1" x14ac:dyDescent="0.35">
      <c r="A279" t="e">
        <f>-L4h2hovUBbQcTPvC9As</f>
        <v>#NAME?</v>
      </c>
      <c r="B279">
        <v>30</v>
      </c>
      <c r="C279">
        <v>39</v>
      </c>
      <c r="D279">
        <v>26.26</v>
      </c>
      <c r="E279" t="s">
        <v>6</v>
      </c>
      <c r="F279">
        <f t="shared" si="16"/>
        <v>0</v>
      </c>
      <c r="G279">
        <f t="shared" si="17"/>
        <v>0</v>
      </c>
      <c r="H279">
        <f t="shared" si="18"/>
        <v>1.9504684141501223</v>
      </c>
      <c r="I279">
        <f t="shared" si="19"/>
        <v>0</v>
      </c>
    </row>
    <row r="280" spans="1:9" x14ac:dyDescent="0.35">
      <c r="A280" t="e">
        <f>-L4h2hovUBbQcTPvC9At</f>
        <v>#NAME?</v>
      </c>
      <c r="B280">
        <v>60</v>
      </c>
      <c r="C280">
        <v>40</v>
      </c>
      <c r="D280">
        <v>61.29</v>
      </c>
      <c r="E280" t="s">
        <v>8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0.50080205305715675</v>
      </c>
    </row>
    <row r="281" spans="1:9" hidden="1" x14ac:dyDescent="0.35">
      <c r="A281" t="e">
        <f>-L4h2hovUBbQcTPvC9Au</f>
        <v>#NAME?</v>
      </c>
      <c r="B281">
        <v>53</v>
      </c>
      <c r="C281">
        <v>41</v>
      </c>
      <c r="D281">
        <v>52.53</v>
      </c>
      <c r="E281" t="s">
        <v>5</v>
      </c>
      <c r="F281">
        <f t="shared" si="16"/>
        <v>-0.74903842646678398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hidden="1" x14ac:dyDescent="0.35">
      <c r="A282" t="e">
        <f>-L4h2howttcC_NI0bHXQ</f>
        <v>#NAME?</v>
      </c>
      <c r="B282">
        <v>51</v>
      </c>
      <c r="C282">
        <v>42</v>
      </c>
      <c r="D282">
        <v>49.06</v>
      </c>
      <c r="E282" t="s">
        <v>6</v>
      </c>
      <c r="F282">
        <f t="shared" si="16"/>
        <v>0</v>
      </c>
      <c r="G282">
        <f t="shared" si="17"/>
        <v>0</v>
      </c>
      <c r="H282">
        <f t="shared" si="18"/>
        <v>1.0461417816447192</v>
      </c>
      <c r="I282">
        <f t="shared" si="19"/>
        <v>0</v>
      </c>
    </row>
    <row r="283" spans="1:9" x14ac:dyDescent="0.35">
      <c r="A283" t="e">
        <f>-L4h2howttcC_NI0bHXR</f>
        <v>#NAME?</v>
      </c>
      <c r="B283">
        <v>38</v>
      </c>
      <c r="C283">
        <v>43</v>
      </c>
      <c r="D283">
        <v>32.29</v>
      </c>
      <c r="E283" t="s">
        <v>8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2.5447326559326235</v>
      </c>
    </row>
    <row r="284" spans="1:9" hidden="1" x14ac:dyDescent="0.35">
      <c r="A284" t="e">
        <f>-L4h2howttcC_NI0bHXS</f>
        <v>#NAME?</v>
      </c>
      <c r="B284">
        <v>7</v>
      </c>
      <c r="C284">
        <v>44</v>
      </c>
      <c r="D284">
        <v>19.190000000000001</v>
      </c>
      <c r="E284" t="s">
        <v>7</v>
      </c>
      <c r="F284">
        <f t="shared" si="16"/>
        <v>0</v>
      </c>
      <c r="G284">
        <f t="shared" si="17"/>
        <v>3.6223447227242369</v>
      </c>
      <c r="H284">
        <f t="shared" si="18"/>
        <v>0</v>
      </c>
      <c r="I284">
        <f t="shared" si="19"/>
        <v>0</v>
      </c>
    </row>
    <row r="285" spans="1:9" hidden="1" x14ac:dyDescent="0.35">
      <c r="A285" t="e">
        <f>-L4h2hox8Y-LH8sId6e8</f>
        <v>#NAME?</v>
      </c>
      <c r="B285">
        <v>65</v>
      </c>
      <c r="C285">
        <v>45</v>
      </c>
      <c r="D285">
        <v>65.52</v>
      </c>
      <c r="E285" t="s">
        <v>5</v>
      </c>
      <c r="F285">
        <f t="shared" si="16"/>
        <v>-0.63262893435147949</v>
      </c>
      <c r="G285">
        <f t="shared" si="17"/>
        <v>0</v>
      </c>
      <c r="H285">
        <f t="shared" si="18"/>
        <v>0</v>
      </c>
      <c r="I285">
        <f t="shared" si="19"/>
        <v>0</v>
      </c>
    </row>
    <row r="286" spans="1:9" x14ac:dyDescent="0.35">
      <c r="A286" t="e">
        <f>-L4h2hox8Y-LH8sId6e9</f>
        <v>#NAME?</v>
      </c>
      <c r="B286">
        <v>3</v>
      </c>
      <c r="C286">
        <v>46</v>
      </c>
      <c r="D286">
        <v>2.08</v>
      </c>
      <c r="E286" t="s">
        <v>8</v>
      </c>
      <c r="F286">
        <f t="shared" si="16"/>
        <v>0</v>
      </c>
      <c r="G286">
        <f t="shared" si="17"/>
        <v>0</v>
      </c>
      <c r="H286">
        <f t="shared" si="18"/>
        <v>0</v>
      </c>
      <c r="I286">
        <f t="shared" si="19"/>
        <v>6.3502942306157953E-2</v>
      </c>
    </row>
    <row r="287" spans="1:9" hidden="1" x14ac:dyDescent="0.35">
      <c r="A287" t="e">
        <f>-L4h2hox8Y-LH8sId6eA</f>
        <v>#NAME?</v>
      </c>
      <c r="B287">
        <v>52</v>
      </c>
      <c r="C287">
        <v>47</v>
      </c>
      <c r="D287">
        <v>49.06</v>
      </c>
      <c r="E287" t="s">
        <v>6</v>
      </c>
      <c r="F287">
        <f t="shared" si="16"/>
        <v>0</v>
      </c>
      <c r="G287">
        <f t="shared" si="17"/>
        <v>0</v>
      </c>
      <c r="H287">
        <f t="shared" si="18"/>
        <v>1.6158870739160558</v>
      </c>
      <c r="I287">
        <f t="shared" si="19"/>
        <v>0</v>
      </c>
    </row>
    <row r="288" spans="1:9" hidden="1" x14ac:dyDescent="0.35">
      <c r="A288" t="e">
        <f>-L4h2hoyeCLVR43RjgRX</f>
        <v>#NAME?</v>
      </c>
      <c r="B288">
        <v>50</v>
      </c>
      <c r="C288">
        <v>48</v>
      </c>
      <c r="D288">
        <v>61.29</v>
      </c>
      <c r="E288" t="s">
        <v>7</v>
      </c>
      <c r="F288">
        <f t="shared" si="16"/>
        <v>0</v>
      </c>
      <c r="G288">
        <f t="shared" si="17"/>
        <v>3.5128589544499769</v>
      </c>
      <c r="H288">
        <f t="shared" si="18"/>
        <v>0</v>
      </c>
      <c r="I288">
        <f t="shared" si="19"/>
        <v>0</v>
      </c>
    </row>
    <row r="289" spans="1:9" hidden="1" x14ac:dyDescent="0.35">
      <c r="A289" t="e">
        <f>-L4h2hoyeCLVR43RjgRY</f>
        <v>#NAME?</v>
      </c>
      <c r="B289">
        <v>97</v>
      </c>
      <c r="C289">
        <v>49</v>
      </c>
      <c r="D289">
        <v>93.55</v>
      </c>
      <c r="E289" t="s">
        <v>7</v>
      </c>
      <c r="F289">
        <f t="shared" si="16"/>
        <v>0</v>
      </c>
      <c r="G289">
        <f t="shared" si="17"/>
        <v>1.8379432418910284</v>
      </c>
      <c r="H289">
        <f t="shared" si="18"/>
        <v>0</v>
      </c>
      <c r="I289">
        <f t="shared" si="19"/>
        <v>0</v>
      </c>
    </row>
    <row r="290" spans="1:9" hidden="1" x14ac:dyDescent="0.35">
      <c r="A290" t="e">
        <f>-L4h2hoyeCLVR43RjgRZ</f>
        <v>#NAME?</v>
      </c>
      <c r="B290">
        <v>15</v>
      </c>
      <c r="C290">
        <v>50</v>
      </c>
      <c r="D290">
        <v>19.79</v>
      </c>
      <c r="E290" t="s">
        <v>7</v>
      </c>
      <c r="F290">
        <f t="shared" si="16"/>
        <v>0</v>
      </c>
      <c r="G290">
        <f t="shared" si="17"/>
        <v>2.2971914165658558</v>
      </c>
      <c r="H290">
        <f t="shared" si="18"/>
        <v>0</v>
      </c>
      <c r="I290">
        <f t="shared" si="19"/>
        <v>0</v>
      </c>
    </row>
    <row r="291" spans="1:9" x14ac:dyDescent="0.35">
      <c r="A291" t="e">
        <f>-L4h2hozq4h-j0u57xqv</f>
        <v>#NAME?</v>
      </c>
      <c r="B291">
        <v>15</v>
      </c>
      <c r="C291">
        <v>51</v>
      </c>
      <c r="D291">
        <v>19.190000000000001</v>
      </c>
      <c r="E291" t="s">
        <v>8</v>
      </c>
      <c r="F291">
        <f t="shared" si="16"/>
        <v>0</v>
      </c>
      <c r="G291">
        <f t="shared" si="17"/>
        <v>0</v>
      </c>
      <c r="H291">
        <f t="shared" si="18"/>
        <v>0</v>
      </c>
      <c r="I291">
        <f t="shared" si="19"/>
        <v>2.1093605594042311</v>
      </c>
    </row>
    <row r="292" spans="1:9" x14ac:dyDescent="0.35">
      <c r="A292" t="e">
        <f>-L4h2hozq4h-j0u57xqw</f>
        <v>#NAME?</v>
      </c>
      <c r="B292">
        <v>60</v>
      </c>
      <c r="C292">
        <v>52</v>
      </c>
      <c r="D292">
        <v>59.62</v>
      </c>
      <c r="E292" t="s">
        <v>8</v>
      </c>
      <c r="F292">
        <f t="shared" si="16"/>
        <v>0</v>
      </c>
      <c r="G292">
        <f t="shared" si="17"/>
        <v>0</v>
      </c>
      <c r="H292">
        <f t="shared" si="18"/>
        <v>0</v>
      </c>
      <c r="I292">
        <f t="shared" si="19"/>
        <v>-0.98564470702292273</v>
      </c>
    </row>
    <row r="293" spans="1:9" x14ac:dyDescent="0.35">
      <c r="A293" t="e">
        <f>-L4h2hozq4h-j0u57xqx</f>
        <v>#NAME?</v>
      </c>
      <c r="B293">
        <v>50</v>
      </c>
      <c r="C293">
        <v>53</v>
      </c>
      <c r="D293">
        <v>49.06</v>
      </c>
      <c r="E293" t="s">
        <v>8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9.0853430451110481E-2</v>
      </c>
    </row>
    <row r="294" spans="1:9" x14ac:dyDescent="0.35">
      <c r="A294" t="e">
        <f>-L4h2hp-sjbfrYFT-FVr</f>
        <v>#NAME?</v>
      </c>
      <c r="B294">
        <v>85</v>
      </c>
      <c r="C294">
        <v>54</v>
      </c>
      <c r="D294">
        <v>73.08</v>
      </c>
      <c r="E294" t="s">
        <v>8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3.5903624884637462</v>
      </c>
    </row>
    <row r="295" spans="1:9" hidden="1" x14ac:dyDescent="0.35">
      <c r="A295" t="e">
        <f>-L4h2hp-sjbfrYFT-FVs</f>
        <v>#NAME?</v>
      </c>
      <c r="B295">
        <v>30</v>
      </c>
      <c r="C295">
        <v>55</v>
      </c>
      <c r="D295">
        <v>36.54</v>
      </c>
      <c r="E295" t="s">
        <v>6</v>
      </c>
      <c r="F295">
        <f t="shared" si="16"/>
        <v>0</v>
      </c>
      <c r="G295">
        <f t="shared" si="17"/>
        <v>0</v>
      </c>
      <c r="H295">
        <f t="shared" si="18"/>
        <v>2.7366048753142485</v>
      </c>
      <c r="I295">
        <f t="shared" si="19"/>
        <v>0</v>
      </c>
    </row>
    <row r="296" spans="1:9" hidden="1" x14ac:dyDescent="0.35">
      <c r="A296" t="e">
        <f>-L4h2hp0hKx-WulwsGc3</f>
        <v>#NAME?</v>
      </c>
      <c r="B296">
        <v>90</v>
      </c>
      <c r="C296">
        <v>56</v>
      </c>
      <c r="D296">
        <v>89.66</v>
      </c>
      <c r="E296" t="s">
        <v>5</v>
      </c>
      <c r="F296">
        <f t="shared" si="16"/>
        <v>-1.1046973786666827</v>
      </c>
      <c r="G296">
        <f t="shared" si="17"/>
        <v>0</v>
      </c>
      <c r="H296">
        <f t="shared" si="18"/>
        <v>0</v>
      </c>
      <c r="I296">
        <f t="shared" si="19"/>
        <v>0</v>
      </c>
    </row>
    <row r="297" spans="1:9" hidden="1" x14ac:dyDescent="0.35">
      <c r="A297" t="e">
        <f>-L4h2hp0hKx-WulwsGc4</f>
        <v>#NAME?</v>
      </c>
      <c r="B297">
        <v>60</v>
      </c>
      <c r="C297">
        <v>57</v>
      </c>
      <c r="D297">
        <v>58.49</v>
      </c>
      <c r="E297" t="s">
        <v>6</v>
      </c>
      <c r="F297">
        <f t="shared" si="16"/>
        <v>0</v>
      </c>
      <c r="G297">
        <f t="shared" si="17"/>
        <v>0</v>
      </c>
      <c r="H297">
        <f t="shared" si="18"/>
        <v>0.70929063572335604</v>
      </c>
      <c r="I297">
        <f t="shared" si="19"/>
        <v>0</v>
      </c>
    </row>
    <row r="298" spans="1:9" x14ac:dyDescent="0.35">
      <c r="A298" t="e">
        <f>-L4h2hp0hKx-WulwsGc5</f>
        <v>#NAME?</v>
      </c>
      <c r="B298">
        <v>4</v>
      </c>
      <c r="C298">
        <v>58</v>
      </c>
      <c r="D298">
        <v>3.77</v>
      </c>
      <c r="E298" t="s">
        <v>8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-1.4941090702700428</v>
      </c>
    </row>
    <row r="299" spans="1:9" hidden="1" x14ac:dyDescent="0.35">
      <c r="A299" t="e">
        <f>-L4h2hp1HFFzpO1IgS0O</f>
        <v>#NAME?</v>
      </c>
      <c r="B299">
        <v>10</v>
      </c>
      <c r="C299">
        <v>59</v>
      </c>
      <c r="D299">
        <v>10.53</v>
      </c>
      <c r="E299" t="s">
        <v>6</v>
      </c>
      <c r="F299">
        <f t="shared" si="16"/>
        <v>0</v>
      </c>
      <c r="G299">
        <f t="shared" si="17"/>
        <v>0</v>
      </c>
      <c r="H299">
        <f t="shared" si="18"/>
        <v>-0.61043318823727588</v>
      </c>
      <c r="I299">
        <f t="shared" si="19"/>
        <v>0</v>
      </c>
    </row>
    <row r="300" spans="1:9" hidden="1" x14ac:dyDescent="0.35">
      <c r="A300" t="e">
        <f>-L4h2hp1HFFzpO1IgS0P</f>
        <v>#NAME?</v>
      </c>
      <c r="B300">
        <v>40</v>
      </c>
      <c r="C300">
        <v>60</v>
      </c>
      <c r="D300">
        <v>61.29</v>
      </c>
      <c r="E300" t="s">
        <v>7</v>
      </c>
      <c r="F300">
        <f t="shared" si="16"/>
        <v>0</v>
      </c>
      <c r="G300">
        <f t="shared" si="17"/>
        <v>4.4205497721163178</v>
      </c>
      <c r="H300">
        <f t="shared" si="18"/>
        <v>0</v>
      </c>
      <c r="I300">
        <f t="shared" si="19"/>
        <v>0</v>
      </c>
    </row>
    <row r="301" spans="1:9" x14ac:dyDescent="0.35">
      <c r="A301" t="e">
        <f>-L4h2hp1HFFzpO1IgS0Q</f>
        <v>#NAME?</v>
      </c>
      <c r="B301">
        <v>50</v>
      </c>
      <c r="C301">
        <v>61</v>
      </c>
      <c r="D301">
        <v>49.06</v>
      </c>
      <c r="E301" t="s">
        <v>8</v>
      </c>
      <c r="F301">
        <f t="shared" si="16"/>
        <v>0</v>
      </c>
      <c r="G301">
        <f t="shared" si="17"/>
        <v>0</v>
      </c>
      <c r="H301">
        <f t="shared" si="18"/>
        <v>0</v>
      </c>
      <c r="I301">
        <f t="shared" si="19"/>
        <v>9.0853430451110481E-2</v>
      </c>
    </row>
    <row r="302" spans="1:9" hidden="1" x14ac:dyDescent="0.35">
      <c r="A302" t="e">
        <f>-L4h2hp1HFFzpO1IgS0R</f>
        <v>#NAME?</v>
      </c>
      <c r="B302">
        <v>2</v>
      </c>
      <c r="C302">
        <v>62</v>
      </c>
      <c r="D302">
        <v>2.02</v>
      </c>
      <c r="E302" t="s">
        <v>6</v>
      </c>
      <c r="F302">
        <f t="shared" si="16"/>
        <v>0</v>
      </c>
      <c r="G302">
        <f t="shared" si="17"/>
        <v>0</v>
      </c>
      <c r="H302">
        <f t="shared" si="18"/>
        <v>-2.7858751946471525</v>
      </c>
      <c r="I302">
        <f t="shared" si="19"/>
        <v>0</v>
      </c>
    </row>
    <row r="303" spans="1:9" x14ac:dyDescent="0.35">
      <c r="A303" t="s">
        <v>17</v>
      </c>
      <c r="B303">
        <v>30</v>
      </c>
      <c r="C303">
        <v>63</v>
      </c>
      <c r="D303">
        <v>32.29</v>
      </c>
      <c r="E303" t="s">
        <v>8</v>
      </c>
      <c r="F303">
        <f t="shared" si="16"/>
        <v>0</v>
      </c>
      <c r="G303">
        <f t="shared" si="17"/>
        <v>0</v>
      </c>
      <c r="H303">
        <f t="shared" si="18"/>
        <v>0</v>
      </c>
      <c r="I303">
        <f t="shared" si="19"/>
        <v>1.2720231890610481</v>
      </c>
    </row>
    <row r="304" spans="1:9" hidden="1" x14ac:dyDescent="0.35">
      <c r="A304" t="e">
        <f>-L4h2hp2be6zeZtf8fh0</f>
        <v>#NAME?</v>
      </c>
      <c r="B304">
        <v>35</v>
      </c>
      <c r="C304">
        <v>64</v>
      </c>
      <c r="D304">
        <v>35.85</v>
      </c>
      <c r="E304" t="s">
        <v>5</v>
      </c>
      <c r="F304">
        <f t="shared" si="16"/>
        <v>-3.6525876025111904E-2</v>
      </c>
      <c r="G304">
        <f t="shared" si="17"/>
        <v>0</v>
      </c>
      <c r="H304">
        <f t="shared" si="18"/>
        <v>0</v>
      </c>
      <c r="I304">
        <f t="shared" si="19"/>
        <v>0</v>
      </c>
    </row>
    <row r="305" spans="1:9" hidden="1" x14ac:dyDescent="0.35">
      <c r="A305" t="e">
        <f>-L4h2hp3VcuaMmhioocx</f>
        <v>#NAME?</v>
      </c>
      <c r="B305">
        <v>17</v>
      </c>
      <c r="C305">
        <v>65</v>
      </c>
      <c r="D305">
        <v>19.79</v>
      </c>
      <c r="E305" t="s">
        <v>5</v>
      </c>
      <c r="F305">
        <f t="shared" si="16"/>
        <v>1.5434958834257715</v>
      </c>
      <c r="G305">
        <f t="shared" si="17"/>
        <v>0</v>
      </c>
      <c r="H305">
        <f t="shared" si="18"/>
        <v>0</v>
      </c>
      <c r="I305">
        <f t="shared" si="19"/>
        <v>0</v>
      </c>
    </row>
    <row r="306" spans="1:9" hidden="1" x14ac:dyDescent="0.35">
      <c r="A306" t="e">
        <f>-L4h2hp3VcuaMmhioocy</f>
        <v>#NAME?</v>
      </c>
      <c r="B306">
        <v>40</v>
      </c>
      <c r="C306">
        <v>66</v>
      </c>
      <c r="D306">
        <v>35.85</v>
      </c>
      <c r="E306" t="s">
        <v>5</v>
      </c>
      <c r="F306">
        <f t="shared" si="16"/>
        <v>2.0959244199985352</v>
      </c>
      <c r="G306">
        <f t="shared" si="17"/>
        <v>0</v>
      </c>
      <c r="H306">
        <f t="shared" si="18"/>
        <v>0</v>
      </c>
      <c r="I306">
        <f t="shared" si="19"/>
        <v>0</v>
      </c>
    </row>
    <row r="307" spans="1:9" hidden="1" x14ac:dyDescent="0.35">
      <c r="A307" t="e">
        <f>-L4h2hp3VcuaMmhioocz</f>
        <v>#NAME?</v>
      </c>
      <c r="B307">
        <v>40</v>
      </c>
      <c r="C307">
        <v>67</v>
      </c>
      <c r="D307">
        <v>35.85</v>
      </c>
      <c r="E307" t="s">
        <v>5</v>
      </c>
      <c r="F307">
        <f t="shared" si="16"/>
        <v>2.0959244199985352</v>
      </c>
      <c r="G307">
        <f t="shared" si="17"/>
        <v>0</v>
      </c>
      <c r="H307">
        <f t="shared" si="18"/>
        <v>0</v>
      </c>
      <c r="I307">
        <f t="shared" si="19"/>
        <v>0</v>
      </c>
    </row>
    <row r="308" spans="1:9" hidden="1" x14ac:dyDescent="0.35">
      <c r="A308" t="e">
        <f>-L4h2hp45fQAyJT-Mw6u</f>
        <v>#NAME?</v>
      </c>
      <c r="B308">
        <v>80</v>
      </c>
      <c r="C308">
        <v>68</v>
      </c>
      <c r="D308">
        <v>83.87</v>
      </c>
      <c r="E308" t="s">
        <v>5</v>
      </c>
      <c r="F308">
        <f t="shared" si="16"/>
        <v>1.9981955031532539</v>
      </c>
      <c r="G308">
        <f t="shared" si="17"/>
        <v>0</v>
      </c>
      <c r="H308">
        <f t="shared" si="18"/>
        <v>0</v>
      </c>
      <c r="I308">
        <f t="shared" si="19"/>
        <v>0</v>
      </c>
    </row>
    <row r="309" spans="1:9" hidden="1" x14ac:dyDescent="0.35">
      <c r="A309" t="e">
        <f>-L4h2hp45fQAyJT-Mw6v</f>
        <v>#NAME?</v>
      </c>
      <c r="B309">
        <v>5</v>
      </c>
      <c r="C309">
        <v>69</v>
      </c>
      <c r="D309">
        <v>6.45</v>
      </c>
      <c r="E309" t="s">
        <v>7</v>
      </c>
      <c r="F309">
        <f t="shared" si="16"/>
        <v>0</v>
      </c>
      <c r="G309">
        <f t="shared" si="17"/>
        <v>0.65535182861255425</v>
      </c>
      <c r="H309">
        <f t="shared" si="18"/>
        <v>0</v>
      </c>
      <c r="I309">
        <f t="shared" si="19"/>
        <v>0</v>
      </c>
    </row>
    <row r="310" spans="1:9" hidden="1" x14ac:dyDescent="0.35">
      <c r="A310" t="e">
        <f>-L4h2hp45fQAyJT-Mw6w</f>
        <v>#NAME?</v>
      </c>
      <c r="B310">
        <v>55</v>
      </c>
      <c r="C310">
        <v>70</v>
      </c>
      <c r="D310">
        <v>61.29</v>
      </c>
      <c r="E310" t="s">
        <v>5</v>
      </c>
      <c r="F310">
        <f t="shared" si="16"/>
        <v>2.6814492653149578</v>
      </c>
      <c r="G310">
        <f t="shared" si="17"/>
        <v>0</v>
      </c>
      <c r="H310">
        <f t="shared" si="18"/>
        <v>0</v>
      </c>
      <c r="I310">
        <f t="shared" si="19"/>
        <v>0</v>
      </c>
    </row>
    <row r="311" spans="1:9" hidden="1" x14ac:dyDescent="0.35">
      <c r="A311" t="e">
        <f>-L4h2hp5FwJx8oVduZPr</f>
        <v>#NAME?</v>
      </c>
      <c r="B311">
        <v>23</v>
      </c>
      <c r="C311">
        <v>71</v>
      </c>
      <c r="D311">
        <v>26.26</v>
      </c>
      <c r="E311" t="s">
        <v>6</v>
      </c>
      <c r="F311">
        <f t="shared" si="16"/>
        <v>0</v>
      </c>
      <c r="G311">
        <f t="shared" si="17"/>
        <v>0</v>
      </c>
      <c r="H311">
        <f t="shared" si="18"/>
        <v>1.7591558338002726</v>
      </c>
      <c r="I311">
        <f t="shared" si="19"/>
        <v>0</v>
      </c>
    </row>
    <row r="312" spans="1:9" hidden="1" x14ac:dyDescent="0.35">
      <c r="A312" t="e">
        <f>-L4h2hp6rPSrhd2bR0Rb</f>
        <v>#NAME?</v>
      </c>
      <c r="B312">
        <v>3</v>
      </c>
      <c r="C312">
        <v>72</v>
      </c>
      <c r="D312">
        <v>3.85</v>
      </c>
      <c r="E312" t="s">
        <v>6</v>
      </c>
      <c r="F312">
        <f t="shared" si="16"/>
        <v>0</v>
      </c>
      <c r="G312">
        <f t="shared" si="17"/>
        <v>0</v>
      </c>
      <c r="H312">
        <f t="shared" si="18"/>
        <v>-3.6525876025113875E-2</v>
      </c>
      <c r="I312">
        <f t="shared" si="19"/>
        <v>0</v>
      </c>
    </row>
    <row r="313" spans="1:9" hidden="1" x14ac:dyDescent="0.35">
      <c r="A313" t="e">
        <f>-L4h2hp6rPSrhd2bR0Rc</f>
        <v>#NAME?</v>
      </c>
      <c r="B313">
        <v>30</v>
      </c>
      <c r="C313">
        <v>73</v>
      </c>
      <c r="D313">
        <v>30.21</v>
      </c>
      <c r="E313" t="s">
        <v>5</v>
      </c>
      <c r="F313">
        <f t="shared" si="16"/>
        <v>-1.5777669993169487</v>
      </c>
      <c r="G313">
        <f t="shared" si="17"/>
        <v>0</v>
      </c>
      <c r="H313">
        <f t="shared" si="18"/>
        <v>0</v>
      </c>
      <c r="I313">
        <f t="shared" si="19"/>
        <v>0</v>
      </c>
    </row>
    <row r="314" spans="1:9" hidden="1" x14ac:dyDescent="0.35">
      <c r="A314" t="e">
        <f>-L4h2hp7GxRgN_CPCM79</f>
        <v>#NAME?</v>
      </c>
      <c r="B314">
        <v>57</v>
      </c>
      <c r="C314">
        <v>74</v>
      </c>
      <c r="D314">
        <v>54.72</v>
      </c>
      <c r="E314" t="s">
        <v>6</v>
      </c>
      <c r="F314">
        <f t="shared" si="16"/>
        <v>0</v>
      </c>
      <c r="G314">
        <f t="shared" si="17"/>
        <v>0</v>
      </c>
      <c r="H314">
        <f t="shared" si="18"/>
        <v>1.2660368939953179</v>
      </c>
      <c r="I314">
        <f t="shared" si="19"/>
        <v>0</v>
      </c>
    </row>
    <row r="315" spans="1:9" hidden="1" x14ac:dyDescent="0.35">
      <c r="A315" t="e">
        <f>-L4h2hp7GxRgN_CPCM7A</f>
        <v>#NAME?</v>
      </c>
      <c r="B315">
        <v>3</v>
      </c>
      <c r="C315">
        <v>75</v>
      </c>
      <c r="D315">
        <v>2.08</v>
      </c>
      <c r="E315" t="s">
        <v>6</v>
      </c>
      <c r="F315">
        <f t="shared" si="16"/>
        <v>0</v>
      </c>
      <c r="G315">
        <f t="shared" si="17"/>
        <v>0</v>
      </c>
      <c r="H315">
        <f t="shared" si="18"/>
        <v>6.3502942306157953E-2</v>
      </c>
      <c r="I315">
        <f t="shared" si="19"/>
        <v>0</v>
      </c>
    </row>
    <row r="316" spans="1:9" hidden="1" x14ac:dyDescent="0.35">
      <c r="A316" t="e">
        <f>-L4h2hp8Xz57-toETGPq</f>
        <v>#NAME?</v>
      </c>
      <c r="B316">
        <v>60</v>
      </c>
      <c r="C316">
        <v>76</v>
      </c>
      <c r="D316">
        <v>59.62</v>
      </c>
      <c r="E316" t="s">
        <v>6</v>
      </c>
      <c r="F316">
        <f t="shared" si="16"/>
        <v>0</v>
      </c>
      <c r="G316">
        <f t="shared" si="17"/>
        <v>0</v>
      </c>
      <c r="H316">
        <f t="shared" si="18"/>
        <v>-0.98564470702292273</v>
      </c>
      <c r="I316">
        <f t="shared" si="19"/>
        <v>0</v>
      </c>
    </row>
    <row r="317" spans="1:9" hidden="1" x14ac:dyDescent="0.35">
      <c r="A317" t="e">
        <f>-L4h2hp8Xz57-toETGPr</f>
        <v>#NAME?</v>
      </c>
      <c r="B317">
        <v>13</v>
      </c>
      <c r="C317">
        <v>77</v>
      </c>
      <c r="D317">
        <v>10.53</v>
      </c>
      <c r="E317" t="s">
        <v>7</v>
      </c>
      <c r="F317">
        <f t="shared" si="16"/>
        <v>0</v>
      </c>
      <c r="G317">
        <f t="shared" si="17"/>
        <v>1.3757345385831565</v>
      </c>
      <c r="H317">
        <f t="shared" si="18"/>
        <v>0</v>
      </c>
      <c r="I317">
        <f t="shared" si="19"/>
        <v>0</v>
      </c>
    </row>
    <row r="318" spans="1:9" hidden="1" x14ac:dyDescent="0.35">
      <c r="A318" t="e">
        <f>-L4h2hp9ESW988Y6so03</f>
        <v>#NAME?</v>
      </c>
      <c r="B318">
        <v>20</v>
      </c>
      <c r="C318">
        <v>78</v>
      </c>
      <c r="D318">
        <v>19.190000000000001</v>
      </c>
      <c r="E318" t="s">
        <v>6</v>
      </c>
      <c r="F318">
        <f t="shared" si="16"/>
        <v>0</v>
      </c>
      <c r="G318">
        <f t="shared" si="17"/>
        <v>0</v>
      </c>
      <c r="H318">
        <f t="shared" si="18"/>
        <v>-9.6961729887090009E-2</v>
      </c>
      <c r="I318">
        <f t="shared" si="19"/>
        <v>0</v>
      </c>
    </row>
    <row r="319" spans="1:9" hidden="1" x14ac:dyDescent="0.35">
      <c r="A319" t="e">
        <f>-L4h2hpAm84l3RjpMXFK</f>
        <v>#NAME?</v>
      </c>
      <c r="B319">
        <v>85</v>
      </c>
      <c r="C319">
        <v>79</v>
      </c>
      <c r="D319">
        <v>89.66</v>
      </c>
      <c r="E319" t="s">
        <v>7</v>
      </c>
      <c r="F319">
        <f t="shared" si="16"/>
        <v>0</v>
      </c>
      <c r="G319">
        <f t="shared" si="17"/>
        <v>2.2585189247113</v>
      </c>
      <c r="H319">
        <f t="shared" si="18"/>
        <v>0</v>
      </c>
      <c r="I319">
        <f t="shared" si="19"/>
        <v>0</v>
      </c>
    </row>
    <row r="320" spans="1:9" hidden="1" x14ac:dyDescent="0.35">
      <c r="A320" t="e">
        <f>-L4h2hpAm84l3RjpMXFL</f>
        <v>#NAME?</v>
      </c>
      <c r="B320">
        <v>50</v>
      </c>
      <c r="C320">
        <v>80</v>
      </c>
      <c r="D320">
        <v>52.53</v>
      </c>
      <c r="E320" t="s">
        <v>5</v>
      </c>
      <c r="F320">
        <f t="shared" si="16"/>
        <v>1.4087118610294296</v>
      </c>
      <c r="G320">
        <f t="shared" si="17"/>
        <v>0</v>
      </c>
      <c r="H320">
        <f t="shared" si="18"/>
        <v>0</v>
      </c>
      <c r="I320">
        <f t="shared" si="19"/>
        <v>0</v>
      </c>
    </row>
    <row r="321" spans="1:9" x14ac:dyDescent="0.35">
      <c r="A321" t="e">
        <f>-L4h2hpAm84l3RjpMXFM</f>
        <v>#NAME?</v>
      </c>
      <c r="B321">
        <v>60</v>
      </c>
      <c r="C321">
        <v>81</v>
      </c>
      <c r="D321">
        <v>65.52</v>
      </c>
      <c r="E321" t="s">
        <v>8</v>
      </c>
      <c r="F321">
        <f t="shared" si="16"/>
        <v>0</v>
      </c>
      <c r="G321">
        <f t="shared" si="17"/>
        <v>0</v>
      </c>
      <c r="H321">
        <f t="shared" si="18"/>
        <v>0</v>
      </c>
      <c r="I321">
        <f t="shared" si="19"/>
        <v>2.4969735809982749</v>
      </c>
    </row>
    <row r="322" spans="1:9" hidden="1" x14ac:dyDescent="0.35">
      <c r="A322" t="e">
        <f>-L4h2hpB03JLO4avVFOT</f>
        <v>#NAME?</v>
      </c>
      <c r="B322">
        <v>60</v>
      </c>
      <c r="C322">
        <v>82</v>
      </c>
      <c r="D322">
        <v>61.29</v>
      </c>
      <c r="E322" t="s">
        <v>6</v>
      </c>
      <c r="F322">
        <f t="shared" si="16"/>
        <v>0</v>
      </c>
      <c r="G322">
        <f t="shared" si="17"/>
        <v>0</v>
      </c>
      <c r="H322">
        <f t="shared" si="18"/>
        <v>0.50080205305715675</v>
      </c>
      <c r="I322">
        <f t="shared" si="19"/>
        <v>0</v>
      </c>
    </row>
    <row r="323" spans="1:9" x14ac:dyDescent="0.35">
      <c r="A323" t="e">
        <f>-L4h2hpB03JLO4avVFOU</f>
        <v>#NAME?</v>
      </c>
      <c r="B323">
        <v>5</v>
      </c>
      <c r="C323">
        <v>83</v>
      </c>
      <c r="D323">
        <v>3.77</v>
      </c>
      <c r="E323" t="s">
        <v>8</v>
      </c>
      <c r="F323">
        <f t="shared" ref="F323:F386" si="20">IF(EXACT(E323, "Bar"),LOG(ABS(B323-D323) + 1/8, 2), 0)</f>
        <v>0</v>
      </c>
      <c r="G323">
        <f t="shared" ref="G323:G386" si="21">IF(EXACT(E323, "Pie"),LOG(ABS(B323-D323) + 1/8, 2), 0)</f>
        <v>0</v>
      </c>
      <c r="H323">
        <f t="shared" ref="H323:H386" si="22">IF(EXACT(E323, "HBar"),LOG(ABS(B323-D323) + 1/8, 2), 0)</f>
        <v>0</v>
      </c>
      <c r="I323">
        <f t="shared" ref="I323:I386" si="23">IF(EXACT(E323, "UDBar"),LOG(ABS(B323-D323) + 1/8, 2), 0)</f>
        <v>0.43829285157914688</v>
      </c>
    </row>
    <row r="324" spans="1:9" x14ac:dyDescent="0.35">
      <c r="A324" t="e">
        <f>-L4h2hpC1xNDy-Ow2YXf</f>
        <v>#NAME?</v>
      </c>
      <c r="B324">
        <v>3</v>
      </c>
      <c r="C324">
        <v>84</v>
      </c>
      <c r="D324">
        <v>2.02</v>
      </c>
      <c r="E324" t="s">
        <v>8</v>
      </c>
      <c r="F324">
        <f t="shared" si="20"/>
        <v>0</v>
      </c>
      <c r="G324">
        <f t="shared" si="21"/>
        <v>0</v>
      </c>
      <c r="H324">
        <f t="shared" si="22"/>
        <v>0</v>
      </c>
      <c r="I324">
        <f t="shared" si="23"/>
        <v>0.14404636961670686</v>
      </c>
    </row>
    <row r="325" spans="1:9" hidden="1" x14ac:dyDescent="0.35">
      <c r="A325" t="e">
        <f>-L4h2hpC1xNDy-Ow2YXg</f>
        <v>#NAME?</v>
      </c>
      <c r="B325">
        <v>67</v>
      </c>
      <c r="C325">
        <v>85</v>
      </c>
      <c r="D325">
        <v>73.08</v>
      </c>
      <c r="E325" t="s">
        <v>6</v>
      </c>
      <c r="F325">
        <f t="shared" si="20"/>
        <v>0</v>
      </c>
      <c r="G325">
        <f t="shared" si="21"/>
        <v>0</v>
      </c>
      <c r="H325">
        <f t="shared" si="22"/>
        <v>2.6334312103556319</v>
      </c>
      <c r="I325">
        <f t="shared" si="23"/>
        <v>0</v>
      </c>
    </row>
    <row r="326" spans="1:9" x14ac:dyDescent="0.35">
      <c r="A326" t="e">
        <f>-L4h2hpC1xNDy-Ow2YXh</f>
        <v>#NAME?</v>
      </c>
      <c r="B326">
        <v>35</v>
      </c>
      <c r="C326">
        <v>86</v>
      </c>
      <c r="D326">
        <v>27.08</v>
      </c>
      <c r="E326" t="s">
        <v>8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3.0080924209487221</v>
      </c>
    </row>
    <row r="327" spans="1:9" x14ac:dyDescent="0.35">
      <c r="A327" t="e">
        <f>-L4h2hpDFGDA0q46P_cV</f>
        <v>#NAME?</v>
      </c>
      <c r="B327">
        <v>55</v>
      </c>
      <c r="C327">
        <v>87</v>
      </c>
      <c r="D327">
        <v>59.62</v>
      </c>
      <c r="E327" t="s">
        <v>8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2.2464080872463841</v>
      </c>
    </row>
    <row r="328" spans="1:9" hidden="1" x14ac:dyDescent="0.35">
      <c r="A328" t="e">
        <f>-L4h2hpDFGDA0q46P_cW</f>
        <v>#NAME?</v>
      </c>
      <c r="B328">
        <v>50</v>
      </c>
      <c r="C328">
        <v>88</v>
      </c>
      <c r="D328">
        <v>49.06</v>
      </c>
      <c r="E328" t="s">
        <v>7</v>
      </c>
      <c r="F328">
        <f t="shared" si="20"/>
        <v>0</v>
      </c>
      <c r="G328">
        <f t="shared" si="21"/>
        <v>9.0853430451110481E-2</v>
      </c>
      <c r="H328">
        <f t="shared" si="22"/>
        <v>0</v>
      </c>
      <c r="I328">
        <f t="shared" si="23"/>
        <v>0</v>
      </c>
    </row>
    <row r="329" spans="1:9" hidden="1" x14ac:dyDescent="0.35">
      <c r="A329" t="e">
        <f>-L4h2hpDFGDA0q46P_cX</f>
        <v>#NAME?</v>
      </c>
      <c r="B329">
        <v>20</v>
      </c>
      <c r="C329">
        <v>89</v>
      </c>
      <c r="D329">
        <v>19.79</v>
      </c>
      <c r="E329" t="s">
        <v>7</v>
      </c>
      <c r="F329">
        <f t="shared" si="20"/>
        <v>0</v>
      </c>
      <c r="G329">
        <f t="shared" si="21"/>
        <v>-1.5777669993169487</v>
      </c>
      <c r="H329">
        <f t="shared" si="22"/>
        <v>0</v>
      </c>
      <c r="I329">
        <f t="shared" si="23"/>
        <v>0</v>
      </c>
    </row>
    <row r="330" spans="1:9" hidden="1" x14ac:dyDescent="0.35">
      <c r="A330" t="e">
        <f>-L4h2hpEaNIwlLYr4F-7</f>
        <v>#NAME?</v>
      </c>
      <c r="B330">
        <v>58</v>
      </c>
      <c r="C330">
        <v>90</v>
      </c>
      <c r="D330">
        <v>58.49</v>
      </c>
      <c r="E330" t="s">
        <v>5</v>
      </c>
      <c r="F330">
        <f t="shared" si="20"/>
        <v>-0.70134168443548017</v>
      </c>
      <c r="G330">
        <f t="shared" si="21"/>
        <v>0</v>
      </c>
      <c r="H330">
        <f t="shared" si="22"/>
        <v>0</v>
      </c>
      <c r="I330">
        <f t="shared" si="23"/>
        <v>0</v>
      </c>
    </row>
    <row r="331" spans="1:9" hidden="1" x14ac:dyDescent="0.35">
      <c r="A331" t="e">
        <f>-L4h2hpEaNIwlLYr4F-8</f>
        <v>#NAME?</v>
      </c>
      <c r="B331">
        <v>50</v>
      </c>
      <c r="C331">
        <v>91</v>
      </c>
      <c r="D331">
        <v>61.29</v>
      </c>
      <c r="E331" t="s">
        <v>7</v>
      </c>
      <c r="F331">
        <f t="shared" si="20"/>
        <v>0</v>
      </c>
      <c r="G331">
        <f t="shared" si="21"/>
        <v>3.5128589544499769</v>
      </c>
      <c r="H331">
        <f t="shared" si="22"/>
        <v>0</v>
      </c>
      <c r="I331">
        <f t="shared" si="23"/>
        <v>0</v>
      </c>
    </row>
    <row r="332" spans="1:9" hidden="1" x14ac:dyDescent="0.35">
      <c r="A332" t="e">
        <f>-L4h2hpEaNIwlLYr4F-9</f>
        <v>#NAME?</v>
      </c>
      <c r="B332">
        <v>40</v>
      </c>
      <c r="C332">
        <v>92</v>
      </c>
      <c r="D332">
        <v>32.29</v>
      </c>
      <c r="E332" t="s">
        <v>5</v>
      </c>
      <c r="F332">
        <f t="shared" si="20"/>
        <v>2.9699332746978557</v>
      </c>
      <c r="G332">
        <f t="shared" si="21"/>
        <v>0</v>
      </c>
      <c r="H332">
        <f t="shared" si="22"/>
        <v>0</v>
      </c>
      <c r="I332">
        <f t="shared" si="23"/>
        <v>0</v>
      </c>
    </row>
    <row r="333" spans="1:9" x14ac:dyDescent="0.35">
      <c r="A333" t="e">
        <f>-L4h2hpFiaE01CFeWhEJ</f>
        <v>#NAME?</v>
      </c>
      <c r="B333">
        <v>53</v>
      </c>
      <c r="C333">
        <v>93</v>
      </c>
      <c r="D333">
        <v>54.17</v>
      </c>
      <c r="E333" t="s">
        <v>8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0.37295209791183109</v>
      </c>
    </row>
    <row r="334" spans="1:9" hidden="1" x14ac:dyDescent="0.35">
      <c r="A334" t="e">
        <f>-L4h2hpGE9KwygFxLeaC</f>
        <v>#NAME?</v>
      </c>
      <c r="B334">
        <v>40</v>
      </c>
      <c r="C334">
        <v>94</v>
      </c>
      <c r="D334">
        <v>27.08</v>
      </c>
      <c r="E334" t="s">
        <v>5</v>
      </c>
      <c r="F334">
        <f t="shared" si="20"/>
        <v>3.7054250390427277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hidden="1" x14ac:dyDescent="0.35">
      <c r="A335" t="e">
        <f>-L4h2hpGE9KwygFxLeaD</f>
        <v>#NAME?</v>
      </c>
      <c r="B335">
        <v>55</v>
      </c>
      <c r="C335">
        <v>95</v>
      </c>
      <c r="D335">
        <v>58.49</v>
      </c>
      <c r="E335" t="s">
        <v>6</v>
      </c>
      <c r="F335">
        <f t="shared" si="20"/>
        <v>0</v>
      </c>
      <c r="G335">
        <f t="shared" si="21"/>
        <v>0</v>
      </c>
      <c r="H335">
        <f t="shared" si="22"/>
        <v>1.8539956471763939</v>
      </c>
      <c r="I335">
        <f t="shared" si="23"/>
        <v>0</v>
      </c>
    </row>
    <row r="336" spans="1:9" hidden="1" x14ac:dyDescent="0.35">
      <c r="A336" t="e">
        <f>-L4h2hpGE9KwygFxLeaE</f>
        <v>#NAME?</v>
      </c>
      <c r="B336">
        <v>40</v>
      </c>
      <c r="C336">
        <v>96</v>
      </c>
      <c r="D336">
        <v>29.29</v>
      </c>
      <c r="E336" t="s">
        <v>5</v>
      </c>
      <c r="F336">
        <f t="shared" si="20"/>
        <v>3.4376272483189489</v>
      </c>
      <c r="G336">
        <f t="shared" si="21"/>
        <v>0</v>
      </c>
      <c r="H336">
        <f t="shared" si="22"/>
        <v>0</v>
      </c>
      <c r="I336">
        <f t="shared" si="23"/>
        <v>0</v>
      </c>
    </row>
    <row r="337" spans="1:9" x14ac:dyDescent="0.35">
      <c r="A337" t="e">
        <f>-L4h2hpHPxCpOU0ATaMH</f>
        <v>#NAME?</v>
      </c>
      <c r="B337">
        <v>20</v>
      </c>
      <c r="C337">
        <v>97</v>
      </c>
      <c r="D337">
        <v>19.190000000000001</v>
      </c>
      <c r="E337" t="s">
        <v>8</v>
      </c>
      <c r="F337">
        <f t="shared" si="20"/>
        <v>0</v>
      </c>
      <c r="G337">
        <f t="shared" si="21"/>
        <v>0</v>
      </c>
      <c r="H337">
        <f t="shared" si="22"/>
        <v>0</v>
      </c>
      <c r="I337">
        <f t="shared" si="23"/>
        <v>-9.6961729887090009E-2</v>
      </c>
    </row>
    <row r="338" spans="1:9" x14ac:dyDescent="0.35">
      <c r="A338" t="e">
        <f>-L4h2hpHPxCpOU0ATaMI</f>
        <v>#NAME?</v>
      </c>
      <c r="B338">
        <v>35</v>
      </c>
      <c r="C338">
        <v>98</v>
      </c>
      <c r="D338">
        <v>36.54</v>
      </c>
      <c r="E338" t="s">
        <v>8</v>
      </c>
      <c r="F338">
        <f t="shared" si="20"/>
        <v>0</v>
      </c>
      <c r="G338">
        <f t="shared" si="21"/>
        <v>0</v>
      </c>
      <c r="H338">
        <f t="shared" si="22"/>
        <v>0</v>
      </c>
      <c r="I338">
        <f t="shared" si="23"/>
        <v>0.73552217729653668</v>
      </c>
    </row>
    <row r="339" spans="1:9" x14ac:dyDescent="0.35">
      <c r="A339" t="e">
        <f>-L4h2hpHPxCpOU0ATaMJ</f>
        <v>#NAME?</v>
      </c>
      <c r="B339">
        <v>50</v>
      </c>
      <c r="C339">
        <v>99</v>
      </c>
      <c r="D339">
        <v>54.72</v>
      </c>
      <c r="E339" t="s">
        <v>8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2.276496665640356</v>
      </c>
    </row>
    <row r="340" spans="1:9" hidden="1" x14ac:dyDescent="0.35">
      <c r="A340" t="e">
        <f>-L4h2hpIqAezBd1rQfsx</f>
        <v>#NAME?</v>
      </c>
      <c r="B340">
        <v>25</v>
      </c>
      <c r="C340">
        <v>100</v>
      </c>
      <c r="D340">
        <v>19.190000000000001</v>
      </c>
      <c r="E340" t="s">
        <v>6</v>
      </c>
      <c r="F340">
        <f t="shared" si="20"/>
        <v>0</v>
      </c>
      <c r="G340">
        <f t="shared" si="21"/>
        <v>0</v>
      </c>
      <c r="H340">
        <f t="shared" si="22"/>
        <v>2.569248029867182</v>
      </c>
      <c r="I340">
        <f t="shared" si="23"/>
        <v>0</v>
      </c>
    </row>
    <row r="341" spans="1:9" hidden="1" x14ac:dyDescent="0.35">
      <c r="A341" t="e">
        <f>-L4h2hpIqAezBd1rQfsy</f>
        <v>#NAME?</v>
      </c>
      <c r="B341">
        <v>40</v>
      </c>
      <c r="C341">
        <v>101</v>
      </c>
      <c r="D341">
        <v>36.54</v>
      </c>
      <c r="E341" t="s">
        <v>7</v>
      </c>
      <c r="F341">
        <f t="shared" si="20"/>
        <v>0</v>
      </c>
      <c r="G341">
        <f t="shared" si="21"/>
        <v>1.8419731189271804</v>
      </c>
      <c r="H341">
        <f t="shared" si="22"/>
        <v>0</v>
      </c>
      <c r="I341">
        <f t="shared" si="23"/>
        <v>0</v>
      </c>
    </row>
    <row r="342" spans="1:9" hidden="1" x14ac:dyDescent="0.35">
      <c r="A342" t="e">
        <f>-L4h2hpIqAezBd1rQfsz</f>
        <v>#NAME?</v>
      </c>
      <c r="B342">
        <v>20</v>
      </c>
      <c r="C342">
        <v>102</v>
      </c>
      <c r="D342">
        <v>19.79</v>
      </c>
      <c r="E342" t="s">
        <v>7</v>
      </c>
      <c r="F342">
        <f t="shared" si="20"/>
        <v>0</v>
      </c>
      <c r="G342">
        <f t="shared" si="21"/>
        <v>-1.5777669993169487</v>
      </c>
      <c r="H342">
        <f t="shared" si="22"/>
        <v>0</v>
      </c>
      <c r="I342">
        <f t="shared" si="23"/>
        <v>0</v>
      </c>
    </row>
    <row r="343" spans="1:9" hidden="1" x14ac:dyDescent="0.35">
      <c r="A343" t="e">
        <f>-L4h2hpJmEN1x9biYUaD</f>
        <v>#NAME?</v>
      </c>
      <c r="B343">
        <v>80</v>
      </c>
      <c r="C343">
        <v>103</v>
      </c>
      <c r="D343">
        <v>93.55</v>
      </c>
      <c r="E343" t="s">
        <v>5</v>
      </c>
      <c r="F343">
        <f t="shared" si="20"/>
        <v>3.7734689279051943</v>
      </c>
      <c r="G343">
        <f t="shared" si="21"/>
        <v>0</v>
      </c>
      <c r="H343">
        <f t="shared" si="22"/>
        <v>0</v>
      </c>
      <c r="I343">
        <f t="shared" si="23"/>
        <v>0</v>
      </c>
    </row>
    <row r="344" spans="1:9" hidden="1" x14ac:dyDescent="0.35">
      <c r="A344" t="e">
        <f>-L4h2hpJmEN1x9biYUaE</f>
        <v>#NAME?</v>
      </c>
      <c r="B344">
        <v>5</v>
      </c>
      <c r="C344">
        <v>104</v>
      </c>
      <c r="D344">
        <v>3.77</v>
      </c>
      <c r="E344" t="s">
        <v>7</v>
      </c>
      <c r="F344">
        <f t="shared" si="20"/>
        <v>0</v>
      </c>
      <c r="G344">
        <f t="shared" si="21"/>
        <v>0.43829285157914688</v>
      </c>
      <c r="H344">
        <f t="shared" si="22"/>
        <v>0</v>
      </c>
      <c r="I344">
        <f t="shared" si="23"/>
        <v>0</v>
      </c>
    </row>
    <row r="345" spans="1:9" hidden="1" x14ac:dyDescent="0.35">
      <c r="A345" t="e">
        <f>-L4h2hpJmEN1x9biYUaF</f>
        <v>#NAME?</v>
      </c>
      <c r="B345">
        <v>20</v>
      </c>
      <c r="C345">
        <v>105</v>
      </c>
      <c r="D345">
        <v>19.79</v>
      </c>
      <c r="E345" t="s">
        <v>5</v>
      </c>
      <c r="F345">
        <f t="shared" si="20"/>
        <v>-1.5777669993169487</v>
      </c>
      <c r="G345">
        <f t="shared" si="21"/>
        <v>0</v>
      </c>
      <c r="H345">
        <f t="shared" si="22"/>
        <v>0</v>
      </c>
      <c r="I345">
        <f t="shared" si="23"/>
        <v>0</v>
      </c>
    </row>
    <row r="346" spans="1:9" hidden="1" x14ac:dyDescent="0.35">
      <c r="A346" t="e">
        <f>-L4h2hpKYYqqxTfpD0ri</f>
        <v>#NAME?</v>
      </c>
      <c r="B346">
        <v>90</v>
      </c>
      <c r="C346">
        <v>106</v>
      </c>
      <c r="D346">
        <v>98.11</v>
      </c>
      <c r="E346" t="s">
        <v>7</v>
      </c>
      <c r="F346">
        <f t="shared" si="20"/>
        <v>0</v>
      </c>
      <c r="G346">
        <f t="shared" si="21"/>
        <v>3.0417686499516305</v>
      </c>
      <c r="H346">
        <f t="shared" si="22"/>
        <v>0</v>
      </c>
      <c r="I346">
        <f t="shared" si="23"/>
        <v>0</v>
      </c>
    </row>
    <row r="347" spans="1:9" x14ac:dyDescent="0.35">
      <c r="A347" t="e">
        <f>-L4h2hpKYYqqxTfpD0rj</f>
        <v>#NAME?</v>
      </c>
      <c r="B347">
        <v>90</v>
      </c>
      <c r="C347">
        <v>107</v>
      </c>
      <c r="D347">
        <v>100</v>
      </c>
      <c r="E347" t="s">
        <v>8</v>
      </c>
      <c r="F347">
        <f t="shared" si="20"/>
        <v>0</v>
      </c>
      <c r="G347">
        <f t="shared" si="21"/>
        <v>0</v>
      </c>
      <c r="H347">
        <f t="shared" si="22"/>
        <v>0</v>
      </c>
      <c r="I347">
        <f t="shared" si="23"/>
        <v>3.3398500028846252</v>
      </c>
    </row>
    <row r="348" spans="1:9" hidden="1" x14ac:dyDescent="0.35">
      <c r="A348" t="e">
        <f>-L4h2hpKYYqqxTfpD0rk</f>
        <v>#NAME?</v>
      </c>
      <c r="B348">
        <v>20</v>
      </c>
      <c r="C348">
        <v>108</v>
      </c>
      <c r="D348">
        <v>19.190000000000001</v>
      </c>
      <c r="E348" t="s">
        <v>5</v>
      </c>
      <c r="F348">
        <f t="shared" si="20"/>
        <v>-9.6961729887090009E-2</v>
      </c>
      <c r="G348">
        <f t="shared" si="21"/>
        <v>0</v>
      </c>
      <c r="H348">
        <f t="shared" si="22"/>
        <v>0</v>
      </c>
      <c r="I348">
        <f t="shared" si="23"/>
        <v>0</v>
      </c>
    </row>
    <row r="349" spans="1:9" hidden="1" x14ac:dyDescent="0.35">
      <c r="A349" t="e">
        <f>-L4h2hpLZCSo0xdiSixb</f>
        <v>#NAME?</v>
      </c>
      <c r="B349">
        <v>40</v>
      </c>
      <c r="C349">
        <v>109</v>
      </c>
      <c r="D349">
        <v>50</v>
      </c>
      <c r="E349" t="s">
        <v>7</v>
      </c>
      <c r="F349">
        <f t="shared" si="20"/>
        <v>0</v>
      </c>
      <c r="G349">
        <f t="shared" si="21"/>
        <v>3.3398500028846252</v>
      </c>
      <c r="H349">
        <f t="shared" si="22"/>
        <v>0</v>
      </c>
      <c r="I349">
        <f t="shared" si="23"/>
        <v>0</v>
      </c>
    </row>
    <row r="350" spans="1:9" hidden="1" x14ac:dyDescent="0.35">
      <c r="A350" t="e">
        <f>-L4h2hpLZCSo0xdiSixc</f>
        <v>#NAME?</v>
      </c>
      <c r="B350">
        <v>95</v>
      </c>
      <c r="C350">
        <v>110</v>
      </c>
      <c r="D350">
        <v>100</v>
      </c>
      <c r="E350" t="s">
        <v>6</v>
      </c>
      <c r="F350">
        <f t="shared" si="20"/>
        <v>0</v>
      </c>
      <c r="G350">
        <f t="shared" si="21"/>
        <v>0</v>
      </c>
      <c r="H350">
        <f t="shared" si="22"/>
        <v>2.3575520046180838</v>
      </c>
      <c r="I350">
        <f t="shared" si="23"/>
        <v>0</v>
      </c>
    </row>
    <row r="351" spans="1:9" hidden="1" x14ac:dyDescent="0.35">
      <c r="A351" t="e">
        <f>-L4h2hpM6c4GrhBppEGH</f>
        <v>#NAME?</v>
      </c>
      <c r="B351">
        <v>30</v>
      </c>
      <c r="C351">
        <v>111</v>
      </c>
      <c r="D351">
        <v>30.21</v>
      </c>
      <c r="E351" t="s">
        <v>7</v>
      </c>
      <c r="F351">
        <f t="shared" si="20"/>
        <v>0</v>
      </c>
      <c r="G351">
        <f t="shared" si="21"/>
        <v>-1.5777669993169487</v>
      </c>
      <c r="H351">
        <f t="shared" si="22"/>
        <v>0</v>
      </c>
      <c r="I351">
        <f t="shared" si="23"/>
        <v>0</v>
      </c>
    </row>
    <row r="352" spans="1:9" hidden="1" x14ac:dyDescent="0.35">
      <c r="A352" t="e">
        <f>-L4h2hpM6c4GrhBppEGI</f>
        <v>#NAME?</v>
      </c>
      <c r="B352">
        <v>80</v>
      </c>
      <c r="C352">
        <v>112</v>
      </c>
      <c r="D352">
        <v>83.87</v>
      </c>
      <c r="E352" t="s">
        <v>6</v>
      </c>
      <c r="F352">
        <f t="shared" si="20"/>
        <v>0</v>
      </c>
      <c r="G352">
        <f t="shared" si="21"/>
        <v>0</v>
      </c>
      <c r="H352">
        <f t="shared" si="22"/>
        <v>1.9981955031532539</v>
      </c>
      <c r="I352">
        <f t="shared" si="23"/>
        <v>0</v>
      </c>
    </row>
    <row r="353" spans="1:9" hidden="1" x14ac:dyDescent="0.35">
      <c r="A353" t="e">
        <f>-L4h2hpNuRuAnuRz_3Li</f>
        <v>#NAME?</v>
      </c>
      <c r="B353">
        <v>5</v>
      </c>
      <c r="C353">
        <v>113</v>
      </c>
      <c r="D353">
        <v>6.45</v>
      </c>
      <c r="E353" t="s">
        <v>5</v>
      </c>
      <c r="F353">
        <f t="shared" si="20"/>
        <v>0.65535182861255425</v>
      </c>
      <c r="G353">
        <f t="shared" si="21"/>
        <v>0</v>
      </c>
      <c r="H353">
        <f t="shared" si="22"/>
        <v>0</v>
      </c>
      <c r="I353">
        <f t="shared" si="23"/>
        <v>0</v>
      </c>
    </row>
    <row r="354" spans="1:9" hidden="1" x14ac:dyDescent="0.35">
      <c r="A354" t="e">
        <f>-L4h2hpNuRuAnuRz_3Lj</f>
        <v>#NAME?</v>
      </c>
      <c r="B354">
        <v>95</v>
      </c>
      <c r="C354">
        <v>114</v>
      </c>
      <c r="D354">
        <v>96.97</v>
      </c>
      <c r="E354" t="s">
        <v>5</v>
      </c>
      <c r="F354">
        <f t="shared" si="20"/>
        <v>1.0669502439246261</v>
      </c>
      <c r="G354">
        <f t="shared" si="21"/>
        <v>0</v>
      </c>
      <c r="H354">
        <f t="shared" si="22"/>
        <v>0</v>
      </c>
      <c r="I354">
        <f t="shared" si="23"/>
        <v>0</v>
      </c>
    </row>
    <row r="355" spans="1:9" hidden="1" x14ac:dyDescent="0.35">
      <c r="A355" t="e">
        <f>-L4h2hpNuRuAnuRz_3Lk</f>
        <v>#NAME?</v>
      </c>
      <c r="B355">
        <v>30</v>
      </c>
      <c r="C355">
        <v>115</v>
      </c>
      <c r="D355">
        <v>35.85</v>
      </c>
      <c r="E355" t="s">
        <v>7</v>
      </c>
      <c r="F355">
        <f t="shared" si="20"/>
        <v>0</v>
      </c>
      <c r="G355">
        <f t="shared" si="21"/>
        <v>2.5789387130933865</v>
      </c>
      <c r="H355">
        <f t="shared" si="22"/>
        <v>0</v>
      </c>
      <c r="I355">
        <f t="shared" si="23"/>
        <v>0</v>
      </c>
    </row>
    <row r="356" spans="1:9" hidden="1" x14ac:dyDescent="0.35">
      <c r="A356" t="e">
        <f>-L4h2hpO4BmAMjunNFYK</f>
        <v>#NAME?</v>
      </c>
      <c r="B356">
        <v>40</v>
      </c>
      <c r="C356">
        <v>116</v>
      </c>
      <c r="D356">
        <v>58.49</v>
      </c>
      <c r="E356" t="s">
        <v>7</v>
      </c>
      <c r="F356">
        <f t="shared" si="20"/>
        <v>0</v>
      </c>
      <c r="G356">
        <f t="shared" si="21"/>
        <v>4.2183937110767884</v>
      </c>
      <c r="H356">
        <f t="shared" si="22"/>
        <v>0</v>
      </c>
      <c r="I356">
        <f t="shared" si="23"/>
        <v>0</v>
      </c>
    </row>
    <row r="357" spans="1:9" hidden="1" x14ac:dyDescent="0.35">
      <c r="A357" t="e">
        <f>-L4h2hpO4BmAMjunNFYL</f>
        <v>#NAME?</v>
      </c>
      <c r="B357">
        <v>30</v>
      </c>
      <c r="C357">
        <v>117</v>
      </c>
      <c r="D357">
        <v>35.85</v>
      </c>
      <c r="E357" t="s">
        <v>5</v>
      </c>
      <c r="F357">
        <f t="shared" si="20"/>
        <v>2.5789387130933865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hidden="1" x14ac:dyDescent="0.35">
      <c r="A358" t="e">
        <f>-L4h2hpPDa3uJKGzCqEz</f>
        <v>#NAME?</v>
      </c>
      <c r="B358">
        <v>60</v>
      </c>
      <c r="C358">
        <v>118</v>
      </c>
      <c r="D358">
        <v>73.08</v>
      </c>
      <c r="E358" t="s">
        <v>6</v>
      </c>
      <c r="F358">
        <f t="shared" si="20"/>
        <v>0</v>
      </c>
      <c r="G358">
        <f t="shared" si="21"/>
        <v>0</v>
      </c>
      <c r="H358">
        <f t="shared" si="22"/>
        <v>3.723012396392368</v>
      </c>
      <c r="I358">
        <f t="shared" si="23"/>
        <v>0</v>
      </c>
    </row>
    <row r="359" spans="1:9" hidden="1" x14ac:dyDescent="0.35">
      <c r="A359" t="s">
        <v>18</v>
      </c>
      <c r="B359">
        <v>55</v>
      </c>
      <c r="C359">
        <v>119</v>
      </c>
      <c r="D359">
        <v>55.77</v>
      </c>
      <c r="E359" t="s">
        <v>6</v>
      </c>
      <c r="F359">
        <f t="shared" si="20"/>
        <v>0</v>
      </c>
      <c r="G359">
        <f t="shared" si="21"/>
        <v>0</v>
      </c>
      <c r="H359">
        <f t="shared" si="22"/>
        <v>-0.16004041251046325</v>
      </c>
      <c r="I359">
        <f t="shared" si="23"/>
        <v>0</v>
      </c>
    </row>
    <row r="360" spans="1:9" hidden="1" x14ac:dyDescent="0.35">
      <c r="A360" t="e">
        <f>-L4h2hpQsmqaC6AhyATq</f>
        <v>#NAME?</v>
      </c>
      <c r="B360">
        <v>3</v>
      </c>
      <c r="C360">
        <v>120</v>
      </c>
      <c r="D360">
        <v>2.08</v>
      </c>
      <c r="E360" t="s">
        <v>6</v>
      </c>
      <c r="F360">
        <f t="shared" si="20"/>
        <v>0</v>
      </c>
      <c r="G360">
        <f t="shared" si="21"/>
        <v>0</v>
      </c>
      <c r="H360">
        <f t="shared" si="22"/>
        <v>6.3502942306157953E-2</v>
      </c>
      <c r="I360">
        <f t="shared" si="23"/>
        <v>0</v>
      </c>
    </row>
    <row r="361" spans="1:9" hidden="1" x14ac:dyDescent="0.35">
      <c r="A361" t="e">
        <f>-L4h2hpQsmqaC6AhyATr</f>
        <v>#NAME?</v>
      </c>
      <c r="B361">
        <v>55</v>
      </c>
      <c r="C361">
        <v>121</v>
      </c>
      <c r="D361">
        <v>55.21</v>
      </c>
      <c r="E361" t="s">
        <v>6</v>
      </c>
      <c r="F361">
        <f t="shared" si="20"/>
        <v>0</v>
      </c>
      <c r="G361">
        <f t="shared" si="21"/>
        <v>0</v>
      </c>
      <c r="H361">
        <f t="shared" si="22"/>
        <v>-1.5777669993169487</v>
      </c>
      <c r="I361">
        <f t="shared" si="23"/>
        <v>0</v>
      </c>
    </row>
    <row r="362" spans="1:9" hidden="1" x14ac:dyDescent="0.35">
      <c r="A362" t="e">
        <f>-L4h2hpQsmqaC6AhyATs</f>
        <v>#NAME?</v>
      </c>
      <c r="B362">
        <v>55</v>
      </c>
      <c r="C362">
        <v>121</v>
      </c>
      <c r="D362">
        <v>55.21</v>
      </c>
      <c r="E362" t="s">
        <v>6</v>
      </c>
      <c r="F362">
        <f t="shared" si="20"/>
        <v>0</v>
      </c>
      <c r="G362">
        <f t="shared" si="21"/>
        <v>0</v>
      </c>
      <c r="H362">
        <f t="shared" si="22"/>
        <v>-1.5777669993169487</v>
      </c>
      <c r="I362">
        <f t="shared" si="23"/>
        <v>0</v>
      </c>
    </row>
    <row r="363" spans="1:9" hidden="1" x14ac:dyDescent="0.35">
      <c r="A363" t="e">
        <f>-L4h_rlVwajBRWk6Smdu</f>
        <v>#NAME?</v>
      </c>
      <c r="B363">
        <v>10</v>
      </c>
      <c r="C363">
        <v>2</v>
      </c>
      <c r="D363">
        <v>18.87</v>
      </c>
      <c r="E363" t="s">
        <v>5</v>
      </c>
      <c r="F363">
        <f t="shared" si="20"/>
        <v>3.1691232814767574</v>
      </c>
      <c r="G363">
        <f t="shared" si="21"/>
        <v>0</v>
      </c>
      <c r="H363">
        <f t="shared" si="22"/>
        <v>0</v>
      </c>
      <c r="I363">
        <f t="shared" si="23"/>
        <v>0</v>
      </c>
    </row>
    <row r="364" spans="1:9" hidden="1" x14ac:dyDescent="0.35">
      <c r="A364" t="e">
        <f>-L4h_rld0CW9e-h4hWKU</f>
        <v>#NAME?</v>
      </c>
      <c r="B364">
        <v>75</v>
      </c>
      <c r="C364">
        <v>3</v>
      </c>
      <c r="D364">
        <v>72.22</v>
      </c>
      <c r="E364" t="s">
        <v>5</v>
      </c>
      <c r="F364">
        <f t="shared" si="20"/>
        <v>1.5385381636298048</v>
      </c>
      <c r="G364">
        <f t="shared" si="21"/>
        <v>0</v>
      </c>
      <c r="H364">
        <f t="shared" si="22"/>
        <v>0</v>
      </c>
      <c r="I364">
        <f t="shared" si="23"/>
        <v>0</v>
      </c>
    </row>
    <row r="365" spans="1:9" hidden="1" x14ac:dyDescent="0.35">
      <c r="A365" t="e">
        <f>-L4h_rle4sQKH6renfLa</f>
        <v>#NAME?</v>
      </c>
      <c r="B365">
        <v>75</v>
      </c>
      <c r="C365">
        <v>4</v>
      </c>
      <c r="D365">
        <v>72.16</v>
      </c>
      <c r="E365" t="s">
        <v>5</v>
      </c>
      <c r="F365">
        <f t="shared" si="20"/>
        <v>1.5680321047712806</v>
      </c>
      <c r="G365">
        <f t="shared" si="21"/>
        <v>0</v>
      </c>
      <c r="H365">
        <f t="shared" si="22"/>
        <v>0</v>
      </c>
      <c r="I365">
        <f t="shared" si="23"/>
        <v>0</v>
      </c>
    </row>
    <row r="366" spans="1:9" hidden="1" x14ac:dyDescent="0.35">
      <c r="A366" t="e">
        <f>-L4h_rlfUF2ympN95bWg</f>
        <v>#NAME?</v>
      </c>
      <c r="B366">
        <v>10</v>
      </c>
      <c r="C366">
        <v>5</v>
      </c>
      <c r="D366">
        <v>12.37</v>
      </c>
      <c r="E366" t="s">
        <v>5</v>
      </c>
      <c r="F366">
        <f t="shared" si="20"/>
        <v>1.3190398155625354</v>
      </c>
      <c r="G366">
        <f t="shared" si="21"/>
        <v>0</v>
      </c>
      <c r="H366">
        <f t="shared" si="22"/>
        <v>0</v>
      </c>
      <c r="I366">
        <f t="shared" si="23"/>
        <v>0</v>
      </c>
    </row>
    <row r="367" spans="1:9" hidden="1" x14ac:dyDescent="0.35">
      <c r="A367" t="e">
        <f>-L4h_rlfUF2ympN95bWh</f>
        <v>#NAME?</v>
      </c>
      <c r="B367">
        <v>5</v>
      </c>
      <c r="C367">
        <v>6</v>
      </c>
      <c r="D367">
        <v>10.31</v>
      </c>
      <c r="E367" t="s">
        <v>7</v>
      </c>
      <c r="F367">
        <f t="shared" si="20"/>
        <v>0</v>
      </c>
      <c r="G367">
        <f t="shared" si="21"/>
        <v>2.4422800352525846</v>
      </c>
      <c r="H367">
        <f t="shared" si="22"/>
        <v>0</v>
      </c>
      <c r="I367">
        <f t="shared" si="23"/>
        <v>0</v>
      </c>
    </row>
    <row r="368" spans="1:9" x14ac:dyDescent="0.35">
      <c r="A368" t="e">
        <f>-L4h_rlfUF2ympN95bWi</f>
        <v>#NAME?</v>
      </c>
      <c r="B368">
        <v>25</v>
      </c>
      <c r="C368">
        <v>7</v>
      </c>
      <c r="D368">
        <v>25</v>
      </c>
      <c r="E368" t="s">
        <v>8</v>
      </c>
      <c r="F368">
        <f t="shared" si="20"/>
        <v>0</v>
      </c>
      <c r="G368">
        <f t="shared" si="21"/>
        <v>0</v>
      </c>
      <c r="H368">
        <f t="shared" si="22"/>
        <v>0</v>
      </c>
      <c r="I368">
        <f t="shared" si="23"/>
        <v>-3</v>
      </c>
    </row>
    <row r="369" spans="1:9" hidden="1" x14ac:dyDescent="0.35">
      <c r="A369" t="e">
        <f>-L4h_rlfUF2ympN95bWj</f>
        <v>#NAME?</v>
      </c>
      <c r="B369">
        <v>20</v>
      </c>
      <c r="C369">
        <v>8</v>
      </c>
      <c r="D369">
        <v>19.399999999999999</v>
      </c>
      <c r="E369" t="s">
        <v>6</v>
      </c>
      <c r="F369">
        <f t="shared" si="20"/>
        <v>0</v>
      </c>
      <c r="G369">
        <f t="shared" si="21"/>
        <v>0</v>
      </c>
      <c r="H369">
        <f t="shared" si="22"/>
        <v>-0.46394709975978743</v>
      </c>
      <c r="I369">
        <f t="shared" si="23"/>
        <v>0</v>
      </c>
    </row>
    <row r="370" spans="1:9" hidden="1" x14ac:dyDescent="0.35">
      <c r="A370" t="s">
        <v>19</v>
      </c>
      <c r="B370">
        <v>50</v>
      </c>
      <c r="C370">
        <v>9</v>
      </c>
      <c r="D370">
        <v>44.44</v>
      </c>
      <c r="E370" t="s">
        <v>6</v>
      </c>
      <c r="F370">
        <f t="shared" si="20"/>
        <v>0</v>
      </c>
      <c r="G370">
        <f t="shared" si="21"/>
        <v>0</v>
      </c>
      <c r="H370">
        <f t="shared" si="22"/>
        <v>2.5071603491175241</v>
      </c>
      <c r="I370">
        <f t="shared" si="23"/>
        <v>0</v>
      </c>
    </row>
    <row r="371" spans="1:9" x14ac:dyDescent="0.35">
      <c r="A371" t="s">
        <v>20</v>
      </c>
      <c r="B371">
        <v>25</v>
      </c>
      <c r="C371">
        <v>10</v>
      </c>
      <c r="D371">
        <v>25.71</v>
      </c>
      <c r="E371" t="s">
        <v>8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-0.26015189730067101</v>
      </c>
    </row>
    <row r="372" spans="1:9" hidden="1" x14ac:dyDescent="0.35">
      <c r="A372" t="s">
        <v>21</v>
      </c>
      <c r="B372">
        <v>10</v>
      </c>
      <c r="C372">
        <v>11</v>
      </c>
      <c r="D372">
        <v>16.670000000000002</v>
      </c>
      <c r="E372" t="s">
        <v>5</v>
      </c>
      <c r="F372">
        <f t="shared" si="20"/>
        <v>2.7644735509926672</v>
      </c>
      <c r="G372">
        <f t="shared" si="21"/>
        <v>0</v>
      </c>
      <c r="H372">
        <f t="shared" si="22"/>
        <v>0</v>
      </c>
      <c r="I372">
        <f t="shared" si="23"/>
        <v>0</v>
      </c>
    </row>
    <row r="373" spans="1:9" hidden="1" x14ac:dyDescent="0.35">
      <c r="A373" t="e">
        <f>-L4h_rlheEyC08UqGepY</f>
        <v>#NAME?</v>
      </c>
      <c r="B373">
        <v>50</v>
      </c>
      <c r="C373">
        <v>12</v>
      </c>
      <c r="D373">
        <v>55.56</v>
      </c>
      <c r="E373" t="s">
        <v>5</v>
      </c>
      <c r="F373">
        <f t="shared" si="20"/>
        <v>2.5071603491175241</v>
      </c>
      <c r="G373">
        <f t="shared" si="21"/>
        <v>0</v>
      </c>
      <c r="H373">
        <f t="shared" si="22"/>
        <v>0</v>
      </c>
      <c r="I373">
        <f t="shared" si="23"/>
        <v>0</v>
      </c>
    </row>
    <row r="374" spans="1:9" x14ac:dyDescent="0.35">
      <c r="A374" t="e">
        <f>-L4h_rlheEyC08UqGepZ</f>
        <v>#NAME?</v>
      </c>
      <c r="B374">
        <v>20</v>
      </c>
      <c r="C374">
        <v>13</v>
      </c>
      <c r="D374">
        <v>18.87</v>
      </c>
      <c r="E374" t="s">
        <v>8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0.32768736417604616</v>
      </c>
    </row>
    <row r="375" spans="1:9" hidden="1" x14ac:dyDescent="0.35">
      <c r="A375" t="e">
        <f>-L4h_rlheEyC08UqGep_</f>
        <v>#NAME?</v>
      </c>
      <c r="B375">
        <v>50</v>
      </c>
      <c r="C375">
        <v>14</v>
      </c>
      <c r="D375">
        <v>50.94</v>
      </c>
      <c r="E375" t="s">
        <v>6</v>
      </c>
      <c r="F375">
        <f t="shared" si="20"/>
        <v>0</v>
      </c>
      <c r="G375">
        <f t="shared" si="21"/>
        <v>0</v>
      </c>
      <c r="H375">
        <f t="shared" si="22"/>
        <v>9.0853430451110481E-2</v>
      </c>
      <c r="I375">
        <f t="shared" si="23"/>
        <v>0</v>
      </c>
    </row>
    <row r="376" spans="1:9" hidden="1" x14ac:dyDescent="0.35">
      <c r="A376" t="e">
        <f>-L4h_rlilVT30S-FQF0J</f>
        <v>#NAME?</v>
      </c>
      <c r="B376">
        <v>60</v>
      </c>
      <c r="C376">
        <v>15</v>
      </c>
      <c r="D376">
        <v>66.67</v>
      </c>
      <c r="E376" t="s">
        <v>5</v>
      </c>
      <c r="F376">
        <f t="shared" si="20"/>
        <v>2.7644735509926672</v>
      </c>
      <c r="G376">
        <f t="shared" si="21"/>
        <v>0</v>
      </c>
      <c r="H376">
        <f t="shared" si="22"/>
        <v>0</v>
      </c>
      <c r="I376">
        <f t="shared" si="23"/>
        <v>0</v>
      </c>
    </row>
    <row r="377" spans="1:9" hidden="1" x14ac:dyDescent="0.35">
      <c r="A377" t="e">
        <f>-L4h_rlilVT30S-FQF0K</f>
        <v>#NAME?</v>
      </c>
      <c r="B377">
        <v>20</v>
      </c>
      <c r="C377">
        <v>16</v>
      </c>
      <c r="D377">
        <v>18.57</v>
      </c>
      <c r="E377" t="s">
        <v>6</v>
      </c>
      <c r="F377">
        <f t="shared" si="20"/>
        <v>0</v>
      </c>
      <c r="G377">
        <f t="shared" si="21"/>
        <v>0</v>
      </c>
      <c r="H377">
        <f t="shared" si="22"/>
        <v>0.63691458035587767</v>
      </c>
      <c r="I377">
        <f t="shared" si="23"/>
        <v>0</v>
      </c>
    </row>
    <row r="378" spans="1:9" hidden="1" x14ac:dyDescent="0.35">
      <c r="A378" t="e">
        <f>-L4h_rlilVT30S-FQF0L</f>
        <v>#NAME?</v>
      </c>
      <c r="B378">
        <v>50</v>
      </c>
      <c r="C378">
        <v>17</v>
      </c>
      <c r="D378">
        <v>44.44</v>
      </c>
      <c r="E378" t="s">
        <v>7</v>
      </c>
      <c r="F378">
        <f t="shared" si="20"/>
        <v>0</v>
      </c>
      <c r="G378">
        <f t="shared" si="21"/>
        <v>2.5071603491175241</v>
      </c>
      <c r="H378">
        <f t="shared" si="22"/>
        <v>0</v>
      </c>
      <c r="I378">
        <f t="shared" si="23"/>
        <v>0</v>
      </c>
    </row>
    <row r="379" spans="1:9" x14ac:dyDescent="0.35">
      <c r="A379" t="e">
        <f>-L4h_rljeXA6SVv75T_Y</f>
        <v>#NAME?</v>
      </c>
      <c r="B379">
        <v>5</v>
      </c>
      <c r="C379">
        <v>18</v>
      </c>
      <c r="D379">
        <v>4.4800000000000004</v>
      </c>
      <c r="E379" t="s">
        <v>8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-0.63262893435147149</v>
      </c>
    </row>
    <row r="380" spans="1:9" hidden="1" x14ac:dyDescent="0.35">
      <c r="A380" t="e">
        <f>-L4h_rljeXA6SVv75T_Z</f>
        <v>#NAME?</v>
      </c>
      <c r="B380">
        <v>10</v>
      </c>
      <c r="C380">
        <v>19</v>
      </c>
      <c r="D380">
        <v>5.66</v>
      </c>
      <c r="E380" t="s">
        <v>6</v>
      </c>
      <c r="F380">
        <f t="shared" si="20"/>
        <v>0</v>
      </c>
      <c r="G380">
        <f t="shared" si="21"/>
        <v>0</v>
      </c>
      <c r="H380">
        <f t="shared" si="22"/>
        <v>2.1586601753464985</v>
      </c>
      <c r="I380">
        <f t="shared" si="23"/>
        <v>0</v>
      </c>
    </row>
    <row r="381" spans="1:9" hidden="1" x14ac:dyDescent="0.35">
      <c r="A381" t="e">
        <f>-L4h_rljeXA6SVv75T__</f>
        <v>#NAME?</v>
      </c>
      <c r="B381">
        <v>20</v>
      </c>
      <c r="C381">
        <v>20</v>
      </c>
      <c r="D381">
        <v>26.87</v>
      </c>
      <c r="E381" t="s">
        <v>7</v>
      </c>
      <c r="F381">
        <f t="shared" si="20"/>
        <v>0</v>
      </c>
      <c r="G381">
        <f t="shared" si="21"/>
        <v>2.8063240573900288</v>
      </c>
      <c r="H381">
        <f t="shared" si="22"/>
        <v>0</v>
      </c>
      <c r="I381">
        <f t="shared" si="23"/>
        <v>0</v>
      </c>
    </row>
    <row r="382" spans="1:9" hidden="1" x14ac:dyDescent="0.35">
      <c r="A382" t="e">
        <f>-L4h_rljeXA6SVv75T_a</f>
        <v>#NAME?</v>
      </c>
      <c r="B382">
        <v>5</v>
      </c>
      <c r="C382">
        <v>21</v>
      </c>
      <c r="D382">
        <v>3.09</v>
      </c>
      <c r="E382" t="s">
        <v>6</v>
      </c>
      <c r="F382">
        <f t="shared" si="20"/>
        <v>0</v>
      </c>
      <c r="G382">
        <f t="shared" si="21"/>
        <v>0</v>
      </c>
      <c r="H382">
        <f t="shared" si="22"/>
        <v>1.0250287944915224</v>
      </c>
      <c r="I382">
        <f t="shared" si="23"/>
        <v>0</v>
      </c>
    </row>
    <row r="383" spans="1:9" x14ac:dyDescent="0.35">
      <c r="A383" t="e">
        <f>-L4h_rlkJkSAMSq3uT2Y</f>
        <v>#NAME?</v>
      </c>
      <c r="B383">
        <v>50</v>
      </c>
      <c r="C383">
        <v>22</v>
      </c>
      <c r="D383">
        <v>66.67</v>
      </c>
      <c r="E383" t="s">
        <v>8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4.0699598904597742</v>
      </c>
    </row>
    <row r="384" spans="1:9" hidden="1" x14ac:dyDescent="0.35">
      <c r="A384" t="e">
        <f>-L4h_rlkJkSAMSq3uT2Z</f>
        <v>#NAME?</v>
      </c>
      <c r="B384">
        <v>90</v>
      </c>
      <c r="C384">
        <v>23</v>
      </c>
      <c r="D384">
        <v>83.33</v>
      </c>
      <c r="E384" t="s">
        <v>5</v>
      </c>
      <c r="F384">
        <f t="shared" si="20"/>
        <v>2.7644735509926672</v>
      </c>
      <c r="G384">
        <f t="shared" si="21"/>
        <v>0</v>
      </c>
      <c r="H384">
        <f t="shared" si="22"/>
        <v>0</v>
      </c>
      <c r="I384">
        <f t="shared" si="23"/>
        <v>0</v>
      </c>
    </row>
    <row r="385" spans="1:9" hidden="1" x14ac:dyDescent="0.35">
      <c r="A385" t="e">
        <f>-L4h_rlkJkSAMSq3uT2_</f>
        <v>#NAME?</v>
      </c>
      <c r="B385">
        <v>25</v>
      </c>
      <c r="C385">
        <v>24</v>
      </c>
      <c r="D385">
        <v>27.84</v>
      </c>
      <c r="E385" t="s">
        <v>5</v>
      </c>
      <c r="F385">
        <f t="shared" si="20"/>
        <v>1.5680321047712791</v>
      </c>
      <c r="G385">
        <f t="shared" si="21"/>
        <v>0</v>
      </c>
      <c r="H385">
        <f t="shared" si="22"/>
        <v>0</v>
      </c>
      <c r="I385">
        <f t="shared" si="23"/>
        <v>0</v>
      </c>
    </row>
    <row r="386" spans="1:9" hidden="1" x14ac:dyDescent="0.35">
      <c r="A386" t="e">
        <f>-L4h_rlljQa5JO2aT_eu</f>
        <v>#NAME?</v>
      </c>
      <c r="B386">
        <v>90</v>
      </c>
      <c r="C386">
        <v>25</v>
      </c>
      <c r="D386">
        <v>72.22</v>
      </c>
      <c r="E386" t="s">
        <v>7</v>
      </c>
      <c r="F386">
        <f t="shared" si="20"/>
        <v>0</v>
      </c>
      <c r="G386">
        <f t="shared" si="21"/>
        <v>4.1622906135458004</v>
      </c>
      <c r="H386">
        <f t="shared" si="22"/>
        <v>0</v>
      </c>
      <c r="I386">
        <f t="shared" si="23"/>
        <v>0</v>
      </c>
    </row>
    <row r="387" spans="1:9" hidden="1" x14ac:dyDescent="0.35">
      <c r="A387" t="e">
        <f>-L4h_rlljQa5JO2aT_ev</f>
        <v>#NAME?</v>
      </c>
      <c r="B387">
        <v>50</v>
      </c>
      <c r="C387">
        <v>26</v>
      </c>
      <c r="D387">
        <v>44.44</v>
      </c>
      <c r="E387" t="s">
        <v>5</v>
      </c>
      <c r="F387">
        <f t="shared" ref="F387:F450" si="24">IF(EXACT(E387, "Bar"),LOG(ABS(B387-D387) + 1/8, 2), 0)</f>
        <v>2.5071603491175241</v>
      </c>
      <c r="G387">
        <f t="shared" ref="G387:G450" si="25">IF(EXACT(E387, "Pie"),LOG(ABS(B387-D387) + 1/8, 2), 0)</f>
        <v>0</v>
      </c>
      <c r="H387">
        <f t="shared" ref="H387:H450" si="26">IF(EXACT(E387, "HBar"),LOG(ABS(B387-D387) + 1/8, 2), 0)</f>
        <v>0</v>
      </c>
      <c r="I387">
        <f t="shared" ref="I387:I450" si="27">IF(EXACT(E387, "UDBar"),LOG(ABS(B387-D387) + 1/8, 2), 0)</f>
        <v>0</v>
      </c>
    </row>
    <row r="388" spans="1:9" hidden="1" x14ac:dyDescent="0.35">
      <c r="A388" t="e">
        <f>-L4h_rlljQa5JO2aT_ew</f>
        <v>#NAME?</v>
      </c>
      <c r="B388">
        <v>20</v>
      </c>
      <c r="C388">
        <v>27</v>
      </c>
      <c r="D388">
        <v>18.559999999999999</v>
      </c>
      <c r="E388" t="s">
        <v>5</v>
      </c>
      <c r="F388">
        <f t="shared" si="24"/>
        <v>0.64616265715789478</v>
      </c>
      <c r="G388">
        <f t="shared" si="25"/>
        <v>0</v>
      </c>
      <c r="H388">
        <f t="shared" si="26"/>
        <v>0</v>
      </c>
      <c r="I388">
        <f t="shared" si="27"/>
        <v>0</v>
      </c>
    </row>
    <row r="389" spans="1:9" hidden="1" x14ac:dyDescent="0.35">
      <c r="A389" t="e">
        <f>-L4h_rlmNJ0pNsOiTqft</f>
        <v>#NAME?</v>
      </c>
      <c r="B389">
        <v>5</v>
      </c>
      <c r="C389">
        <v>28</v>
      </c>
      <c r="D389">
        <v>10.31</v>
      </c>
      <c r="E389" t="s">
        <v>5</v>
      </c>
      <c r="F389">
        <f t="shared" si="24"/>
        <v>2.4422800352525846</v>
      </c>
      <c r="G389">
        <f t="shared" si="25"/>
        <v>0</v>
      </c>
      <c r="H389">
        <f t="shared" si="26"/>
        <v>0</v>
      </c>
      <c r="I389">
        <f t="shared" si="27"/>
        <v>0</v>
      </c>
    </row>
    <row r="390" spans="1:9" hidden="1" x14ac:dyDescent="0.35">
      <c r="A390" t="e">
        <f>-L4h_rlmNJ0pNsOiTqfu</f>
        <v>#NAME?</v>
      </c>
      <c r="B390">
        <v>25</v>
      </c>
      <c r="C390">
        <v>29</v>
      </c>
      <c r="D390">
        <v>24.53</v>
      </c>
      <c r="E390" t="s">
        <v>6</v>
      </c>
      <c r="F390">
        <f t="shared" si="24"/>
        <v>0</v>
      </c>
      <c r="G390">
        <f t="shared" si="25"/>
        <v>0</v>
      </c>
      <c r="H390">
        <f t="shared" si="26"/>
        <v>-0.74903842646678398</v>
      </c>
      <c r="I390">
        <f t="shared" si="27"/>
        <v>0</v>
      </c>
    </row>
    <row r="391" spans="1:9" hidden="1" x14ac:dyDescent="0.35">
      <c r="A391" t="e">
        <f>-L4h_rlmNJ0pNsOiTqfv</f>
        <v>#NAME?</v>
      </c>
      <c r="B391">
        <v>90</v>
      </c>
      <c r="C391">
        <v>30</v>
      </c>
      <c r="D391">
        <v>92.31</v>
      </c>
      <c r="E391" t="s">
        <v>5</v>
      </c>
      <c r="F391">
        <f t="shared" si="24"/>
        <v>1.2839217723076188</v>
      </c>
      <c r="G391">
        <f t="shared" si="25"/>
        <v>0</v>
      </c>
      <c r="H391">
        <f t="shared" si="26"/>
        <v>0</v>
      </c>
      <c r="I391">
        <f t="shared" si="27"/>
        <v>0</v>
      </c>
    </row>
    <row r="392" spans="1:9" hidden="1" x14ac:dyDescent="0.35">
      <c r="A392" t="e">
        <f>-L4h_rlnN4EPdJp-m9oS</f>
        <v>#NAME?</v>
      </c>
      <c r="B392">
        <v>45</v>
      </c>
      <c r="C392">
        <v>31</v>
      </c>
      <c r="D392">
        <v>38.57</v>
      </c>
      <c r="E392" t="s">
        <v>5</v>
      </c>
      <c r="F392">
        <f t="shared" si="24"/>
        <v>2.71259578044703</v>
      </c>
      <c r="G392">
        <f t="shared" si="25"/>
        <v>0</v>
      </c>
      <c r="H392">
        <f t="shared" si="26"/>
        <v>0</v>
      </c>
      <c r="I392">
        <f t="shared" si="27"/>
        <v>0</v>
      </c>
    </row>
    <row r="393" spans="1:9" hidden="1" x14ac:dyDescent="0.35">
      <c r="A393" t="e">
        <f>-L4h_rlnN4EPdJp-m9oT</f>
        <v>#NAME?</v>
      </c>
      <c r="B393">
        <v>30</v>
      </c>
      <c r="C393">
        <v>32</v>
      </c>
      <c r="D393">
        <v>26.87</v>
      </c>
      <c r="E393" t="s">
        <v>6</v>
      </c>
      <c r="F393">
        <f t="shared" si="24"/>
        <v>0</v>
      </c>
      <c r="G393">
        <f t="shared" si="25"/>
        <v>0</v>
      </c>
      <c r="H393">
        <f t="shared" si="26"/>
        <v>1.7026575433909106</v>
      </c>
      <c r="I393">
        <f t="shared" si="27"/>
        <v>0</v>
      </c>
    </row>
    <row r="394" spans="1:9" hidden="1" x14ac:dyDescent="0.35">
      <c r="A394" t="e">
        <f>-L4h_rlnN4EPdJp-m9oU</f>
        <v>#NAME?</v>
      </c>
      <c r="B394">
        <v>50</v>
      </c>
      <c r="C394">
        <v>33</v>
      </c>
      <c r="D394">
        <v>54.64</v>
      </c>
      <c r="E394" t="s">
        <v>7</v>
      </c>
      <c r="F394">
        <f t="shared" si="24"/>
        <v>0</v>
      </c>
      <c r="G394">
        <f t="shared" si="25"/>
        <v>2.2524762141352173</v>
      </c>
      <c r="H394">
        <f t="shared" si="26"/>
        <v>0</v>
      </c>
      <c r="I394">
        <f t="shared" si="27"/>
        <v>0</v>
      </c>
    </row>
    <row r="395" spans="1:9" hidden="1" x14ac:dyDescent="0.35">
      <c r="A395" t="e">
        <f>-L4h_rlnN4EPdJp-m9oV</f>
        <v>#NAME?</v>
      </c>
      <c r="B395">
        <v>25</v>
      </c>
      <c r="C395">
        <v>34</v>
      </c>
      <c r="D395">
        <v>18.57</v>
      </c>
      <c r="E395" t="s">
        <v>6</v>
      </c>
      <c r="F395">
        <f t="shared" si="24"/>
        <v>0</v>
      </c>
      <c r="G395">
        <f t="shared" si="25"/>
        <v>0</v>
      </c>
      <c r="H395">
        <f t="shared" si="26"/>
        <v>2.71259578044703</v>
      </c>
      <c r="I395">
        <f t="shared" si="27"/>
        <v>0</v>
      </c>
    </row>
    <row r="396" spans="1:9" hidden="1" x14ac:dyDescent="0.35">
      <c r="A396" t="e">
        <f>-L4h_rloGbNY7FKYzaIU</f>
        <v>#NAME?</v>
      </c>
      <c r="B396">
        <v>20</v>
      </c>
      <c r="C396">
        <v>35</v>
      </c>
      <c r="D396">
        <v>17.91</v>
      </c>
      <c r="E396" t="s">
        <v>5</v>
      </c>
      <c r="F396">
        <f t="shared" si="24"/>
        <v>1.1473066987802936</v>
      </c>
      <c r="G396">
        <f t="shared" si="25"/>
        <v>0</v>
      </c>
      <c r="H396">
        <f t="shared" si="26"/>
        <v>0</v>
      </c>
      <c r="I396">
        <f t="shared" si="27"/>
        <v>0</v>
      </c>
    </row>
    <row r="397" spans="1:9" hidden="1" x14ac:dyDescent="0.35">
      <c r="A397" t="e">
        <f>-L4h_rloGbNY7FKYzaIV</f>
        <v>#NAME?</v>
      </c>
      <c r="B397">
        <v>25</v>
      </c>
      <c r="C397">
        <v>36</v>
      </c>
      <c r="D397">
        <v>25</v>
      </c>
      <c r="E397" t="s">
        <v>7</v>
      </c>
      <c r="F397">
        <f t="shared" si="24"/>
        <v>0</v>
      </c>
      <c r="G397">
        <f t="shared" si="25"/>
        <v>-3</v>
      </c>
      <c r="H397">
        <f t="shared" si="26"/>
        <v>0</v>
      </c>
      <c r="I397">
        <f t="shared" si="27"/>
        <v>0</v>
      </c>
    </row>
    <row r="398" spans="1:9" hidden="1" x14ac:dyDescent="0.35">
      <c r="A398" t="e">
        <f>-L4h_rloGbNY7FKYzaIW</f>
        <v>#NAME?</v>
      </c>
      <c r="B398">
        <v>70</v>
      </c>
      <c r="C398">
        <v>37</v>
      </c>
      <c r="D398">
        <v>69.069999999999993</v>
      </c>
      <c r="E398" t="s">
        <v>6</v>
      </c>
      <c r="F398">
        <f t="shared" si="24"/>
        <v>0</v>
      </c>
      <c r="G398">
        <f t="shared" si="25"/>
        <v>0</v>
      </c>
      <c r="H398">
        <f t="shared" si="26"/>
        <v>7.7242998932469761E-2</v>
      </c>
      <c r="I398">
        <f t="shared" si="27"/>
        <v>0</v>
      </c>
    </row>
    <row r="399" spans="1:9" hidden="1" x14ac:dyDescent="0.35">
      <c r="A399" t="e">
        <f>-L4h_rlpZmddeW_SBDJ4</f>
        <v>#NAME?</v>
      </c>
      <c r="B399">
        <v>20</v>
      </c>
      <c r="C399">
        <v>38</v>
      </c>
      <c r="D399">
        <v>17.14</v>
      </c>
      <c r="E399" t="s">
        <v>6</v>
      </c>
      <c r="F399">
        <f t="shared" si="24"/>
        <v>0</v>
      </c>
      <c r="G399">
        <f t="shared" si="25"/>
        <v>0</v>
      </c>
      <c r="H399">
        <f t="shared" si="26"/>
        <v>1.5777309314900803</v>
      </c>
      <c r="I399">
        <f t="shared" si="27"/>
        <v>0</v>
      </c>
    </row>
    <row r="400" spans="1:9" x14ac:dyDescent="0.35">
      <c r="A400" t="e">
        <f>-L4h_rlpZmddeW_SBDJ5</f>
        <v>#NAME?</v>
      </c>
      <c r="B400">
        <v>30</v>
      </c>
      <c r="C400">
        <v>39</v>
      </c>
      <c r="D400">
        <v>37.04</v>
      </c>
      <c r="E400" t="s">
        <v>8</v>
      </c>
      <c r="F400">
        <f t="shared" si="24"/>
        <v>0</v>
      </c>
      <c r="G400">
        <f t="shared" si="25"/>
        <v>0</v>
      </c>
      <c r="H400">
        <f t="shared" si="26"/>
        <v>0</v>
      </c>
      <c r="I400">
        <f t="shared" si="27"/>
        <v>2.8409667044874207</v>
      </c>
    </row>
    <row r="401" spans="1:9" hidden="1" x14ac:dyDescent="0.35">
      <c r="A401" t="e">
        <f>-L4h_rlqiPYzp5Ca6eQI</f>
        <v>#NAME?</v>
      </c>
      <c r="B401">
        <v>90</v>
      </c>
      <c r="C401">
        <v>40</v>
      </c>
      <c r="D401">
        <v>95.71</v>
      </c>
      <c r="E401" t="s">
        <v>5</v>
      </c>
      <c r="F401">
        <f t="shared" si="24"/>
        <v>2.5447326559326218</v>
      </c>
      <c r="G401">
        <f t="shared" si="25"/>
        <v>0</v>
      </c>
      <c r="H401">
        <f t="shared" si="26"/>
        <v>0</v>
      </c>
      <c r="I401">
        <f t="shared" si="27"/>
        <v>0</v>
      </c>
    </row>
    <row r="402" spans="1:9" x14ac:dyDescent="0.35">
      <c r="A402" t="e">
        <f>-L4h_rlqiPYzp5Ca6eQJ</f>
        <v>#NAME?</v>
      </c>
      <c r="B402">
        <v>15</v>
      </c>
      <c r="C402">
        <v>41</v>
      </c>
      <c r="D402">
        <v>14.29</v>
      </c>
      <c r="E402" t="s">
        <v>8</v>
      </c>
      <c r="F402">
        <f t="shared" si="24"/>
        <v>0</v>
      </c>
      <c r="G402">
        <f t="shared" si="25"/>
        <v>0</v>
      </c>
      <c r="H402">
        <f t="shared" si="26"/>
        <v>0</v>
      </c>
      <c r="I402">
        <f t="shared" si="27"/>
        <v>-0.26015189730067101</v>
      </c>
    </row>
    <row r="403" spans="1:9" hidden="1" x14ac:dyDescent="0.35">
      <c r="A403" t="e">
        <f>-L4h_rlqiPYzp5Ca6eQK</f>
        <v>#NAME?</v>
      </c>
      <c r="B403">
        <v>75</v>
      </c>
      <c r="C403">
        <v>42</v>
      </c>
      <c r="D403">
        <v>75.709999999999994</v>
      </c>
      <c r="E403" t="s">
        <v>5</v>
      </c>
      <c r="F403">
        <f t="shared" si="24"/>
        <v>-0.26015189730068328</v>
      </c>
      <c r="G403">
        <f t="shared" si="25"/>
        <v>0</v>
      </c>
      <c r="H403">
        <f t="shared" si="26"/>
        <v>0</v>
      </c>
      <c r="I403">
        <f t="shared" si="27"/>
        <v>0</v>
      </c>
    </row>
    <row r="404" spans="1:9" hidden="1" x14ac:dyDescent="0.35">
      <c r="A404" t="e">
        <f>-L4h_rlqiPYzp5Ca6eQL</f>
        <v>#NAME?</v>
      </c>
      <c r="B404">
        <v>15</v>
      </c>
      <c r="C404">
        <v>43</v>
      </c>
      <c r="D404">
        <v>12.37</v>
      </c>
      <c r="E404" t="s">
        <v>6</v>
      </c>
      <c r="F404">
        <f t="shared" si="24"/>
        <v>0</v>
      </c>
      <c r="G404">
        <f t="shared" si="25"/>
        <v>0</v>
      </c>
      <c r="H404">
        <f t="shared" si="26"/>
        <v>1.4620523187964334</v>
      </c>
      <c r="I404">
        <f t="shared" si="27"/>
        <v>0</v>
      </c>
    </row>
    <row r="405" spans="1:9" hidden="1" x14ac:dyDescent="0.35">
      <c r="A405" t="e">
        <f>-L4h_rlraKnGJHlRc1Vs</f>
        <v>#NAME?</v>
      </c>
      <c r="B405">
        <v>25</v>
      </c>
      <c r="C405">
        <v>44</v>
      </c>
      <c r="D405">
        <v>22.64</v>
      </c>
      <c r="E405" t="s">
        <v>5</v>
      </c>
      <c r="F405">
        <f t="shared" si="24"/>
        <v>1.3132458517875611</v>
      </c>
      <c r="G405">
        <f t="shared" si="25"/>
        <v>0</v>
      </c>
      <c r="H405">
        <f t="shared" si="26"/>
        <v>0</v>
      </c>
      <c r="I405">
        <f t="shared" si="27"/>
        <v>0</v>
      </c>
    </row>
    <row r="406" spans="1:9" x14ac:dyDescent="0.35">
      <c r="A406" t="e">
        <f>-L4h_rlraKnGJHlRc1Vt</f>
        <v>#NAME?</v>
      </c>
      <c r="B406">
        <v>80</v>
      </c>
      <c r="C406">
        <v>45</v>
      </c>
      <c r="D406">
        <v>83.33</v>
      </c>
      <c r="E406" t="s">
        <v>8</v>
      </c>
      <c r="F406">
        <f t="shared" si="24"/>
        <v>0</v>
      </c>
      <c r="G406">
        <f t="shared" si="25"/>
        <v>0</v>
      </c>
      <c r="H406">
        <f t="shared" si="26"/>
        <v>0</v>
      </c>
      <c r="I406">
        <f t="shared" si="27"/>
        <v>1.7886857106135332</v>
      </c>
    </row>
    <row r="407" spans="1:9" hidden="1" x14ac:dyDescent="0.35">
      <c r="A407" t="e">
        <f>-L4h_rlraKnGJHlRc1Vu</f>
        <v>#NAME?</v>
      </c>
      <c r="B407">
        <v>20</v>
      </c>
      <c r="C407">
        <v>46</v>
      </c>
      <c r="D407">
        <v>16.670000000000002</v>
      </c>
      <c r="E407" t="s">
        <v>5</v>
      </c>
      <c r="F407">
        <f t="shared" si="24"/>
        <v>1.7886857106135332</v>
      </c>
      <c r="G407">
        <f t="shared" si="25"/>
        <v>0</v>
      </c>
      <c r="H407">
        <f t="shared" si="26"/>
        <v>0</v>
      </c>
      <c r="I407">
        <f t="shared" si="27"/>
        <v>0</v>
      </c>
    </row>
    <row r="408" spans="1:9" hidden="1" x14ac:dyDescent="0.35">
      <c r="A408" t="e">
        <f>-L4h_rlsWk2CssaThk3t</f>
        <v>#NAME?</v>
      </c>
      <c r="B408">
        <v>75</v>
      </c>
      <c r="C408">
        <v>47</v>
      </c>
      <c r="D408">
        <v>75.709999999999994</v>
      </c>
      <c r="E408" t="s">
        <v>5</v>
      </c>
      <c r="F408">
        <f t="shared" si="24"/>
        <v>-0.26015189730068328</v>
      </c>
      <c r="G408">
        <f t="shared" si="25"/>
        <v>0</v>
      </c>
      <c r="H408">
        <f t="shared" si="26"/>
        <v>0</v>
      </c>
      <c r="I408">
        <f t="shared" si="27"/>
        <v>0</v>
      </c>
    </row>
    <row r="409" spans="1:9" hidden="1" x14ac:dyDescent="0.35">
      <c r="A409" t="e">
        <f>-L4h_rlsWk2CssaThk3u</f>
        <v>#NAME?</v>
      </c>
      <c r="B409">
        <v>90</v>
      </c>
      <c r="C409">
        <v>48</v>
      </c>
      <c r="D409">
        <v>83.33</v>
      </c>
      <c r="E409" t="s">
        <v>6</v>
      </c>
      <c r="F409">
        <f t="shared" si="24"/>
        <v>0</v>
      </c>
      <c r="G409">
        <f t="shared" si="25"/>
        <v>0</v>
      </c>
      <c r="H409">
        <f t="shared" si="26"/>
        <v>2.7644735509926672</v>
      </c>
      <c r="I409">
        <f t="shared" si="27"/>
        <v>0</v>
      </c>
    </row>
    <row r="410" spans="1:9" x14ac:dyDescent="0.35">
      <c r="A410" t="e">
        <f>-L4h_rlux35QHz7UyBuQ</f>
        <v>#NAME?</v>
      </c>
      <c r="B410">
        <v>30</v>
      </c>
      <c r="C410">
        <v>49</v>
      </c>
      <c r="D410">
        <v>40.299999999999997</v>
      </c>
      <c r="E410" t="s">
        <v>8</v>
      </c>
      <c r="F410">
        <f t="shared" si="24"/>
        <v>0</v>
      </c>
      <c r="G410">
        <f t="shared" si="25"/>
        <v>0</v>
      </c>
      <c r="H410">
        <f t="shared" si="26"/>
        <v>0</v>
      </c>
      <c r="I410">
        <f t="shared" si="27"/>
        <v>3.3819754785573011</v>
      </c>
    </row>
    <row r="411" spans="1:9" hidden="1" x14ac:dyDescent="0.35">
      <c r="A411" t="e">
        <f>-L4h_rlux35QHz7UyBuR</f>
        <v>#NAME?</v>
      </c>
      <c r="B411">
        <v>15</v>
      </c>
      <c r="C411">
        <v>50</v>
      </c>
      <c r="D411">
        <v>12.37</v>
      </c>
      <c r="E411" t="s">
        <v>6</v>
      </c>
      <c r="F411">
        <f t="shared" si="24"/>
        <v>0</v>
      </c>
      <c r="G411">
        <f t="shared" si="25"/>
        <v>0</v>
      </c>
      <c r="H411">
        <f t="shared" si="26"/>
        <v>1.4620523187964334</v>
      </c>
      <c r="I411">
        <f t="shared" si="27"/>
        <v>0</v>
      </c>
    </row>
    <row r="412" spans="1:9" hidden="1" x14ac:dyDescent="0.35">
      <c r="A412" t="e">
        <f>-L4h_rlvWzBFD6TzBnGX</f>
        <v>#NAME?</v>
      </c>
      <c r="B412">
        <v>20</v>
      </c>
      <c r="C412">
        <v>51</v>
      </c>
      <c r="D412">
        <v>23.08</v>
      </c>
      <c r="E412" t="s">
        <v>6</v>
      </c>
      <c r="F412">
        <f t="shared" si="24"/>
        <v>0</v>
      </c>
      <c r="G412">
        <f t="shared" si="25"/>
        <v>0</v>
      </c>
      <c r="H412">
        <f t="shared" si="26"/>
        <v>1.6803243568440158</v>
      </c>
      <c r="I412">
        <f t="shared" si="27"/>
        <v>0</v>
      </c>
    </row>
    <row r="413" spans="1:9" hidden="1" x14ac:dyDescent="0.35">
      <c r="A413" t="e">
        <f>-L4h_rlvWzBFD6TzBnGY</f>
        <v>#NAME?</v>
      </c>
      <c r="B413">
        <v>50</v>
      </c>
      <c r="C413">
        <v>52</v>
      </c>
      <c r="D413">
        <v>50.94</v>
      </c>
      <c r="E413" t="s">
        <v>5</v>
      </c>
      <c r="F413">
        <f t="shared" si="24"/>
        <v>9.0853430451110481E-2</v>
      </c>
      <c r="G413">
        <f t="shared" si="25"/>
        <v>0</v>
      </c>
      <c r="H413">
        <f t="shared" si="26"/>
        <v>0</v>
      </c>
      <c r="I413">
        <f t="shared" si="27"/>
        <v>0</v>
      </c>
    </row>
    <row r="414" spans="1:9" hidden="1" x14ac:dyDescent="0.35">
      <c r="A414" t="e">
        <f>-L4h_rlvWzBFD6TzBnGZ</f>
        <v>#NAME?</v>
      </c>
      <c r="B414">
        <v>5</v>
      </c>
      <c r="C414">
        <v>53</v>
      </c>
      <c r="D414">
        <v>5.66</v>
      </c>
      <c r="E414" t="s">
        <v>5</v>
      </c>
      <c r="F414">
        <f t="shared" si="24"/>
        <v>-0.34923544088309744</v>
      </c>
      <c r="G414">
        <f t="shared" si="25"/>
        <v>0</v>
      </c>
      <c r="H414">
        <f t="shared" si="26"/>
        <v>0</v>
      </c>
      <c r="I414">
        <f t="shared" si="27"/>
        <v>0</v>
      </c>
    </row>
    <row r="415" spans="1:9" x14ac:dyDescent="0.35">
      <c r="A415" t="e">
        <f>-L4h_rlvWzBFD6TzBnG_</f>
        <v>#NAME?</v>
      </c>
      <c r="B415">
        <v>60</v>
      </c>
      <c r="C415">
        <v>54</v>
      </c>
      <c r="D415">
        <v>66.67</v>
      </c>
      <c r="E415" t="s">
        <v>8</v>
      </c>
      <c r="F415">
        <f t="shared" si="24"/>
        <v>0</v>
      </c>
      <c r="G415">
        <f t="shared" si="25"/>
        <v>0</v>
      </c>
      <c r="H415">
        <f t="shared" si="26"/>
        <v>0</v>
      </c>
      <c r="I415">
        <f t="shared" si="27"/>
        <v>2.7644735509926672</v>
      </c>
    </row>
    <row r="416" spans="1:9" hidden="1" x14ac:dyDescent="0.35">
      <c r="A416" t="e">
        <f>-L4h_rlw_5gdJcqmyqZm</f>
        <v>#NAME?</v>
      </c>
      <c r="B416">
        <v>25</v>
      </c>
      <c r="C416">
        <v>55</v>
      </c>
      <c r="D416">
        <v>30</v>
      </c>
      <c r="E416" t="s">
        <v>6</v>
      </c>
      <c r="F416">
        <f t="shared" si="24"/>
        <v>0</v>
      </c>
      <c r="G416">
        <f t="shared" si="25"/>
        <v>0</v>
      </c>
      <c r="H416">
        <f t="shared" si="26"/>
        <v>2.3575520046180838</v>
      </c>
      <c r="I416">
        <f t="shared" si="27"/>
        <v>0</v>
      </c>
    </row>
    <row r="417" spans="1:9" hidden="1" x14ac:dyDescent="0.35">
      <c r="A417" t="e">
        <f>-L4h_rlw_5gdJcqmyqZn</f>
        <v>#NAME?</v>
      </c>
      <c r="B417">
        <v>30</v>
      </c>
      <c r="C417">
        <v>56</v>
      </c>
      <c r="D417">
        <v>24.53</v>
      </c>
      <c r="E417" t="s">
        <v>6</v>
      </c>
      <c r="F417">
        <f t="shared" si="24"/>
        <v>0</v>
      </c>
      <c r="G417">
        <f t="shared" si="25"/>
        <v>0</v>
      </c>
      <c r="H417">
        <f t="shared" si="26"/>
        <v>2.4841381312016688</v>
      </c>
      <c r="I417">
        <f t="shared" si="27"/>
        <v>0</v>
      </c>
    </row>
    <row r="418" spans="1:9" hidden="1" x14ac:dyDescent="0.35">
      <c r="A418" t="e">
        <f>-L4h_rlw_5gdJcqmyqZo</f>
        <v>#NAME?</v>
      </c>
      <c r="B418">
        <v>30</v>
      </c>
      <c r="C418">
        <v>57</v>
      </c>
      <c r="D418">
        <v>30</v>
      </c>
      <c r="E418" t="s">
        <v>7</v>
      </c>
      <c r="F418">
        <f t="shared" si="24"/>
        <v>0</v>
      </c>
      <c r="G418">
        <f t="shared" si="25"/>
        <v>-3</v>
      </c>
      <c r="H418">
        <f t="shared" si="26"/>
        <v>0</v>
      </c>
      <c r="I418">
        <f t="shared" si="27"/>
        <v>0</v>
      </c>
    </row>
    <row r="419" spans="1:9" hidden="1" x14ac:dyDescent="0.35">
      <c r="A419" t="e">
        <f>-L4h_rlxl1u8emXI0Zqu</f>
        <v>#NAME?</v>
      </c>
      <c r="B419">
        <v>25</v>
      </c>
      <c r="C419">
        <v>58</v>
      </c>
      <c r="D419">
        <v>17.91</v>
      </c>
      <c r="E419" t="s">
        <v>6</v>
      </c>
      <c r="F419">
        <f t="shared" si="24"/>
        <v>0</v>
      </c>
      <c r="G419">
        <f t="shared" si="25"/>
        <v>0</v>
      </c>
      <c r="H419">
        <f t="shared" si="26"/>
        <v>2.8509993947164736</v>
      </c>
      <c r="I419">
        <f t="shared" si="27"/>
        <v>0</v>
      </c>
    </row>
    <row r="420" spans="1:9" x14ac:dyDescent="0.35">
      <c r="A420" t="e">
        <f>-L4h_rlxl1u8emXI0Zqv</f>
        <v>#NAME?</v>
      </c>
      <c r="B420">
        <v>70</v>
      </c>
      <c r="C420">
        <v>59</v>
      </c>
      <c r="D420">
        <v>72.16</v>
      </c>
      <c r="E420" t="s">
        <v>8</v>
      </c>
      <c r="F420">
        <f t="shared" si="24"/>
        <v>0</v>
      </c>
      <c r="G420">
        <f t="shared" si="25"/>
        <v>0</v>
      </c>
      <c r="H420">
        <f t="shared" si="26"/>
        <v>0</v>
      </c>
      <c r="I420">
        <f t="shared" si="27"/>
        <v>1.192194165283343</v>
      </c>
    </row>
    <row r="421" spans="1:9" hidden="1" x14ac:dyDescent="0.35">
      <c r="A421" t="e">
        <f>-L4h_rlxl1u8emXI0Zqw</f>
        <v>#NAME?</v>
      </c>
      <c r="B421">
        <v>25</v>
      </c>
      <c r="C421">
        <v>60</v>
      </c>
      <c r="D421">
        <v>26.87</v>
      </c>
      <c r="E421" t="s">
        <v>5</v>
      </c>
      <c r="F421">
        <f t="shared" si="24"/>
        <v>0.99638874644762188</v>
      </c>
      <c r="G421">
        <f t="shared" si="25"/>
        <v>0</v>
      </c>
      <c r="H421">
        <f t="shared" si="26"/>
        <v>0</v>
      </c>
      <c r="I421">
        <f t="shared" si="27"/>
        <v>0</v>
      </c>
    </row>
    <row r="422" spans="1:9" hidden="1" x14ac:dyDescent="0.35">
      <c r="A422" t="e">
        <f>-L4h_rlyyHMslDEgy_83</f>
        <v>#NAME?</v>
      </c>
      <c r="B422">
        <v>25</v>
      </c>
      <c r="C422">
        <v>61</v>
      </c>
      <c r="D422">
        <v>25.71</v>
      </c>
      <c r="E422" t="s">
        <v>7</v>
      </c>
      <c r="F422">
        <f t="shared" si="24"/>
        <v>0</v>
      </c>
      <c r="G422">
        <f t="shared" si="25"/>
        <v>-0.26015189730067101</v>
      </c>
      <c r="H422">
        <f t="shared" si="26"/>
        <v>0</v>
      </c>
      <c r="I422">
        <f t="shared" si="27"/>
        <v>0</v>
      </c>
    </row>
    <row r="423" spans="1:9" hidden="1" x14ac:dyDescent="0.35">
      <c r="A423" t="e">
        <f>-L4h_rlyyHMslDEgy_84</f>
        <v>#NAME?</v>
      </c>
      <c r="B423">
        <v>20</v>
      </c>
      <c r="C423">
        <v>62</v>
      </c>
      <c r="D423">
        <v>14.93</v>
      </c>
      <c r="E423" t="s">
        <v>6</v>
      </c>
      <c r="F423">
        <f t="shared" si="24"/>
        <v>0</v>
      </c>
      <c r="G423">
        <f t="shared" si="25"/>
        <v>0</v>
      </c>
      <c r="H423">
        <f t="shared" si="26"/>
        <v>2.3771237491294874</v>
      </c>
      <c r="I423">
        <f t="shared" si="27"/>
        <v>0</v>
      </c>
    </row>
    <row r="424" spans="1:9" x14ac:dyDescent="0.35">
      <c r="A424" t="e">
        <f>-L4h_rlyyHMslDEgy_85</f>
        <v>#NAME?</v>
      </c>
      <c r="B424">
        <v>15</v>
      </c>
      <c r="C424">
        <v>63</v>
      </c>
      <c r="D424">
        <v>17.91</v>
      </c>
      <c r="E424" t="s">
        <v>8</v>
      </c>
      <c r="F424">
        <f t="shared" si="24"/>
        <v>0</v>
      </c>
      <c r="G424">
        <f t="shared" si="25"/>
        <v>0</v>
      </c>
      <c r="H424">
        <f t="shared" si="26"/>
        <v>0</v>
      </c>
      <c r="I424">
        <f t="shared" si="27"/>
        <v>1.6016965164809573</v>
      </c>
    </row>
    <row r="425" spans="1:9" hidden="1" x14ac:dyDescent="0.35">
      <c r="A425" t="e">
        <f>-L4h_rlyyHMslDEgy_86</f>
        <v>#NAME?</v>
      </c>
      <c r="B425">
        <v>80</v>
      </c>
      <c r="C425">
        <v>64</v>
      </c>
      <c r="D425">
        <v>72.22</v>
      </c>
      <c r="E425" t="s">
        <v>6</v>
      </c>
      <c r="F425">
        <f t="shared" si="24"/>
        <v>0</v>
      </c>
      <c r="G425">
        <f t="shared" si="25"/>
        <v>0</v>
      </c>
      <c r="H425">
        <f t="shared" si="26"/>
        <v>2.9827654625836466</v>
      </c>
      <c r="I425">
        <f t="shared" si="27"/>
        <v>0</v>
      </c>
    </row>
    <row r="426" spans="1:9" hidden="1" x14ac:dyDescent="0.35">
      <c r="A426" t="e">
        <f>-L4h_rlz7qQ0roSsZEKU</f>
        <v>#NAME?</v>
      </c>
      <c r="B426">
        <v>20</v>
      </c>
      <c r="C426">
        <v>65</v>
      </c>
      <c r="D426">
        <v>11.11</v>
      </c>
      <c r="E426" t="s">
        <v>7</v>
      </c>
      <c r="F426">
        <f t="shared" si="24"/>
        <v>0</v>
      </c>
      <c r="G426">
        <f t="shared" si="25"/>
        <v>3.1723274916576174</v>
      </c>
      <c r="H426">
        <f t="shared" si="26"/>
        <v>0</v>
      </c>
      <c r="I426">
        <f t="shared" si="27"/>
        <v>0</v>
      </c>
    </row>
    <row r="427" spans="1:9" hidden="1" x14ac:dyDescent="0.35">
      <c r="A427" t="e">
        <f>-L4h_rlz7qQ0roSsZEKV</f>
        <v>#NAME?</v>
      </c>
      <c r="B427">
        <v>30</v>
      </c>
      <c r="C427">
        <v>66</v>
      </c>
      <c r="D427">
        <v>26.87</v>
      </c>
      <c r="E427" t="s">
        <v>6</v>
      </c>
      <c r="F427">
        <f t="shared" si="24"/>
        <v>0</v>
      </c>
      <c r="G427">
        <f t="shared" si="25"/>
        <v>0</v>
      </c>
      <c r="H427">
        <f t="shared" si="26"/>
        <v>1.7026575433909106</v>
      </c>
      <c r="I427">
        <f t="shared" si="27"/>
        <v>0</v>
      </c>
    </row>
    <row r="428" spans="1:9" hidden="1" x14ac:dyDescent="0.35">
      <c r="A428" t="e">
        <f>-L4h_rlz7qQ0roSsZEKW</f>
        <v>#NAME?</v>
      </c>
      <c r="B428">
        <v>20</v>
      </c>
      <c r="C428">
        <v>67</v>
      </c>
      <c r="D428">
        <v>16.670000000000002</v>
      </c>
      <c r="E428" t="s">
        <v>6</v>
      </c>
      <c r="F428">
        <f t="shared" si="24"/>
        <v>0</v>
      </c>
      <c r="G428">
        <f t="shared" si="25"/>
        <v>0</v>
      </c>
      <c r="H428">
        <f t="shared" si="26"/>
        <v>1.7886857106135332</v>
      </c>
      <c r="I428">
        <f t="shared" si="27"/>
        <v>0</v>
      </c>
    </row>
    <row r="429" spans="1:9" x14ac:dyDescent="0.35">
      <c r="A429" t="e">
        <f>-L4h_rm-OgyzjuZP6UIe</f>
        <v>#NAME?</v>
      </c>
      <c r="B429">
        <v>5</v>
      </c>
      <c r="C429">
        <v>68</v>
      </c>
      <c r="D429">
        <v>4.29</v>
      </c>
      <c r="E429" t="s">
        <v>8</v>
      </c>
      <c r="F429">
        <f t="shared" si="24"/>
        <v>0</v>
      </c>
      <c r="G429">
        <f t="shared" si="25"/>
        <v>0</v>
      </c>
      <c r="H429">
        <f t="shared" si="26"/>
        <v>0</v>
      </c>
      <c r="I429">
        <f t="shared" si="27"/>
        <v>-0.26015189730067256</v>
      </c>
    </row>
    <row r="430" spans="1:9" hidden="1" x14ac:dyDescent="0.35">
      <c r="A430" t="e">
        <f>-L4h_rm-OgyzjuZP6UIf</f>
        <v>#NAME?</v>
      </c>
      <c r="B430">
        <v>10</v>
      </c>
      <c r="C430">
        <v>69</v>
      </c>
      <c r="D430">
        <v>10.31</v>
      </c>
      <c r="E430" t="s">
        <v>6</v>
      </c>
      <c r="F430">
        <f t="shared" si="24"/>
        <v>0</v>
      </c>
      <c r="G430">
        <f t="shared" si="25"/>
        <v>0</v>
      </c>
      <c r="H430">
        <f t="shared" si="26"/>
        <v>-1.2009126939259949</v>
      </c>
      <c r="I430">
        <f t="shared" si="27"/>
        <v>0</v>
      </c>
    </row>
    <row r="431" spans="1:9" x14ac:dyDescent="0.35">
      <c r="A431" t="e">
        <f>-L4h_rm0GAkoKzebO82f</f>
        <v>#NAME?</v>
      </c>
      <c r="B431">
        <v>5</v>
      </c>
      <c r="C431">
        <v>70</v>
      </c>
      <c r="D431">
        <v>4.4800000000000004</v>
      </c>
      <c r="E431" t="s">
        <v>8</v>
      </c>
      <c r="F431">
        <f t="shared" si="24"/>
        <v>0</v>
      </c>
      <c r="G431">
        <f t="shared" si="25"/>
        <v>0</v>
      </c>
      <c r="H431">
        <f t="shared" si="26"/>
        <v>0</v>
      </c>
      <c r="I431">
        <f t="shared" si="27"/>
        <v>-0.63262893435147149</v>
      </c>
    </row>
    <row r="432" spans="1:9" hidden="1" x14ac:dyDescent="0.35">
      <c r="A432" t="e">
        <f>-L4h_rm0GAkoKzebO82g</f>
        <v>#NAME?</v>
      </c>
      <c r="B432">
        <v>50</v>
      </c>
      <c r="C432">
        <v>71</v>
      </c>
      <c r="D432">
        <v>55.56</v>
      </c>
      <c r="E432" t="s">
        <v>7</v>
      </c>
      <c r="F432">
        <f t="shared" si="24"/>
        <v>0</v>
      </c>
      <c r="G432">
        <f t="shared" si="25"/>
        <v>2.5071603491175241</v>
      </c>
      <c r="H432">
        <f t="shared" si="26"/>
        <v>0</v>
      </c>
      <c r="I432">
        <f t="shared" si="27"/>
        <v>0</v>
      </c>
    </row>
    <row r="433" spans="1:9" hidden="1" x14ac:dyDescent="0.35">
      <c r="A433" t="e">
        <f>-L4h_rm0GAkoKzebO82h</f>
        <v>#NAME?</v>
      </c>
      <c r="B433">
        <v>90</v>
      </c>
      <c r="C433">
        <v>72</v>
      </c>
      <c r="D433">
        <v>83.33</v>
      </c>
      <c r="E433" t="s">
        <v>7</v>
      </c>
      <c r="F433">
        <f t="shared" si="24"/>
        <v>0</v>
      </c>
      <c r="G433">
        <f t="shared" si="25"/>
        <v>2.7644735509926672</v>
      </c>
      <c r="H433">
        <f t="shared" si="26"/>
        <v>0</v>
      </c>
      <c r="I433">
        <f t="shared" si="27"/>
        <v>0</v>
      </c>
    </row>
    <row r="434" spans="1:9" hidden="1" x14ac:dyDescent="0.35">
      <c r="A434" t="e">
        <f>-L4h_rm0GAkoKzebO82i</f>
        <v>#NAME?</v>
      </c>
      <c r="B434">
        <v>60</v>
      </c>
      <c r="C434">
        <v>73</v>
      </c>
      <c r="D434">
        <v>54.64</v>
      </c>
      <c r="E434" t="s">
        <v>7</v>
      </c>
      <c r="F434">
        <f t="shared" si="24"/>
        <v>0</v>
      </c>
      <c r="G434">
        <f t="shared" si="25"/>
        <v>2.455491620628468</v>
      </c>
      <c r="H434">
        <f t="shared" si="26"/>
        <v>0</v>
      </c>
      <c r="I434">
        <f t="shared" si="27"/>
        <v>0</v>
      </c>
    </row>
    <row r="435" spans="1:9" x14ac:dyDescent="0.35">
      <c r="A435" t="e">
        <f>-L4h_rm1ZnetrzgE6aZ9</f>
        <v>#NAME?</v>
      </c>
      <c r="B435">
        <v>80</v>
      </c>
      <c r="C435">
        <v>74</v>
      </c>
      <c r="D435">
        <v>75.709999999999994</v>
      </c>
      <c r="E435" t="s">
        <v>8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2.1424134378737434</v>
      </c>
    </row>
    <row r="436" spans="1:9" hidden="1" x14ac:dyDescent="0.35">
      <c r="A436" t="e">
        <f>-L4h_rm1ZnetrzgE6aZA</f>
        <v>#NAME?</v>
      </c>
      <c r="B436">
        <v>25</v>
      </c>
      <c r="C436">
        <v>75</v>
      </c>
      <c r="D436">
        <v>30</v>
      </c>
      <c r="E436" t="s">
        <v>6</v>
      </c>
      <c r="F436">
        <f t="shared" si="24"/>
        <v>0</v>
      </c>
      <c r="G436">
        <f t="shared" si="25"/>
        <v>0</v>
      </c>
      <c r="H436">
        <f t="shared" si="26"/>
        <v>2.3575520046180838</v>
      </c>
      <c r="I436">
        <f t="shared" si="27"/>
        <v>0</v>
      </c>
    </row>
    <row r="437" spans="1:9" hidden="1" x14ac:dyDescent="0.35">
      <c r="A437" t="e">
        <f>-L4h_rm1ZnetrzgE6aZB</f>
        <v>#NAME?</v>
      </c>
      <c r="B437">
        <v>90</v>
      </c>
      <c r="C437">
        <v>76</v>
      </c>
      <c r="D437">
        <v>66.67</v>
      </c>
      <c r="E437" t="s">
        <v>6</v>
      </c>
      <c r="F437">
        <f t="shared" si="24"/>
        <v>0</v>
      </c>
      <c r="G437">
        <f t="shared" si="25"/>
        <v>0</v>
      </c>
      <c r="H437">
        <f t="shared" si="26"/>
        <v>4.5518235957212569</v>
      </c>
      <c r="I437">
        <f t="shared" si="27"/>
        <v>0</v>
      </c>
    </row>
    <row r="438" spans="1:9" hidden="1" x14ac:dyDescent="0.35">
      <c r="A438" t="e">
        <f>-L4h_rm2EapORMKX1u3y</f>
        <v>#NAME?</v>
      </c>
      <c r="B438">
        <v>75</v>
      </c>
      <c r="C438">
        <v>77</v>
      </c>
      <c r="D438">
        <v>69.069999999999993</v>
      </c>
      <c r="E438" t="s">
        <v>6</v>
      </c>
      <c r="F438">
        <f t="shared" si="24"/>
        <v>0</v>
      </c>
      <c r="G438">
        <f t="shared" si="25"/>
        <v>0</v>
      </c>
      <c r="H438">
        <f t="shared" si="26"/>
        <v>2.5981269599196057</v>
      </c>
      <c r="I438">
        <f t="shared" si="27"/>
        <v>0</v>
      </c>
    </row>
    <row r="439" spans="1:9" hidden="1" x14ac:dyDescent="0.35">
      <c r="A439" t="e">
        <f>-L4h_rm2EapORMKX1u3z</f>
        <v>#NAME?</v>
      </c>
      <c r="B439">
        <v>80</v>
      </c>
      <c r="C439">
        <v>78</v>
      </c>
      <c r="D439">
        <v>72.22</v>
      </c>
      <c r="E439" t="s">
        <v>6</v>
      </c>
      <c r="F439">
        <f t="shared" si="24"/>
        <v>0</v>
      </c>
      <c r="G439">
        <f t="shared" si="25"/>
        <v>0</v>
      </c>
      <c r="H439">
        <f t="shared" si="26"/>
        <v>2.9827654625836466</v>
      </c>
      <c r="I439">
        <f t="shared" si="27"/>
        <v>0</v>
      </c>
    </row>
    <row r="440" spans="1:9" x14ac:dyDescent="0.35">
      <c r="A440" t="s">
        <v>22</v>
      </c>
      <c r="B440">
        <v>40</v>
      </c>
      <c r="C440">
        <v>79</v>
      </c>
      <c r="D440">
        <v>40.299999999999997</v>
      </c>
      <c r="E440" t="s">
        <v>8</v>
      </c>
      <c r="F440">
        <f t="shared" si="24"/>
        <v>0</v>
      </c>
      <c r="G440">
        <f t="shared" si="25"/>
        <v>0</v>
      </c>
      <c r="H440">
        <f t="shared" si="26"/>
        <v>0</v>
      </c>
      <c r="I440">
        <f t="shared" si="27"/>
        <v>-1.2344652536370326</v>
      </c>
    </row>
    <row r="441" spans="1:9" hidden="1" x14ac:dyDescent="0.35">
      <c r="A441" t="e">
        <f>-L4h_rm3hlpt4WiVtkVC</f>
        <v>#NAME?</v>
      </c>
      <c r="B441">
        <v>70</v>
      </c>
      <c r="C441">
        <v>80</v>
      </c>
      <c r="D441">
        <v>72.22</v>
      </c>
      <c r="E441" t="s">
        <v>5</v>
      </c>
      <c r="F441">
        <f t="shared" si="24"/>
        <v>1.2295879227406512</v>
      </c>
      <c r="G441">
        <f t="shared" si="25"/>
        <v>0</v>
      </c>
      <c r="H441">
        <f t="shared" si="26"/>
        <v>0</v>
      </c>
      <c r="I441">
        <f t="shared" si="27"/>
        <v>0</v>
      </c>
    </row>
    <row r="442" spans="1:9" x14ac:dyDescent="0.35">
      <c r="A442" t="e">
        <f>-L4h_rm3hlpt4WiVtkVD</f>
        <v>#NAME?</v>
      </c>
      <c r="B442">
        <v>30</v>
      </c>
      <c r="C442">
        <v>81</v>
      </c>
      <c r="D442">
        <v>33.96</v>
      </c>
      <c r="E442" t="s">
        <v>8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2.0303360783709592</v>
      </c>
    </row>
    <row r="443" spans="1:9" hidden="1" x14ac:dyDescent="0.35">
      <c r="A443" t="e">
        <f>-L4h_rm4E_P1wC8uJh1i</f>
        <v>#NAME?</v>
      </c>
      <c r="B443">
        <v>80</v>
      </c>
      <c r="C443">
        <v>82</v>
      </c>
      <c r="D443">
        <v>83.33</v>
      </c>
      <c r="E443" t="s">
        <v>5</v>
      </c>
      <c r="F443">
        <f t="shared" si="24"/>
        <v>1.7886857106135332</v>
      </c>
      <c r="G443">
        <f t="shared" si="25"/>
        <v>0</v>
      </c>
      <c r="H443">
        <f t="shared" si="26"/>
        <v>0</v>
      </c>
      <c r="I443">
        <f t="shared" si="27"/>
        <v>0</v>
      </c>
    </row>
    <row r="444" spans="1:9" x14ac:dyDescent="0.35">
      <c r="A444" t="e">
        <f>-L4h_rm4E_P1wC8uJh1j</f>
        <v>#NAME?</v>
      </c>
      <c r="B444">
        <v>75</v>
      </c>
      <c r="C444">
        <v>83</v>
      </c>
      <c r="D444">
        <v>69.069999999999993</v>
      </c>
      <c r="E444" t="s">
        <v>8</v>
      </c>
      <c r="F444">
        <f t="shared" si="24"/>
        <v>0</v>
      </c>
      <c r="G444">
        <f t="shared" si="25"/>
        <v>0</v>
      </c>
      <c r="H444">
        <f t="shared" si="26"/>
        <v>0</v>
      </c>
      <c r="I444">
        <f t="shared" si="27"/>
        <v>2.5981269599196057</v>
      </c>
    </row>
    <row r="445" spans="1:9" x14ac:dyDescent="0.35">
      <c r="A445" t="e">
        <f>-L4h_rm4E_P1wC8uJh1k</f>
        <v>#NAME?</v>
      </c>
      <c r="B445">
        <v>30</v>
      </c>
      <c r="C445">
        <v>84</v>
      </c>
      <c r="D445">
        <v>37.04</v>
      </c>
      <c r="E445" t="s">
        <v>8</v>
      </c>
      <c r="F445">
        <f t="shared" si="24"/>
        <v>0</v>
      </c>
      <c r="G445">
        <f t="shared" si="25"/>
        <v>0</v>
      </c>
      <c r="H445">
        <f t="shared" si="26"/>
        <v>0</v>
      </c>
      <c r="I445">
        <f t="shared" si="27"/>
        <v>2.8409667044874207</v>
      </c>
    </row>
    <row r="446" spans="1:9" x14ac:dyDescent="0.35">
      <c r="A446" t="e">
        <f>-L4h_rm5G1Lb3Kb_lGzh</f>
        <v>#NAME?</v>
      </c>
      <c r="B446">
        <v>90</v>
      </c>
      <c r="C446">
        <v>85</v>
      </c>
      <c r="D446">
        <v>83.33</v>
      </c>
      <c r="E446" t="s">
        <v>8</v>
      </c>
      <c r="F446">
        <f t="shared" si="24"/>
        <v>0</v>
      </c>
      <c r="G446">
        <f t="shared" si="25"/>
        <v>0</v>
      </c>
      <c r="H446">
        <f t="shared" si="26"/>
        <v>0</v>
      </c>
      <c r="I446">
        <f t="shared" si="27"/>
        <v>2.7644735509926672</v>
      </c>
    </row>
    <row r="447" spans="1:9" hidden="1" x14ac:dyDescent="0.35">
      <c r="A447" t="e">
        <f>-L4h_rm5G1Lb3Kb_lGzi</f>
        <v>#NAME?</v>
      </c>
      <c r="B447">
        <v>45</v>
      </c>
      <c r="C447">
        <v>86</v>
      </c>
      <c r="D447">
        <v>50.94</v>
      </c>
      <c r="E447" t="s">
        <v>6</v>
      </c>
      <c r="F447">
        <f t="shared" si="24"/>
        <v>0</v>
      </c>
      <c r="G447">
        <f t="shared" si="25"/>
        <v>0</v>
      </c>
      <c r="H447">
        <f t="shared" si="26"/>
        <v>2.6005076453457852</v>
      </c>
      <c r="I447">
        <f t="shared" si="27"/>
        <v>0</v>
      </c>
    </row>
    <row r="448" spans="1:9" hidden="1" x14ac:dyDescent="0.35">
      <c r="A448" t="e">
        <f>-L4h_rm5G1Lb3Kb_lGzj</f>
        <v>#NAME?</v>
      </c>
      <c r="B448">
        <v>20</v>
      </c>
      <c r="C448">
        <v>87</v>
      </c>
      <c r="D448">
        <v>18.87</v>
      </c>
      <c r="E448" t="s">
        <v>5</v>
      </c>
      <c r="F448">
        <f t="shared" si="24"/>
        <v>0.32768736417604616</v>
      </c>
      <c r="G448">
        <f t="shared" si="25"/>
        <v>0</v>
      </c>
      <c r="H448">
        <f t="shared" si="26"/>
        <v>0</v>
      </c>
      <c r="I448">
        <f t="shared" si="27"/>
        <v>0</v>
      </c>
    </row>
    <row r="449" spans="1:9" hidden="1" x14ac:dyDescent="0.35">
      <c r="A449" t="e">
        <f>-L4h_rm6hAD1EaSwewxq</f>
        <v>#NAME?</v>
      </c>
      <c r="B449">
        <v>90</v>
      </c>
      <c r="C449">
        <v>88</v>
      </c>
      <c r="D449">
        <v>92.31</v>
      </c>
      <c r="E449" t="s">
        <v>6</v>
      </c>
      <c r="F449">
        <f t="shared" si="24"/>
        <v>0</v>
      </c>
      <c r="G449">
        <f t="shared" si="25"/>
        <v>0</v>
      </c>
      <c r="H449">
        <f t="shared" si="26"/>
        <v>1.2839217723076188</v>
      </c>
      <c r="I449">
        <f t="shared" si="27"/>
        <v>0</v>
      </c>
    </row>
    <row r="450" spans="1:9" hidden="1" x14ac:dyDescent="0.35">
      <c r="A450" t="e">
        <f>-L4h_rm6hAD1EaSwewxr</f>
        <v>#NAME?</v>
      </c>
      <c r="B450">
        <v>60</v>
      </c>
      <c r="C450">
        <v>89</v>
      </c>
      <c r="D450">
        <v>72.22</v>
      </c>
      <c r="E450" t="s">
        <v>5</v>
      </c>
      <c r="F450">
        <f t="shared" si="24"/>
        <v>3.6258549313680568</v>
      </c>
      <c r="G450">
        <f t="shared" si="25"/>
        <v>0</v>
      </c>
      <c r="H450">
        <f t="shared" si="26"/>
        <v>0</v>
      </c>
      <c r="I450">
        <f t="shared" si="27"/>
        <v>0</v>
      </c>
    </row>
    <row r="451" spans="1:9" hidden="1" x14ac:dyDescent="0.35">
      <c r="A451" t="e">
        <f>-L4h_rm6hAD1EaSwewxs</f>
        <v>#NAME?</v>
      </c>
      <c r="B451">
        <v>10</v>
      </c>
      <c r="C451">
        <v>90</v>
      </c>
      <c r="D451">
        <v>14.29</v>
      </c>
      <c r="E451" t="s">
        <v>7</v>
      </c>
      <c r="F451">
        <f t="shared" ref="F451:F514" si="28">IF(EXACT(E451, "Bar"),LOG(ABS(B451-D451) + 1/8, 2), 0)</f>
        <v>0</v>
      </c>
      <c r="G451">
        <f t="shared" ref="G451:G514" si="29">IF(EXACT(E451, "Pie"),LOG(ABS(B451-D451) + 1/8, 2), 0)</f>
        <v>2.1424134378737412</v>
      </c>
      <c r="H451">
        <f t="shared" ref="H451:H514" si="30">IF(EXACT(E451, "HBar"),LOG(ABS(B451-D451) + 1/8, 2), 0)</f>
        <v>0</v>
      </c>
      <c r="I451">
        <f t="shared" ref="I451:I514" si="31">IF(EXACT(E451, "UDBar"),LOG(ABS(B451-D451) + 1/8, 2), 0)</f>
        <v>0</v>
      </c>
    </row>
    <row r="452" spans="1:9" hidden="1" x14ac:dyDescent="0.35">
      <c r="A452" t="e">
        <f>-L4h_rm7vQUo9bIjF9b2</f>
        <v>#NAME?</v>
      </c>
      <c r="B452">
        <v>5</v>
      </c>
      <c r="C452">
        <v>91</v>
      </c>
      <c r="D452">
        <v>10.31</v>
      </c>
      <c r="E452" t="s">
        <v>7</v>
      </c>
      <c r="F452">
        <f t="shared" si="28"/>
        <v>0</v>
      </c>
      <c r="G452">
        <f t="shared" si="29"/>
        <v>2.4422800352525846</v>
      </c>
      <c r="H452">
        <f t="shared" si="30"/>
        <v>0</v>
      </c>
      <c r="I452">
        <f t="shared" si="31"/>
        <v>0</v>
      </c>
    </row>
    <row r="453" spans="1:9" hidden="1" x14ac:dyDescent="0.35">
      <c r="A453" t="e">
        <f>-L4h_rm7vQUo9bIjF9b3</f>
        <v>#NAME?</v>
      </c>
      <c r="B453">
        <v>15</v>
      </c>
      <c r="C453">
        <v>92</v>
      </c>
      <c r="D453">
        <v>16.670000000000002</v>
      </c>
      <c r="E453" t="s">
        <v>5</v>
      </c>
      <c r="F453">
        <f t="shared" si="28"/>
        <v>0.84398384404832805</v>
      </c>
      <c r="G453">
        <f t="shared" si="29"/>
        <v>0</v>
      </c>
      <c r="H453">
        <f t="shared" si="30"/>
        <v>0</v>
      </c>
      <c r="I453">
        <f t="shared" si="31"/>
        <v>0</v>
      </c>
    </row>
    <row r="454" spans="1:9" hidden="1" x14ac:dyDescent="0.35">
      <c r="A454" t="e">
        <f>-L4h_rm7vQUo9bIjF9b4</f>
        <v>#NAME?</v>
      </c>
      <c r="B454">
        <v>40</v>
      </c>
      <c r="C454">
        <v>93</v>
      </c>
      <c r="D454">
        <v>40.299999999999997</v>
      </c>
      <c r="E454" t="s">
        <v>5</v>
      </c>
      <c r="F454">
        <f t="shared" si="28"/>
        <v>-1.2344652536370326</v>
      </c>
      <c r="G454">
        <f t="shared" si="29"/>
        <v>0</v>
      </c>
      <c r="H454">
        <f t="shared" si="30"/>
        <v>0</v>
      </c>
      <c r="I454">
        <f t="shared" si="31"/>
        <v>0</v>
      </c>
    </row>
    <row r="455" spans="1:9" x14ac:dyDescent="0.35">
      <c r="A455" t="e">
        <f>-L4h_rm8tLLHgVq3L35i</f>
        <v>#NAME?</v>
      </c>
      <c r="B455">
        <v>60</v>
      </c>
      <c r="C455">
        <v>94</v>
      </c>
      <c r="D455">
        <v>66.67</v>
      </c>
      <c r="E455" t="s">
        <v>8</v>
      </c>
      <c r="F455">
        <f t="shared" si="28"/>
        <v>0</v>
      </c>
      <c r="G455">
        <f t="shared" si="29"/>
        <v>0</v>
      </c>
      <c r="H455">
        <f t="shared" si="30"/>
        <v>0</v>
      </c>
      <c r="I455">
        <f t="shared" si="31"/>
        <v>2.7644735509926672</v>
      </c>
    </row>
    <row r="456" spans="1:9" hidden="1" x14ac:dyDescent="0.35">
      <c r="A456" t="e">
        <f>-L4h_rm8tLLHgVq3L35j</f>
        <v>#NAME?</v>
      </c>
      <c r="B456">
        <v>90</v>
      </c>
      <c r="C456">
        <v>95</v>
      </c>
      <c r="D456">
        <v>92.31</v>
      </c>
      <c r="E456" t="s">
        <v>7</v>
      </c>
      <c r="F456">
        <f t="shared" si="28"/>
        <v>0</v>
      </c>
      <c r="G456">
        <f t="shared" si="29"/>
        <v>1.2839217723076188</v>
      </c>
      <c r="H456">
        <f t="shared" si="30"/>
        <v>0</v>
      </c>
      <c r="I456">
        <f t="shared" si="31"/>
        <v>0</v>
      </c>
    </row>
    <row r="457" spans="1:9" x14ac:dyDescent="0.35">
      <c r="A457" t="e">
        <f>-L4h_rm8tLLHgVq3L35k</f>
        <v>#NAME?</v>
      </c>
      <c r="B457">
        <v>40</v>
      </c>
      <c r="C457">
        <v>96</v>
      </c>
      <c r="D457">
        <v>38.57</v>
      </c>
      <c r="E457" t="s">
        <v>8</v>
      </c>
      <c r="F457">
        <f t="shared" si="28"/>
        <v>0</v>
      </c>
      <c r="G457">
        <f t="shared" si="29"/>
        <v>0</v>
      </c>
      <c r="H457">
        <f t="shared" si="30"/>
        <v>0</v>
      </c>
      <c r="I457">
        <f t="shared" si="31"/>
        <v>0.63691458035587767</v>
      </c>
    </row>
    <row r="458" spans="1:9" x14ac:dyDescent="0.35">
      <c r="A458" t="e">
        <f>-L4h_rm8tLLHgVq3L35l</f>
        <v>#NAME?</v>
      </c>
      <c r="B458">
        <v>20</v>
      </c>
      <c r="C458">
        <v>97</v>
      </c>
      <c r="D458">
        <v>23.08</v>
      </c>
      <c r="E458" t="s">
        <v>8</v>
      </c>
      <c r="F458">
        <f t="shared" si="28"/>
        <v>0</v>
      </c>
      <c r="G458">
        <f t="shared" si="29"/>
        <v>0</v>
      </c>
      <c r="H458">
        <f t="shared" si="30"/>
        <v>0</v>
      </c>
      <c r="I458">
        <f t="shared" si="31"/>
        <v>1.6803243568440158</v>
      </c>
    </row>
    <row r="459" spans="1:9" x14ac:dyDescent="0.35">
      <c r="A459" t="e">
        <f>-L4h_rm9IBK6DBPfRUq3</f>
        <v>#NAME?</v>
      </c>
      <c r="B459">
        <v>25</v>
      </c>
      <c r="C459">
        <v>98</v>
      </c>
      <c r="D459">
        <v>30</v>
      </c>
      <c r="E459" t="s">
        <v>8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2.3575520046180838</v>
      </c>
    </row>
    <row r="460" spans="1:9" hidden="1" x14ac:dyDescent="0.35">
      <c r="A460" t="e">
        <f>-L4h_rm9IBK6DBPfRUq4</f>
        <v>#NAME?</v>
      </c>
      <c r="B460">
        <v>20</v>
      </c>
      <c r="C460">
        <v>99</v>
      </c>
      <c r="D460">
        <v>18.57</v>
      </c>
      <c r="E460" t="s">
        <v>5</v>
      </c>
      <c r="F460">
        <f t="shared" si="28"/>
        <v>0.63691458035587767</v>
      </c>
      <c r="G460">
        <f t="shared" si="29"/>
        <v>0</v>
      </c>
      <c r="H460">
        <f t="shared" si="30"/>
        <v>0</v>
      </c>
      <c r="I460">
        <f t="shared" si="31"/>
        <v>0</v>
      </c>
    </row>
    <row r="461" spans="1:9" hidden="1" x14ac:dyDescent="0.35">
      <c r="A461" t="e">
        <f>-L4h_rm9IBK6DBPfRUq5</f>
        <v>#NAME?</v>
      </c>
      <c r="B461">
        <v>20</v>
      </c>
      <c r="C461">
        <v>100</v>
      </c>
      <c r="D461">
        <v>18.559999999999999</v>
      </c>
      <c r="E461" t="s">
        <v>6</v>
      </c>
      <c r="F461">
        <f t="shared" si="28"/>
        <v>0</v>
      </c>
      <c r="G461">
        <f t="shared" si="29"/>
        <v>0</v>
      </c>
      <c r="H461">
        <f t="shared" si="30"/>
        <v>0.64616265715789478</v>
      </c>
      <c r="I461">
        <f t="shared" si="31"/>
        <v>0</v>
      </c>
    </row>
    <row r="462" spans="1:9" hidden="1" x14ac:dyDescent="0.35">
      <c r="A462" t="e">
        <f>-L4h_rmAZXJodkrKzkrj</f>
        <v>#NAME?</v>
      </c>
      <c r="B462">
        <v>15</v>
      </c>
      <c r="C462">
        <v>101</v>
      </c>
      <c r="D462">
        <v>14.29</v>
      </c>
      <c r="E462" t="s">
        <v>7</v>
      </c>
      <c r="F462">
        <f t="shared" si="28"/>
        <v>0</v>
      </c>
      <c r="G462">
        <f t="shared" si="29"/>
        <v>-0.26015189730067101</v>
      </c>
      <c r="H462">
        <f t="shared" si="30"/>
        <v>0</v>
      </c>
      <c r="I462">
        <f t="shared" si="31"/>
        <v>0</v>
      </c>
    </row>
    <row r="463" spans="1:9" hidden="1" x14ac:dyDescent="0.35">
      <c r="A463" t="e">
        <f>-L4h_rmAZXJodkrKzkrk</f>
        <v>#NAME?</v>
      </c>
      <c r="B463">
        <v>30</v>
      </c>
      <c r="C463">
        <v>102</v>
      </c>
      <c r="D463">
        <v>33.96</v>
      </c>
      <c r="E463" t="s">
        <v>7</v>
      </c>
      <c r="F463">
        <f t="shared" si="28"/>
        <v>0</v>
      </c>
      <c r="G463">
        <f t="shared" si="29"/>
        <v>2.0303360783709592</v>
      </c>
      <c r="H463">
        <f t="shared" si="30"/>
        <v>0</v>
      </c>
      <c r="I463">
        <f t="shared" si="31"/>
        <v>0</v>
      </c>
    </row>
    <row r="464" spans="1:9" hidden="1" x14ac:dyDescent="0.35">
      <c r="A464" t="e">
        <f>-L4h_rmAZXJodkrKzkrl</f>
        <v>#NAME?</v>
      </c>
      <c r="B464">
        <v>10</v>
      </c>
      <c r="C464">
        <v>103</v>
      </c>
      <c r="D464">
        <v>12.37</v>
      </c>
      <c r="E464" t="s">
        <v>7</v>
      </c>
      <c r="F464">
        <f t="shared" si="28"/>
        <v>0</v>
      </c>
      <c r="G464">
        <f t="shared" si="29"/>
        <v>1.3190398155625354</v>
      </c>
      <c r="H464">
        <f t="shared" si="30"/>
        <v>0</v>
      </c>
      <c r="I464">
        <f t="shared" si="31"/>
        <v>0</v>
      </c>
    </row>
    <row r="465" spans="1:9" hidden="1" x14ac:dyDescent="0.35">
      <c r="A465" t="e">
        <f>-L4h_rmC0dhmNEZ5ES63</f>
        <v>#NAME?</v>
      </c>
      <c r="B465">
        <v>80</v>
      </c>
      <c r="C465">
        <v>104</v>
      </c>
      <c r="D465">
        <v>79.099999999999994</v>
      </c>
      <c r="E465" t="s">
        <v>7</v>
      </c>
      <c r="F465">
        <f t="shared" si="28"/>
        <v>0</v>
      </c>
      <c r="G465">
        <f t="shared" si="29"/>
        <v>3.5623909730729347E-2</v>
      </c>
      <c r="H465">
        <f t="shared" si="30"/>
        <v>0</v>
      </c>
      <c r="I465">
        <f t="shared" si="31"/>
        <v>0</v>
      </c>
    </row>
    <row r="466" spans="1:9" hidden="1" x14ac:dyDescent="0.35">
      <c r="A466" t="e">
        <f>-L4h_rmC0dhmNEZ5ES64</f>
        <v>#NAME?</v>
      </c>
      <c r="B466">
        <v>70</v>
      </c>
      <c r="C466">
        <v>105</v>
      </c>
      <c r="D466">
        <v>72.16</v>
      </c>
      <c r="E466" t="s">
        <v>7</v>
      </c>
      <c r="F466">
        <f t="shared" si="28"/>
        <v>0</v>
      </c>
      <c r="G466">
        <f t="shared" si="29"/>
        <v>1.192194165283343</v>
      </c>
      <c r="H466">
        <f t="shared" si="30"/>
        <v>0</v>
      </c>
      <c r="I466">
        <f t="shared" si="31"/>
        <v>0</v>
      </c>
    </row>
    <row r="467" spans="1:9" x14ac:dyDescent="0.35">
      <c r="A467" t="e">
        <f>-L4h_rmC0dhmNEZ5ES65</f>
        <v>#NAME?</v>
      </c>
      <c r="B467">
        <v>80</v>
      </c>
      <c r="C467">
        <v>106</v>
      </c>
      <c r="D467">
        <v>76.92</v>
      </c>
      <c r="E467" t="s">
        <v>8</v>
      </c>
      <c r="F467">
        <f t="shared" si="28"/>
        <v>0</v>
      </c>
      <c r="G467">
        <f t="shared" si="29"/>
        <v>0</v>
      </c>
      <c r="H467">
        <f t="shared" si="30"/>
        <v>0</v>
      </c>
      <c r="I467">
        <f t="shared" si="31"/>
        <v>1.6803243568440158</v>
      </c>
    </row>
    <row r="468" spans="1:9" x14ac:dyDescent="0.35">
      <c r="A468" t="e">
        <f>-L4h_rmDhUHYGX-nABh5</f>
        <v>#NAME?</v>
      </c>
      <c r="B468">
        <v>80</v>
      </c>
      <c r="C468">
        <v>107</v>
      </c>
      <c r="D468">
        <v>75.709999999999994</v>
      </c>
      <c r="E468" t="s">
        <v>8</v>
      </c>
      <c r="F468">
        <f t="shared" si="28"/>
        <v>0</v>
      </c>
      <c r="G468">
        <f t="shared" si="29"/>
        <v>0</v>
      </c>
      <c r="H468">
        <f t="shared" si="30"/>
        <v>0</v>
      </c>
      <c r="I468">
        <f t="shared" si="31"/>
        <v>2.1424134378737434</v>
      </c>
    </row>
    <row r="469" spans="1:9" hidden="1" x14ac:dyDescent="0.35">
      <c r="A469" t="e">
        <f>-L4h_rmDhUHYGX-nABh6</f>
        <v>#NAME?</v>
      </c>
      <c r="B469">
        <v>90</v>
      </c>
      <c r="C469">
        <v>108</v>
      </c>
      <c r="D469">
        <v>79.099999999999994</v>
      </c>
      <c r="E469" t="s">
        <v>7</v>
      </c>
      <c r="F469">
        <f t="shared" si="28"/>
        <v>0</v>
      </c>
      <c r="G469">
        <f t="shared" si="29"/>
        <v>3.4627067506701592</v>
      </c>
      <c r="H469">
        <f t="shared" si="30"/>
        <v>0</v>
      </c>
      <c r="I469">
        <f t="shared" si="31"/>
        <v>0</v>
      </c>
    </row>
    <row r="470" spans="1:9" hidden="1" x14ac:dyDescent="0.35">
      <c r="A470" t="e">
        <f>-L4h_rmDhUHYGX-nABh7</f>
        <v>#NAME?</v>
      </c>
      <c r="B470">
        <v>20</v>
      </c>
      <c r="C470">
        <v>109</v>
      </c>
      <c r="D470">
        <v>18.87</v>
      </c>
      <c r="E470" t="s">
        <v>7</v>
      </c>
      <c r="F470">
        <f t="shared" si="28"/>
        <v>0</v>
      </c>
      <c r="G470">
        <f t="shared" si="29"/>
        <v>0.32768736417604616</v>
      </c>
      <c r="H470">
        <f t="shared" si="30"/>
        <v>0</v>
      </c>
      <c r="I470">
        <f t="shared" si="31"/>
        <v>0</v>
      </c>
    </row>
    <row r="471" spans="1:9" x14ac:dyDescent="0.35">
      <c r="A471" t="e">
        <f>-L4h_rmDhUHYGX-nABh8</f>
        <v>#NAME?</v>
      </c>
      <c r="B471">
        <v>45</v>
      </c>
      <c r="C471">
        <v>110</v>
      </c>
      <c r="D471">
        <v>48.15</v>
      </c>
      <c r="E471" t="s">
        <v>8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1.7114949066500873</v>
      </c>
    </row>
    <row r="472" spans="1:9" hidden="1" x14ac:dyDescent="0.35">
      <c r="A472" t="e">
        <f>-L4h_rmEQkyKMPy39cde</f>
        <v>#NAME?</v>
      </c>
      <c r="B472">
        <v>10</v>
      </c>
      <c r="C472">
        <v>111</v>
      </c>
      <c r="D472">
        <v>10.31</v>
      </c>
      <c r="E472" t="s">
        <v>7</v>
      </c>
      <c r="F472">
        <f t="shared" si="28"/>
        <v>0</v>
      </c>
      <c r="G472">
        <f t="shared" si="29"/>
        <v>-1.2009126939259949</v>
      </c>
      <c r="H472">
        <f t="shared" si="30"/>
        <v>0</v>
      </c>
      <c r="I472">
        <f t="shared" si="31"/>
        <v>0</v>
      </c>
    </row>
    <row r="473" spans="1:9" x14ac:dyDescent="0.35">
      <c r="A473" t="e">
        <f>-L4h_rmEQkyKMPy39cdf</f>
        <v>#NAME?</v>
      </c>
      <c r="B473">
        <v>60</v>
      </c>
      <c r="C473">
        <v>112</v>
      </c>
      <c r="D473">
        <v>66.67</v>
      </c>
      <c r="E473" t="s">
        <v>8</v>
      </c>
      <c r="F473">
        <f t="shared" si="28"/>
        <v>0</v>
      </c>
      <c r="G473">
        <f t="shared" si="29"/>
        <v>0</v>
      </c>
      <c r="H473">
        <f t="shared" si="30"/>
        <v>0</v>
      </c>
      <c r="I473">
        <f t="shared" si="31"/>
        <v>2.7644735509926672</v>
      </c>
    </row>
    <row r="474" spans="1:9" hidden="1" x14ac:dyDescent="0.35">
      <c r="A474" t="e">
        <f>-L4h_rmEQkyKMPy39cdg</f>
        <v>#NAME?</v>
      </c>
      <c r="B474">
        <v>10</v>
      </c>
      <c r="C474">
        <v>113</v>
      </c>
      <c r="D474">
        <v>12.37</v>
      </c>
      <c r="E474" t="s">
        <v>7</v>
      </c>
      <c r="F474">
        <f t="shared" si="28"/>
        <v>0</v>
      </c>
      <c r="G474">
        <f t="shared" si="29"/>
        <v>1.3190398155625354</v>
      </c>
      <c r="H474">
        <f t="shared" si="30"/>
        <v>0</v>
      </c>
      <c r="I474">
        <f t="shared" si="31"/>
        <v>0</v>
      </c>
    </row>
    <row r="475" spans="1:9" hidden="1" x14ac:dyDescent="0.35">
      <c r="A475" t="e">
        <f>-L4h_rmFA9odWGCGJplk</f>
        <v>#NAME?</v>
      </c>
      <c r="B475">
        <v>15</v>
      </c>
      <c r="C475">
        <v>114</v>
      </c>
      <c r="D475">
        <v>18.559999999999999</v>
      </c>
      <c r="E475" t="s">
        <v>7</v>
      </c>
      <c r="F475">
        <f t="shared" si="28"/>
        <v>0</v>
      </c>
      <c r="G475">
        <f t="shared" si="29"/>
        <v>1.8816646193203446</v>
      </c>
      <c r="H475">
        <f t="shared" si="30"/>
        <v>0</v>
      </c>
      <c r="I475">
        <f t="shared" si="31"/>
        <v>0</v>
      </c>
    </row>
    <row r="476" spans="1:9" hidden="1" x14ac:dyDescent="0.35">
      <c r="A476" t="e">
        <f>-L4h_rmFA9odWGCGJpll</f>
        <v>#NAME?</v>
      </c>
      <c r="B476">
        <v>60</v>
      </c>
      <c r="C476">
        <v>115</v>
      </c>
      <c r="D476">
        <v>66.67</v>
      </c>
      <c r="E476" t="s">
        <v>7</v>
      </c>
      <c r="F476">
        <f t="shared" si="28"/>
        <v>0</v>
      </c>
      <c r="G476">
        <f t="shared" si="29"/>
        <v>2.7644735509926672</v>
      </c>
      <c r="H476">
        <f t="shared" si="30"/>
        <v>0</v>
      </c>
      <c r="I476">
        <f t="shared" si="31"/>
        <v>0</v>
      </c>
    </row>
    <row r="477" spans="1:9" hidden="1" x14ac:dyDescent="0.35">
      <c r="A477" t="e">
        <f>-L4h_rmFA9odWGCGJplm</f>
        <v>#NAME?</v>
      </c>
      <c r="B477">
        <v>40</v>
      </c>
      <c r="C477">
        <v>116</v>
      </c>
      <c r="D477">
        <v>23.08</v>
      </c>
      <c r="E477" t="s">
        <v>7</v>
      </c>
      <c r="F477">
        <f t="shared" si="28"/>
        <v>0</v>
      </c>
      <c r="G477">
        <f t="shared" si="29"/>
        <v>4.0912766943652219</v>
      </c>
      <c r="H477">
        <f t="shared" si="30"/>
        <v>0</v>
      </c>
      <c r="I477">
        <f t="shared" si="31"/>
        <v>0</v>
      </c>
    </row>
    <row r="478" spans="1:9" hidden="1" x14ac:dyDescent="0.35">
      <c r="A478" t="e">
        <f>-L4h_rmFA9odWGCGJpln</f>
        <v>#NAME?</v>
      </c>
      <c r="B478">
        <v>50</v>
      </c>
      <c r="C478">
        <v>117</v>
      </c>
      <c r="D478">
        <v>30</v>
      </c>
      <c r="E478" t="s">
        <v>7</v>
      </c>
      <c r="F478">
        <f t="shared" si="28"/>
        <v>0</v>
      </c>
      <c r="G478">
        <f t="shared" si="29"/>
        <v>4.3309168781146168</v>
      </c>
      <c r="H478">
        <f t="shared" si="30"/>
        <v>0</v>
      </c>
      <c r="I478">
        <f t="shared" si="31"/>
        <v>0</v>
      </c>
    </row>
    <row r="479" spans="1:9" hidden="1" x14ac:dyDescent="0.35">
      <c r="A479" t="e">
        <f>-L4h_rmGVeN6Py60-GS5</f>
        <v>#NAME?</v>
      </c>
      <c r="B479">
        <v>30</v>
      </c>
      <c r="C479">
        <v>118</v>
      </c>
      <c r="D479">
        <v>23.08</v>
      </c>
      <c r="E479" t="s">
        <v>7</v>
      </c>
      <c r="F479">
        <f t="shared" si="28"/>
        <v>0</v>
      </c>
      <c r="G479">
        <f t="shared" si="29"/>
        <v>2.8165997065349124</v>
      </c>
      <c r="H479">
        <f t="shared" si="30"/>
        <v>0</v>
      </c>
      <c r="I479">
        <f t="shared" si="31"/>
        <v>0</v>
      </c>
    </row>
    <row r="480" spans="1:9" x14ac:dyDescent="0.35">
      <c r="A480" t="e">
        <f>-L4h_rmGVeN6Py60-GS6</f>
        <v>#NAME?</v>
      </c>
      <c r="B480">
        <v>20</v>
      </c>
      <c r="C480">
        <v>119</v>
      </c>
      <c r="D480">
        <v>19.399999999999999</v>
      </c>
      <c r="E480" t="s">
        <v>8</v>
      </c>
      <c r="F480">
        <f t="shared" si="28"/>
        <v>0</v>
      </c>
      <c r="G480">
        <f t="shared" si="29"/>
        <v>0</v>
      </c>
      <c r="H480">
        <f t="shared" si="30"/>
        <v>0</v>
      </c>
      <c r="I480">
        <f t="shared" si="31"/>
        <v>-0.46394709975978743</v>
      </c>
    </row>
    <row r="481" spans="1:9" x14ac:dyDescent="0.35">
      <c r="A481" t="e">
        <f>-L4h_rmGVeN6Py60-GS7</f>
        <v>#NAME?</v>
      </c>
      <c r="B481">
        <v>25</v>
      </c>
      <c r="C481">
        <v>120</v>
      </c>
      <c r="D481">
        <v>30</v>
      </c>
      <c r="E481" t="s">
        <v>8</v>
      </c>
      <c r="F481">
        <f t="shared" si="28"/>
        <v>0</v>
      </c>
      <c r="G481">
        <f t="shared" si="29"/>
        <v>0</v>
      </c>
      <c r="H481">
        <f t="shared" si="30"/>
        <v>0</v>
      </c>
      <c r="I481">
        <f t="shared" si="31"/>
        <v>2.3575520046180838</v>
      </c>
    </row>
    <row r="482" spans="1:9" hidden="1" x14ac:dyDescent="0.35">
      <c r="A482" t="e">
        <f>-L4h_rmHK1qZfaiFJFyb</f>
        <v>#NAME?</v>
      </c>
      <c r="B482">
        <v>5</v>
      </c>
      <c r="C482">
        <v>121</v>
      </c>
      <c r="D482">
        <v>4.4800000000000004</v>
      </c>
      <c r="E482" t="s">
        <v>7</v>
      </c>
      <c r="F482">
        <f t="shared" si="28"/>
        <v>0</v>
      </c>
      <c r="G482">
        <f t="shared" si="29"/>
        <v>-0.63262893435147149</v>
      </c>
      <c r="H482">
        <f t="shared" si="30"/>
        <v>0</v>
      </c>
      <c r="I482">
        <f t="shared" si="31"/>
        <v>0</v>
      </c>
    </row>
    <row r="483" spans="1:9" hidden="1" x14ac:dyDescent="0.35">
      <c r="A483" t="e">
        <f>-L4hwDj5cpA1OAe-gf-n</f>
        <v>#NAME?</v>
      </c>
      <c r="B483">
        <v>10</v>
      </c>
      <c r="C483">
        <v>2</v>
      </c>
      <c r="D483">
        <v>12.96</v>
      </c>
      <c r="E483" t="s">
        <v>5</v>
      </c>
      <c r="F483">
        <f t="shared" si="28"/>
        <v>1.6252704893746939</v>
      </c>
      <c r="G483">
        <f t="shared" si="29"/>
        <v>0</v>
      </c>
      <c r="H483">
        <f t="shared" si="30"/>
        <v>0</v>
      </c>
      <c r="I483">
        <f t="shared" si="31"/>
        <v>0</v>
      </c>
    </row>
    <row r="484" spans="1:9" hidden="1" x14ac:dyDescent="0.35">
      <c r="A484" t="e">
        <f>-L4hwDjEd5F_FRIQHDvS</f>
        <v>#NAME?</v>
      </c>
      <c r="B484">
        <v>8</v>
      </c>
      <c r="C484">
        <v>3</v>
      </c>
      <c r="D484">
        <v>9.2100000000000009</v>
      </c>
      <c r="E484" t="s">
        <v>6</v>
      </c>
      <c r="F484">
        <f t="shared" si="28"/>
        <v>0</v>
      </c>
      <c r="G484">
        <f t="shared" si="29"/>
        <v>0</v>
      </c>
      <c r="H484">
        <f t="shared" si="30"/>
        <v>0.41683974191283019</v>
      </c>
      <c r="I484">
        <f t="shared" si="31"/>
        <v>0</v>
      </c>
    </row>
    <row r="485" spans="1:9" hidden="1" x14ac:dyDescent="0.35">
      <c r="A485" t="e">
        <f>-L4hwDjF8xW9yqzAlCYD</f>
        <v>#NAME?</v>
      </c>
      <c r="B485">
        <v>10</v>
      </c>
      <c r="C485">
        <v>4</v>
      </c>
      <c r="D485">
        <v>12.07</v>
      </c>
      <c r="E485" t="s">
        <v>7</v>
      </c>
      <c r="F485">
        <f t="shared" si="28"/>
        <v>0</v>
      </c>
      <c r="G485">
        <f t="shared" si="29"/>
        <v>1.1342209397606335</v>
      </c>
      <c r="H485">
        <f t="shared" si="30"/>
        <v>0</v>
      </c>
      <c r="I485">
        <f t="shared" si="31"/>
        <v>0</v>
      </c>
    </row>
    <row r="486" spans="1:9" x14ac:dyDescent="0.35">
      <c r="A486" t="e">
        <f>-L4hwDjGhmDma-WUCDTg</f>
        <v>#NAME?</v>
      </c>
      <c r="B486">
        <v>10</v>
      </c>
      <c r="C486">
        <v>5</v>
      </c>
      <c r="D486">
        <v>13.64</v>
      </c>
      <c r="E486" t="s">
        <v>8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1.9126498648972037</v>
      </c>
    </row>
    <row r="487" spans="1:9" hidden="1" x14ac:dyDescent="0.35">
      <c r="A487" t="e">
        <f>-L4hwDjHt4OoUQAfkw2k</f>
        <v>#NAME?</v>
      </c>
      <c r="B487">
        <v>33</v>
      </c>
      <c r="C487">
        <v>6</v>
      </c>
      <c r="D487">
        <v>40.74</v>
      </c>
      <c r="E487" t="s">
        <v>6</v>
      </c>
      <c r="F487">
        <f t="shared" si="28"/>
        <v>0</v>
      </c>
      <c r="G487">
        <f t="shared" si="29"/>
        <v>0</v>
      </c>
      <c r="H487">
        <f t="shared" si="30"/>
        <v>2.9754467656409624</v>
      </c>
      <c r="I487">
        <f t="shared" si="31"/>
        <v>0</v>
      </c>
    </row>
    <row r="488" spans="1:9" hidden="1" x14ac:dyDescent="0.35">
      <c r="A488" t="e">
        <f>-L4hwDjIPxBuvXlr6SV7</f>
        <v>#NAME?</v>
      </c>
      <c r="B488">
        <v>5</v>
      </c>
      <c r="C488">
        <v>7</v>
      </c>
      <c r="D488">
        <v>5.26</v>
      </c>
      <c r="E488" t="s">
        <v>6</v>
      </c>
      <c r="F488">
        <f t="shared" si="28"/>
        <v>0</v>
      </c>
      <c r="G488">
        <f t="shared" si="29"/>
        <v>0</v>
      </c>
      <c r="H488">
        <f t="shared" si="30"/>
        <v>-1.3770696490798242</v>
      </c>
      <c r="I488">
        <f t="shared" si="31"/>
        <v>0</v>
      </c>
    </row>
    <row r="489" spans="1:9" hidden="1" x14ac:dyDescent="0.35">
      <c r="A489" t="e">
        <f>-L4hwDjJsUSSoJG_i-WT</f>
        <v>#NAME?</v>
      </c>
      <c r="B489">
        <v>10</v>
      </c>
      <c r="C489">
        <v>8</v>
      </c>
      <c r="D489">
        <v>12.96</v>
      </c>
      <c r="E489" t="s">
        <v>5</v>
      </c>
      <c r="F489">
        <f t="shared" si="28"/>
        <v>1.6252704893746939</v>
      </c>
      <c r="G489">
        <f t="shared" si="29"/>
        <v>0</v>
      </c>
      <c r="H489">
        <f t="shared" si="30"/>
        <v>0</v>
      </c>
      <c r="I489">
        <f t="shared" si="31"/>
        <v>0</v>
      </c>
    </row>
    <row r="490" spans="1:9" hidden="1" x14ac:dyDescent="0.35">
      <c r="A490" t="e">
        <f>-L4hwDjKkx2GIzfaryZi</f>
        <v>#NAME?</v>
      </c>
      <c r="B490">
        <v>7</v>
      </c>
      <c r="C490">
        <v>9</v>
      </c>
      <c r="D490">
        <v>5.56</v>
      </c>
      <c r="E490" t="s">
        <v>7</v>
      </c>
      <c r="F490">
        <f t="shared" si="28"/>
        <v>0</v>
      </c>
      <c r="G490">
        <f t="shared" si="29"/>
        <v>0.646162657157894</v>
      </c>
      <c r="H490">
        <f t="shared" si="30"/>
        <v>0</v>
      </c>
      <c r="I490">
        <f t="shared" si="31"/>
        <v>0</v>
      </c>
    </row>
    <row r="491" spans="1:9" x14ac:dyDescent="0.35">
      <c r="A491" t="e">
        <f>-L4hwDjL-DcHYt5FaC2h</f>
        <v>#NAME?</v>
      </c>
      <c r="B491">
        <v>33</v>
      </c>
      <c r="C491">
        <v>10</v>
      </c>
      <c r="D491">
        <v>42.86</v>
      </c>
      <c r="E491" t="s">
        <v>8</v>
      </c>
      <c r="F491">
        <f t="shared" si="28"/>
        <v>0</v>
      </c>
      <c r="G491">
        <f t="shared" si="29"/>
        <v>0</v>
      </c>
      <c r="H491">
        <f t="shared" si="30"/>
        <v>0</v>
      </c>
      <c r="I491">
        <f t="shared" si="31"/>
        <v>3.3197624276692479</v>
      </c>
    </row>
    <row r="492" spans="1:9" hidden="1" x14ac:dyDescent="0.35">
      <c r="A492" t="e">
        <f>-L4hwDjMIF3NjfyGmaDW</f>
        <v>#NAME?</v>
      </c>
      <c r="B492">
        <v>10</v>
      </c>
      <c r="C492">
        <v>11</v>
      </c>
      <c r="D492">
        <v>8.82</v>
      </c>
      <c r="E492" t="s">
        <v>6</v>
      </c>
      <c r="F492">
        <f t="shared" si="28"/>
        <v>0</v>
      </c>
      <c r="G492">
        <f t="shared" si="29"/>
        <v>0</v>
      </c>
      <c r="H492">
        <f t="shared" si="30"/>
        <v>0.38404980679515949</v>
      </c>
      <c r="I492">
        <f t="shared" si="31"/>
        <v>0</v>
      </c>
    </row>
    <row r="493" spans="1:9" x14ac:dyDescent="0.35">
      <c r="A493" t="e">
        <f>-L4hwDjNRHtUZIIEhuOv</f>
        <v>#NAME?</v>
      </c>
      <c r="B493">
        <v>25</v>
      </c>
      <c r="C493">
        <v>12</v>
      </c>
      <c r="D493">
        <v>31.82</v>
      </c>
      <c r="E493" t="s">
        <v>8</v>
      </c>
      <c r="F493">
        <f t="shared" si="28"/>
        <v>0</v>
      </c>
      <c r="G493">
        <f t="shared" si="29"/>
        <v>0</v>
      </c>
      <c r="H493">
        <f t="shared" si="30"/>
        <v>0</v>
      </c>
      <c r="I493">
        <f t="shared" si="31"/>
        <v>2.7959746942066679</v>
      </c>
    </row>
    <row r="494" spans="1:9" hidden="1" x14ac:dyDescent="0.35">
      <c r="A494" t="e">
        <f>-L4hwDjNRHtUZIIEhuOw</f>
        <v>#NAME?</v>
      </c>
      <c r="B494">
        <v>10</v>
      </c>
      <c r="C494">
        <v>13</v>
      </c>
      <c r="D494">
        <v>10.14</v>
      </c>
      <c r="E494" t="s">
        <v>5</v>
      </c>
      <c r="F494">
        <f t="shared" si="28"/>
        <v>-1.9159357352115227</v>
      </c>
      <c r="G494">
        <f t="shared" si="29"/>
        <v>0</v>
      </c>
      <c r="H494">
        <f t="shared" si="30"/>
        <v>0</v>
      </c>
      <c r="I494">
        <f t="shared" si="31"/>
        <v>0</v>
      </c>
    </row>
    <row r="495" spans="1:9" hidden="1" x14ac:dyDescent="0.35">
      <c r="A495" t="e">
        <f>-L4hwDjO7EJ2NHhIQ1Hi</f>
        <v>#NAME?</v>
      </c>
      <c r="B495">
        <v>15</v>
      </c>
      <c r="C495">
        <v>14</v>
      </c>
      <c r="D495">
        <v>13.64</v>
      </c>
      <c r="E495" t="s">
        <v>5</v>
      </c>
      <c r="F495">
        <f t="shared" si="28"/>
        <v>0.57046293102604051</v>
      </c>
      <c r="G495">
        <f t="shared" si="29"/>
        <v>0</v>
      </c>
      <c r="H495">
        <f t="shared" si="30"/>
        <v>0</v>
      </c>
      <c r="I495">
        <f t="shared" si="31"/>
        <v>0</v>
      </c>
    </row>
    <row r="496" spans="1:9" x14ac:dyDescent="0.35">
      <c r="A496" t="e">
        <f>-L4hwDjO7EJ2NHhIQ1Hj</f>
        <v>#NAME?</v>
      </c>
      <c r="B496">
        <v>33</v>
      </c>
      <c r="C496">
        <v>15</v>
      </c>
      <c r="D496">
        <v>31.88</v>
      </c>
      <c r="E496" t="s">
        <v>8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0.3161457422933574</v>
      </c>
    </row>
    <row r="497" spans="1:9" hidden="1" x14ac:dyDescent="0.35">
      <c r="A497" t="e">
        <f>-L4hwDjO7EJ2NHhIQ1Hk</f>
        <v>#NAME?</v>
      </c>
      <c r="B497">
        <v>40</v>
      </c>
      <c r="C497">
        <v>16</v>
      </c>
      <c r="D497">
        <v>37.93</v>
      </c>
      <c r="E497" t="s">
        <v>6</v>
      </c>
      <c r="F497">
        <f t="shared" si="28"/>
        <v>0</v>
      </c>
      <c r="G497">
        <f t="shared" si="29"/>
        <v>0</v>
      </c>
      <c r="H497">
        <f t="shared" si="30"/>
        <v>1.1342209397606335</v>
      </c>
      <c r="I497">
        <f t="shared" si="31"/>
        <v>0</v>
      </c>
    </row>
    <row r="498" spans="1:9" hidden="1" x14ac:dyDescent="0.35">
      <c r="A498" t="e">
        <f>-L4hwDjO7EJ2NHhIQ1Hl</f>
        <v>#NAME?</v>
      </c>
      <c r="B498">
        <v>50</v>
      </c>
      <c r="C498">
        <v>17</v>
      </c>
      <c r="D498">
        <v>57.14</v>
      </c>
      <c r="E498" t="s">
        <v>7</v>
      </c>
      <c r="F498">
        <f t="shared" si="28"/>
        <v>0</v>
      </c>
      <c r="G498">
        <f t="shared" si="29"/>
        <v>2.8609627978581167</v>
      </c>
      <c r="H498">
        <f t="shared" si="30"/>
        <v>0</v>
      </c>
      <c r="I498">
        <f t="shared" si="31"/>
        <v>0</v>
      </c>
    </row>
    <row r="499" spans="1:9" x14ac:dyDescent="0.35">
      <c r="A499" t="e">
        <f>-L4hwDjPzwHOVJxMWb-O</f>
        <v>#NAME?</v>
      </c>
      <c r="B499">
        <v>33</v>
      </c>
      <c r="C499">
        <v>18</v>
      </c>
      <c r="D499">
        <v>28.95</v>
      </c>
      <c r="E499" t="s">
        <v>8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2.0617761975866902</v>
      </c>
    </row>
    <row r="500" spans="1:9" x14ac:dyDescent="0.35">
      <c r="A500" t="e">
        <f>-L4hwDjQRsyAeIyOKd4A</f>
        <v>#NAME?</v>
      </c>
      <c r="B500">
        <v>10</v>
      </c>
      <c r="C500">
        <v>19</v>
      </c>
      <c r="D500">
        <v>10.14</v>
      </c>
      <c r="E500" t="s">
        <v>8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-1.9159357352115227</v>
      </c>
    </row>
    <row r="501" spans="1:9" x14ac:dyDescent="0.35">
      <c r="A501" t="s">
        <v>23</v>
      </c>
      <c r="B501">
        <v>5</v>
      </c>
      <c r="C501">
        <v>20</v>
      </c>
      <c r="D501">
        <v>7.41</v>
      </c>
      <c r="E501" t="s">
        <v>8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1.3419857472286159</v>
      </c>
    </row>
    <row r="502" spans="1:9" x14ac:dyDescent="0.35">
      <c r="A502" t="s">
        <v>24</v>
      </c>
      <c r="B502">
        <v>5</v>
      </c>
      <c r="C502">
        <v>21</v>
      </c>
      <c r="D502">
        <v>7.41</v>
      </c>
      <c r="E502" t="s">
        <v>8</v>
      </c>
      <c r="F502">
        <f t="shared" si="28"/>
        <v>0</v>
      </c>
      <c r="G502">
        <f t="shared" si="29"/>
        <v>0</v>
      </c>
      <c r="H502">
        <f t="shared" si="30"/>
        <v>0</v>
      </c>
      <c r="I502">
        <f t="shared" si="31"/>
        <v>1.3419857472286159</v>
      </c>
    </row>
    <row r="503" spans="1:9" hidden="1" x14ac:dyDescent="0.35">
      <c r="A503" t="s">
        <v>25</v>
      </c>
      <c r="B503">
        <v>10</v>
      </c>
      <c r="C503">
        <v>22</v>
      </c>
      <c r="D503">
        <v>5.8</v>
      </c>
      <c r="E503" t="s">
        <v>7</v>
      </c>
      <c r="F503">
        <f t="shared" si="28"/>
        <v>0</v>
      </c>
      <c r="G503">
        <f t="shared" si="29"/>
        <v>2.1127001327493624</v>
      </c>
      <c r="H503">
        <f t="shared" si="30"/>
        <v>0</v>
      </c>
      <c r="I503">
        <f t="shared" si="31"/>
        <v>0</v>
      </c>
    </row>
    <row r="504" spans="1:9" hidden="1" x14ac:dyDescent="0.35">
      <c r="A504" t="s">
        <v>26</v>
      </c>
      <c r="B504">
        <v>10</v>
      </c>
      <c r="C504">
        <v>23</v>
      </c>
      <c r="D504">
        <v>12.96</v>
      </c>
      <c r="E504" t="s">
        <v>6</v>
      </c>
      <c r="F504">
        <f t="shared" si="28"/>
        <v>0</v>
      </c>
      <c r="G504">
        <f t="shared" si="29"/>
        <v>0</v>
      </c>
      <c r="H504">
        <f t="shared" si="30"/>
        <v>1.6252704893746939</v>
      </c>
      <c r="I504">
        <f t="shared" si="31"/>
        <v>0</v>
      </c>
    </row>
    <row r="505" spans="1:9" x14ac:dyDescent="0.35">
      <c r="A505" t="e">
        <f>-L4hwDjSX9kMzT7VAqqs</f>
        <v>#NAME?</v>
      </c>
      <c r="B505">
        <v>5</v>
      </c>
      <c r="C505">
        <v>24</v>
      </c>
      <c r="D505">
        <v>4.3499999999999996</v>
      </c>
      <c r="E505" t="s">
        <v>8</v>
      </c>
      <c r="F505">
        <f t="shared" si="28"/>
        <v>0</v>
      </c>
      <c r="G505">
        <f t="shared" si="29"/>
        <v>0</v>
      </c>
      <c r="H505">
        <f t="shared" si="30"/>
        <v>0</v>
      </c>
      <c r="I505">
        <f t="shared" si="31"/>
        <v>-0.36773178450048649</v>
      </c>
    </row>
    <row r="506" spans="1:9" hidden="1" x14ac:dyDescent="0.35">
      <c r="A506" t="e">
        <f>-L4hwDjSX9kMzT7VAqqt</f>
        <v>#NAME?</v>
      </c>
      <c r="B506">
        <v>20</v>
      </c>
      <c r="C506">
        <v>25</v>
      </c>
      <c r="D506">
        <v>20.59</v>
      </c>
      <c r="E506" t="s">
        <v>5</v>
      </c>
      <c r="F506">
        <f t="shared" si="28"/>
        <v>-0.48398485299633554</v>
      </c>
      <c r="G506">
        <f t="shared" si="29"/>
        <v>0</v>
      </c>
      <c r="H506">
        <f t="shared" si="30"/>
        <v>0</v>
      </c>
      <c r="I506">
        <f t="shared" si="31"/>
        <v>0</v>
      </c>
    </row>
    <row r="507" spans="1:9" hidden="1" x14ac:dyDescent="0.35">
      <c r="A507" t="e">
        <f>-L4hwDjSX9kMzT7VAqqu</f>
        <v>#NAME?</v>
      </c>
      <c r="B507">
        <v>60</v>
      </c>
      <c r="C507">
        <v>26</v>
      </c>
      <c r="D507">
        <v>42.86</v>
      </c>
      <c r="E507" t="s">
        <v>7</v>
      </c>
      <c r="F507">
        <f t="shared" si="28"/>
        <v>0</v>
      </c>
      <c r="G507">
        <f t="shared" si="29"/>
        <v>4.1097784290786619</v>
      </c>
      <c r="H507">
        <f t="shared" si="30"/>
        <v>0</v>
      </c>
      <c r="I507">
        <f t="shared" si="31"/>
        <v>0</v>
      </c>
    </row>
    <row r="508" spans="1:9" hidden="1" x14ac:dyDescent="0.35">
      <c r="A508" t="e">
        <f>-L4hwDjSX9kMzT7VAqqv</f>
        <v>#NAME?</v>
      </c>
      <c r="B508">
        <v>5</v>
      </c>
      <c r="C508">
        <v>27</v>
      </c>
      <c r="D508">
        <v>5.26</v>
      </c>
      <c r="E508" t="s">
        <v>7</v>
      </c>
      <c r="F508">
        <f t="shared" si="28"/>
        <v>0</v>
      </c>
      <c r="G508">
        <f t="shared" si="29"/>
        <v>-1.3770696490798242</v>
      </c>
      <c r="H508">
        <f t="shared" si="30"/>
        <v>0</v>
      </c>
      <c r="I508">
        <f t="shared" si="31"/>
        <v>0</v>
      </c>
    </row>
    <row r="509" spans="1:9" hidden="1" x14ac:dyDescent="0.35">
      <c r="A509" t="e">
        <f>-L4hwDjSX9kMzT7VAqqw</f>
        <v>#NAME?</v>
      </c>
      <c r="B509">
        <v>5</v>
      </c>
      <c r="C509">
        <v>28</v>
      </c>
      <c r="D509">
        <v>4.3499999999999996</v>
      </c>
      <c r="E509" t="s">
        <v>6</v>
      </c>
      <c r="F509">
        <f t="shared" si="28"/>
        <v>0</v>
      </c>
      <c r="G509">
        <f t="shared" si="29"/>
        <v>0</v>
      </c>
      <c r="H509">
        <f t="shared" si="30"/>
        <v>-0.36773178450048649</v>
      </c>
      <c r="I509">
        <f t="shared" si="31"/>
        <v>0</v>
      </c>
    </row>
    <row r="510" spans="1:9" x14ac:dyDescent="0.35">
      <c r="A510" t="e">
        <f>-L4hwDjT4Q9x9PBgO3nu</f>
        <v>#NAME?</v>
      </c>
      <c r="B510">
        <v>92</v>
      </c>
      <c r="C510">
        <v>29</v>
      </c>
      <c r="D510">
        <v>93.1</v>
      </c>
      <c r="E510" t="s">
        <v>8</v>
      </c>
      <c r="F510">
        <f t="shared" si="28"/>
        <v>0</v>
      </c>
      <c r="G510">
        <f t="shared" si="29"/>
        <v>0</v>
      </c>
      <c r="H510">
        <f t="shared" si="30"/>
        <v>0</v>
      </c>
      <c r="I510">
        <f t="shared" si="31"/>
        <v>0.29278174922783917</v>
      </c>
    </row>
    <row r="511" spans="1:9" hidden="1" x14ac:dyDescent="0.35">
      <c r="A511" t="e">
        <f>-L4hwDjT4Q9x9PBgO3nv</f>
        <v>#NAME?</v>
      </c>
      <c r="B511">
        <v>33</v>
      </c>
      <c r="C511">
        <v>30</v>
      </c>
      <c r="D511">
        <v>31.88</v>
      </c>
      <c r="E511" t="s">
        <v>7</v>
      </c>
      <c r="F511">
        <f t="shared" si="28"/>
        <v>0</v>
      </c>
      <c r="G511">
        <f t="shared" si="29"/>
        <v>0.3161457422933574</v>
      </c>
      <c r="H511">
        <f t="shared" si="30"/>
        <v>0</v>
      </c>
      <c r="I511">
        <f t="shared" si="31"/>
        <v>0</v>
      </c>
    </row>
    <row r="512" spans="1:9" hidden="1" x14ac:dyDescent="0.35">
      <c r="A512" t="e">
        <f>-L4hwDjT4Q9x9PBgO3nw</f>
        <v>#NAME?</v>
      </c>
      <c r="B512">
        <v>80</v>
      </c>
      <c r="C512">
        <v>31</v>
      </c>
      <c r="D512">
        <v>76.319999999999993</v>
      </c>
      <c r="E512" t="s">
        <v>7</v>
      </c>
      <c r="F512">
        <f t="shared" si="28"/>
        <v>0</v>
      </c>
      <c r="G512">
        <f t="shared" si="29"/>
        <v>1.9278964537288232</v>
      </c>
      <c r="H512">
        <f t="shared" si="30"/>
        <v>0</v>
      </c>
      <c r="I512">
        <f t="shared" si="31"/>
        <v>0</v>
      </c>
    </row>
    <row r="513" spans="1:9" x14ac:dyDescent="0.35">
      <c r="A513" t="e">
        <f>-L4hwDjT4Q9x9PBgO3nx</f>
        <v>#NAME?</v>
      </c>
      <c r="B513">
        <v>10</v>
      </c>
      <c r="C513">
        <v>32</v>
      </c>
      <c r="D513">
        <v>9.2100000000000009</v>
      </c>
      <c r="E513" t="s">
        <v>8</v>
      </c>
      <c r="F513">
        <f t="shared" si="28"/>
        <v>0</v>
      </c>
      <c r="G513">
        <f t="shared" si="29"/>
        <v>0</v>
      </c>
      <c r="H513">
        <f t="shared" si="30"/>
        <v>0</v>
      </c>
      <c r="I513">
        <f t="shared" si="31"/>
        <v>-0.12815635149068361</v>
      </c>
    </row>
    <row r="514" spans="1:9" x14ac:dyDescent="0.35">
      <c r="A514" t="e">
        <f>-L4hwDjT4Q9x9PBgO3ny</f>
        <v>#NAME?</v>
      </c>
      <c r="B514">
        <v>40</v>
      </c>
      <c r="C514">
        <v>33</v>
      </c>
      <c r="D514">
        <v>44.74</v>
      </c>
      <c r="E514" t="s">
        <v>8</v>
      </c>
      <c r="F514">
        <f t="shared" si="28"/>
        <v>0</v>
      </c>
      <c r="G514">
        <f t="shared" si="29"/>
        <v>0</v>
      </c>
      <c r="H514">
        <f t="shared" si="30"/>
        <v>0</v>
      </c>
      <c r="I514">
        <f t="shared" si="31"/>
        <v>2.2824398050063874</v>
      </c>
    </row>
    <row r="515" spans="1:9" hidden="1" x14ac:dyDescent="0.35">
      <c r="A515" t="e">
        <f>-L4hwDjUe-Ued_pYRO3e</f>
        <v>#NAME?</v>
      </c>
      <c r="B515">
        <v>15</v>
      </c>
      <c r="C515">
        <v>34</v>
      </c>
      <c r="D515">
        <v>11.76</v>
      </c>
      <c r="E515" t="s">
        <v>5</v>
      </c>
      <c r="F515">
        <f t="shared" ref="F515:F578" si="32">IF(EXACT(E515, "Bar"),LOG(ABS(B515-D515) + 1/8, 2), 0)</f>
        <v>1.7506065048355923</v>
      </c>
      <c r="G515">
        <f t="shared" ref="G515:G578" si="33">IF(EXACT(E515, "Pie"),LOG(ABS(B515-D515) + 1/8, 2), 0)</f>
        <v>0</v>
      </c>
      <c r="H515">
        <f t="shared" ref="H515:H578" si="34">IF(EXACT(E515, "HBar"),LOG(ABS(B515-D515) + 1/8, 2), 0)</f>
        <v>0</v>
      </c>
      <c r="I515">
        <f t="shared" ref="I515:I578" si="35">IF(EXACT(E515, "UDBar"),LOG(ABS(B515-D515) + 1/8, 2), 0)</f>
        <v>0</v>
      </c>
    </row>
    <row r="516" spans="1:9" hidden="1" x14ac:dyDescent="0.35">
      <c r="A516" t="e">
        <f>-L4hwDjUe-Ued_pYRO3f</f>
        <v>#NAME?</v>
      </c>
      <c r="B516">
        <v>15</v>
      </c>
      <c r="C516">
        <v>35</v>
      </c>
      <c r="D516">
        <v>12.96</v>
      </c>
      <c r="E516" t="s">
        <v>5</v>
      </c>
      <c r="F516">
        <f t="shared" si="32"/>
        <v>1.1143670249519997</v>
      </c>
      <c r="G516">
        <f t="shared" si="33"/>
        <v>0</v>
      </c>
      <c r="H516">
        <f t="shared" si="34"/>
        <v>0</v>
      </c>
      <c r="I516">
        <f t="shared" si="35"/>
        <v>0</v>
      </c>
    </row>
    <row r="517" spans="1:9" hidden="1" x14ac:dyDescent="0.35">
      <c r="A517" t="e">
        <f>-L4hwDjVSqjkUiHwd1eD</f>
        <v>#NAME?</v>
      </c>
      <c r="B517">
        <v>12</v>
      </c>
      <c r="C517">
        <v>36</v>
      </c>
      <c r="D517">
        <v>8.82</v>
      </c>
      <c r="E517" t="s">
        <v>5</v>
      </c>
      <c r="F517">
        <f t="shared" si="32"/>
        <v>1.724650271732967</v>
      </c>
      <c r="G517">
        <f t="shared" si="33"/>
        <v>0</v>
      </c>
      <c r="H517">
        <f t="shared" si="34"/>
        <v>0</v>
      </c>
      <c r="I517">
        <f t="shared" si="35"/>
        <v>0</v>
      </c>
    </row>
    <row r="518" spans="1:9" hidden="1" x14ac:dyDescent="0.35">
      <c r="A518" t="e">
        <f>-L4hwDjWTm85D8vHSH5d</f>
        <v>#NAME?</v>
      </c>
      <c r="B518">
        <v>18</v>
      </c>
      <c r="C518">
        <v>37</v>
      </c>
      <c r="D518">
        <v>18.18</v>
      </c>
      <c r="E518" t="s">
        <v>6</v>
      </c>
      <c r="F518">
        <f t="shared" si="32"/>
        <v>0</v>
      </c>
      <c r="G518">
        <f t="shared" si="33"/>
        <v>0</v>
      </c>
      <c r="H518">
        <f t="shared" si="34"/>
        <v>-1.7131188522118397</v>
      </c>
      <c r="I518">
        <f t="shared" si="35"/>
        <v>0</v>
      </c>
    </row>
    <row r="519" spans="1:9" hidden="1" x14ac:dyDescent="0.35">
      <c r="A519" t="e">
        <f>-L4hwDjWTm85D8vHSH5e</f>
        <v>#NAME?</v>
      </c>
      <c r="B519">
        <v>100</v>
      </c>
      <c r="C519">
        <v>38</v>
      </c>
      <c r="D519">
        <v>100</v>
      </c>
      <c r="E519" t="s">
        <v>7</v>
      </c>
      <c r="F519">
        <f t="shared" si="32"/>
        <v>0</v>
      </c>
      <c r="G519">
        <f t="shared" si="33"/>
        <v>-3</v>
      </c>
      <c r="H519">
        <f t="shared" si="34"/>
        <v>0</v>
      </c>
      <c r="I519">
        <f t="shared" si="35"/>
        <v>0</v>
      </c>
    </row>
    <row r="520" spans="1:9" hidden="1" x14ac:dyDescent="0.35">
      <c r="A520" t="e">
        <f>-L4hwDjWTm85D8vHSH5f</f>
        <v>#NAME?</v>
      </c>
      <c r="B520">
        <v>60</v>
      </c>
      <c r="C520">
        <v>39</v>
      </c>
      <c r="D520">
        <v>62.96</v>
      </c>
      <c r="E520" t="s">
        <v>6</v>
      </c>
      <c r="F520">
        <f t="shared" si="32"/>
        <v>0</v>
      </c>
      <c r="G520">
        <f t="shared" si="33"/>
        <v>0</v>
      </c>
      <c r="H520">
        <f t="shared" si="34"/>
        <v>1.6252704893746939</v>
      </c>
      <c r="I520">
        <f t="shared" si="35"/>
        <v>0</v>
      </c>
    </row>
    <row r="521" spans="1:9" hidden="1" x14ac:dyDescent="0.35">
      <c r="A521" t="e">
        <f>-L4hwDjWTm85D8vHSH5g</f>
        <v>#NAME?</v>
      </c>
      <c r="B521">
        <v>85</v>
      </c>
      <c r="C521">
        <v>40</v>
      </c>
      <c r="D521">
        <v>78.260000000000005</v>
      </c>
      <c r="E521" t="s">
        <v>5</v>
      </c>
      <c r="F521">
        <f t="shared" si="32"/>
        <v>2.7792597203723748</v>
      </c>
      <c r="G521">
        <f t="shared" si="33"/>
        <v>0</v>
      </c>
      <c r="H521">
        <f t="shared" si="34"/>
        <v>0</v>
      </c>
      <c r="I521">
        <f t="shared" si="35"/>
        <v>0</v>
      </c>
    </row>
    <row r="522" spans="1:9" hidden="1" x14ac:dyDescent="0.35">
      <c r="A522" t="e">
        <f>-L4hwDjXPslq6CtP5loR</f>
        <v>#NAME?</v>
      </c>
      <c r="B522">
        <v>10</v>
      </c>
      <c r="C522">
        <v>41</v>
      </c>
      <c r="D522">
        <v>6.9</v>
      </c>
      <c r="E522" t="s">
        <v>7</v>
      </c>
      <c r="F522">
        <f t="shared" si="32"/>
        <v>0</v>
      </c>
      <c r="G522">
        <f t="shared" si="33"/>
        <v>1.6892991605358916</v>
      </c>
      <c r="H522">
        <f t="shared" si="34"/>
        <v>0</v>
      </c>
      <c r="I522">
        <f t="shared" si="35"/>
        <v>0</v>
      </c>
    </row>
    <row r="523" spans="1:9" x14ac:dyDescent="0.35">
      <c r="A523" t="e">
        <f>-L4hwDjXPslq6CtP5loS</f>
        <v>#NAME?</v>
      </c>
      <c r="B523">
        <v>60</v>
      </c>
      <c r="C523">
        <v>42</v>
      </c>
      <c r="D523">
        <v>58.62</v>
      </c>
      <c r="E523" t="s">
        <v>8</v>
      </c>
      <c r="F523">
        <f t="shared" si="32"/>
        <v>0</v>
      </c>
      <c r="G523">
        <f t="shared" si="33"/>
        <v>0</v>
      </c>
      <c r="H523">
        <f t="shared" si="34"/>
        <v>0</v>
      </c>
      <c r="I523">
        <f t="shared" si="35"/>
        <v>0.58976348698497982</v>
      </c>
    </row>
    <row r="524" spans="1:9" hidden="1" x14ac:dyDescent="0.35">
      <c r="A524" t="e">
        <f>-L4hwDjXPslq6CtP5loT</f>
        <v>#NAME?</v>
      </c>
      <c r="B524">
        <v>33</v>
      </c>
      <c r="C524">
        <v>43</v>
      </c>
      <c r="D524">
        <v>31.82</v>
      </c>
      <c r="E524" t="s">
        <v>5</v>
      </c>
      <c r="F524">
        <f t="shared" si="32"/>
        <v>0.38404980679515949</v>
      </c>
      <c r="G524">
        <f t="shared" si="33"/>
        <v>0</v>
      </c>
      <c r="H524">
        <f t="shared" si="34"/>
        <v>0</v>
      </c>
      <c r="I524">
        <f t="shared" si="35"/>
        <v>0</v>
      </c>
    </row>
    <row r="525" spans="1:9" hidden="1" x14ac:dyDescent="0.35">
      <c r="A525" t="e">
        <f>-L4hwDjXPslq6CtP5loU</f>
        <v>#NAME?</v>
      </c>
      <c r="B525">
        <v>20</v>
      </c>
      <c r="C525">
        <v>44</v>
      </c>
      <c r="D525">
        <v>18.18</v>
      </c>
      <c r="E525" t="s">
        <v>6</v>
      </c>
      <c r="F525">
        <f t="shared" si="32"/>
        <v>0</v>
      </c>
      <c r="G525">
        <f t="shared" si="33"/>
        <v>0</v>
      </c>
      <c r="H525">
        <f t="shared" si="34"/>
        <v>0.95977015521146758</v>
      </c>
      <c r="I525">
        <f t="shared" si="35"/>
        <v>0</v>
      </c>
    </row>
    <row r="526" spans="1:9" hidden="1" x14ac:dyDescent="0.35">
      <c r="A526" t="e">
        <f>-L4hwDjXPslq6CtP5loV</f>
        <v>#NAME?</v>
      </c>
      <c r="B526">
        <v>20</v>
      </c>
      <c r="C526">
        <v>45</v>
      </c>
      <c r="D526">
        <v>18.18</v>
      </c>
      <c r="E526" t="s">
        <v>7</v>
      </c>
      <c r="F526">
        <f t="shared" si="32"/>
        <v>0</v>
      </c>
      <c r="G526">
        <f t="shared" si="33"/>
        <v>0.95977015521146758</v>
      </c>
      <c r="H526">
        <f t="shared" si="34"/>
        <v>0</v>
      </c>
      <c r="I526">
        <f t="shared" si="35"/>
        <v>0</v>
      </c>
    </row>
    <row r="527" spans="1:9" hidden="1" x14ac:dyDescent="0.35">
      <c r="A527" t="e">
        <f>-L4hwDjYY-zObQ5ZP6Sv</f>
        <v>#NAME?</v>
      </c>
      <c r="B527">
        <v>95</v>
      </c>
      <c r="C527">
        <v>46</v>
      </c>
      <c r="D527">
        <v>93.1</v>
      </c>
      <c r="E527" t="s">
        <v>6</v>
      </c>
      <c r="F527">
        <f t="shared" si="32"/>
        <v>0</v>
      </c>
      <c r="G527">
        <f t="shared" si="33"/>
        <v>0</v>
      </c>
      <c r="H527">
        <f t="shared" si="34"/>
        <v>1.0179219079972666</v>
      </c>
      <c r="I527">
        <f t="shared" si="35"/>
        <v>0</v>
      </c>
    </row>
    <row r="528" spans="1:9" hidden="1" x14ac:dyDescent="0.35">
      <c r="A528" t="e">
        <f>-L4hwDjYY-zObQ5ZP6Sw</f>
        <v>#NAME?</v>
      </c>
      <c r="B528">
        <v>50</v>
      </c>
      <c r="C528">
        <v>47</v>
      </c>
      <c r="D528">
        <v>49.28</v>
      </c>
      <c r="E528" t="s">
        <v>6</v>
      </c>
      <c r="F528">
        <f t="shared" si="32"/>
        <v>0</v>
      </c>
      <c r="G528">
        <f t="shared" si="33"/>
        <v>0</v>
      </c>
      <c r="H528">
        <f t="shared" si="34"/>
        <v>-0.24297675349254233</v>
      </c>
      <c r="I528">
        <f t="shared" si="35"/>
        <v>0</v>
      </c>
    </row>
    <row r="529" spans="1:9" hidden="1" x14ac:dyDescent="0.35">
      <c r="A529" t="e">
        <f>-L4hwDjYY-zObQ5ZP6Sx</f>
        <v>#NAME?</v>
      </c>
      <c r="B529">
        <v>50</v>
      </c>
      <c r="C529">
        <v>48</v>
      </c>
      <c r="D529">
        <v>44.74</v>
      </c>
      <c r="E529" t="s">
        <v>6</v>
      </c>
      <c r="F529">
        <f t="shared" si="32"/>
        <v>0</v>
      </c>
      <c r="G529">
        <f t="shared" si="33"/>
        <v>0</v>
      </c>
      <c r="H529">
        <f t="shared" si="34"/>
        <v>2.4289463447694826</v>
      </c>
      <c r="I529">
        <f t="shared" si="35"/>
        <v>0</v>
      </c>
    </row>
    <row r="530" spans="1:9" x14ac:dyDescent="0.35">
      <c r="A530" t="e">
        <f>-L4hwDjYY-zObQ5ZP6Sy</f>
        <v>#NAME?</v>
      </c>
      <c r="B530">
        <v>33</v>
      </c>
      <c r="C530">
        <v>49</v>
      </c>
      <c r="D530">
        <v>37.93</v>
      </c>
      <c r="E530" t="s">
        <v>8</v>
      </c>
      <c r="F530">
        <f t="shared" si="32"/>
        <v>0</v>
      </c>
      <c r="G530">
        <f t="shared" si="33"/>
        <v>0</v>
      </c>
      <c r="H530">
        <f t="shared" si="34"/>
        <v>0</v>
      </c>
      <c r="I530">
        <f t="shared" si="35"/>
        <v>2.33771109212829</v>
      </c>
    </row>
    <row r="531" spans="1:9" x14ac:dyDescent="0.35">
      <c r="A531" t="e">
        <f>-L4hwDjZudqX2I5fdJ0_</f>
        <v>#NAME?</v>
      </c>
      <c r="B531">
        <v>33</v>
      </c>
      <c r="C531">
        <v>50</v>
      </c>
      <c r="D531">
        <v>40.74</v>
      </c>
      <c r="E531" t="s">
        <v>8</v>
      </c>
      <c r="F531">
        <f t="shared" si="32"/>
        <v>0</v>
      </c>
      <c r="G531">
        <f t="shared" si="33"/>
        <v>0</v>
      </c>
      <c r="H531">
        <f t="shared" si="34"/>
        <v>0</v>
      </c>
      <c r="I531">
        <f t="shared" si="35"/>
        <v>2.9754467656409624</v>
      </c>
    </row>
    <row r="532" spans="1:9" hidden="1" x14ac:dyDescent="0.35">
      <c r="A532" t="e">
        <f>-L4hwDjZudqX2I5fdJ0a</f>
        <v>#NAME?</v>
      </c>
      <c r="B532">
        <v>55</v>
      </c>
      <c r="C532">
        <v>51</v>
      </c>
      <c r="D532">
        <v>57.14</v>
      </c>
      <c r="E532" t="s">
        <v>7</v>
      </c>
      <c r="F532">
        <f t="shared" si="32"/>
        <v>0</v>
      </c>
      <c r="G532">
        <f t="shared" si="33"/>
        <v>1.1795110502715109</v>
      </c>
      <c r="H532">
        <f t="shared" si="34"/>
        <v>0</v>
      </c>
      <c r="I532">
        <f t="shared" si="35"/>
        <v>0</v>
      </c>
    </row>
    <row r="533" spans="1:9" hidden="1" x14ac:dyDescent="0.35">
      <c r="A533" t="e">
        <f>-L4hwDjZudqX2I5fdJ0b</f>
        <v>#NAME?</v>
      </c>
      <c r="B533">
        <v>5</v>
      </c>
      <c r="C533">
        <v>52</v>
      </c>
      <c r="D533">
        <v>9.2100000000000009</v>
      </c>
      <c r="E533" t="s">
        <v>7</v>
      </c>
      <c r="F533">
        <f t="shared" si="32"/>
        <v>0</v>
      </c>
      <c r="G533">
        <f t="shared" si="33"/>
        <v>2.1160319934471108</v>
      </c>
      <c r="H533">
        <f t="shared" si="34"/>
        <v>0</v>
      </c>
      <c r="I533">
        <f t="shared" si="35"/>
        <v>0</v>
      </c>
    </row>
    <row r="534" spans="1:9" hidden="1" x14ac:dyDescent="0.35">
      <c r="A534" t="e">
        <f>-L4hwDjZudqX2I5fdJ0c</f>
        <v>#NAME?</v>
      </c>
      <c r="B534">
        <v>98</v>
      </c>
      <c r="C534">
        <v>53</v>
      </c>
      <c r="D534">
        <v>75</v>
      </c>
      <c r="E534" t="s">
        <v>7</v>
      </c>
      <c r="F534">
        <f t="shared" si="32"/>
        <v>0</v>
      </c>
      <c r="G534">
        <f t="shared" si="33"/>
        <v>4.5313814605163127</v>
      </c>
      <c r="H534">
        <f t="shared" si="34"/>
        <v>0</v>
      </c>
      <c r="I534">
        <f t="shared" si="35"/>
        <v>0</v>
      </c>
    </row>
    <row r="535" spans="1:9" hidden="1" x14ac:dyDescent="0.35">
      <c r="A535" t="e">
        <f>-L4hwDjZudqX2I5fdJ0d</f>
        <v>#NAME?</v>
      </c>
      <c r="B535">
        <v>15</v>
      </c>
      <c r="C535">
        <v>54</v>
      </c>
      <c r="D535">
        <v>18.18</v>
      </c>
      <c r="E535" t="s">
        <v>7</v>
      </c>
      <c r="F535">
        <f t="shared" si="32"/>
        <v>0</v>
      </c>
      <c r="G535">
        <f t="shared" si="33"/>
        <v>1.724650271732967</v>
      </c>
      <c r="H535">
        <f t="shared" si="34"/>
        <v>0</v>
      </c>
      <c r="I535">
        <f t="shared" si="35"/>
        <v>0</v>
      </c>
    </row>
    <row r="536" spans="1:9" hidden="1" x14ac:dyDescent="0.35">
      <c r="A536" t="e">
        <f>-L4hwDjZudqX2I5fdJ0e</f>
        <v>#NAME?</v>
      </c>
      <c r="B536">
        <v>14</v>
      </c>
      <c r="C536">
        <v>55</v>
      </c>
      <c r="D536">
        <v>12.96</v>
      </c>
      <c r="E536" t="s">
        <v>7</v>
      </c>
      <c r="F536">
        <f t="shared" si="32"/>
        <v>0</v>
      </c>
      <c r="G536">
        <f t="shared" si="33"/>
        <v>0.22032995487955448</v>
      </c>
      <c r="H536">
        <f t="shared" si="34"/>
        <v>0</v>
      </c>
      <c r="I536">
        <f t="shared" si="35"/>
        <v>0</v>
      </c>
    </row>
    <row r="537" spans="1:9" hidden="1" x14ac:dyDescent="0.35">
      <c r="A537" t="e">
        <f>-L4hwDjZudqX2I5fdJ0f</f>
        <v>#NAME?</v>
      </c>
      <c r="B537">
        <v>13</v>
      </c>
      <c r="C537">
        <v>56</v>
      </c>
      <c r="D537">
        <v>20.59</v>
      </c>
      <c r="E537" t="s">
        <v>6</v>
      </c>
      <c r="F537">
        <f t="shared" si="32"/>
        <v>0</v>
      </c>
      <c r="G537">
        <f t="shared" si="33"/>
        <v>0</v>
      </c>
      <c r="H537">
        <f t="shared" si="34"/>
        <v>2.9476661567960099</v>
      </c>
      <c r="I537">
        <f t="shared" si="35"/>
        <v>0</v>
      </c>
    </row>
    <row r="538" spans="1:9" hidden="1" x14ac:dyDescent="0.35">
      <c r="A538" t="e">
        <f>-L4hwDjZudqX2I5fdJ0g</f>
        <v>#NAME?</v>
      </c>
      <c r="B538">
        <v>95</v>
      </c>
      <c r="C538">
        <v>57</v>
      </c>
      <c r="D538">
        <v>75</v>
      </c>
      <c r="E538" t="s">
        <v>7</v>
      </c>
      <c r="F538">
        <f t="shared" si="32"/>
        <v>0</v>
      </c>
      <c r="G538">
        <f t="shared" si="33"/>
        <v>4.3309168781146168</v>
      </c>
      <c r="H538">
        <f t="shared" si="34"/>
        <v>0</v>
      </c>
      <c r="I538">
        <f t="shared" si="35"/>
        <v>0</v>
      </c>
    </row>
    <row r="539" spans="1:9" hidden="1" x14ac:dyDescent="0.35">
      <c r="A539" t="e">
        <f>-L4hwDj_9jXtqlDL6TcL</f>
        <v>#NAME?</v>
      </c>
      <c r="B539">
        <v>5</v>
      </c>
      <c r="C539">
        <v>58</v>
      </c>
      <c r="D539">
        <v>9.2100000000000009</v>
      </c>
      <c r="E539" t="s">
        <v>6</v>
      </c>
      <c r="F539">
        <f t="shared" si="32"/>
        <v>0</v>
      </c>
      <c r="G539">
        <f t="shared" si="33"/>
        <v>0</v>
      </c>
      <c r="H539">
        <f t="shared" si="34"/>
        <v>2.1160319934471108</v>
      </c>
      <c r="I539">
        <f t="shared" si="35"/>
        <v>0</v>
      </c>
    </row>
    <row r="540" spans="1:9" x14ac:dyDescent="0.35">
      <c r="A540" t="e">
        <f>-L4hwDj_9jXtqlDL6TcM</f>
        <v>#NAME?</v>
      </c>
      <c r="B540">
        <v>10</v>
      </c>
      <c r="C540">
        <v>59</v>
      </c>
      <c r="D540">
        <v>8.82</v>
      </c>
      <c r="E540" t="s">
        <v>8</v>
      </c>
      <c r="F540">
        <f t="shared" si="32"/>
        <v>0</v>
      </c>
      <c r="G540">
        <f t="shared" si="33"/>
        <v>0</v>
      </c>
      <c r="H540">
        <f t="shared" si="34"/>
        <v>0</v>
      </c>
      <c r="I540">
        <f t="shared" si="35"/>
        <v>0.38404980679515949</v>
      </c>
    </row>
    <row r="541" spans="1:9" hidden="1" x14ac:dyDescent="0.35">
      <c r="A541" t="e">
        <f>-L4hwDj_9jXtqlDL6TcN</f>
        <v>#NAME?</v>
      </c>
      <c r="B541">
        <v>33</v>
      </c>
      <c r="C541">
        <v>60</v>
      </c>
      <c r="D541">
        <v>40.74</v>
      </c>
      <c r="E541" t="s">
        <v>7</v>
      </c>
      <c r="F541">
        <f t="shared" si="32"/>
        <v>0</v>
      </c>
      <c r="G541">
        <f t="shared" si="33"/>
        <v>2.9754467656409624</v>
      </c>
      <c r="H541">
        <f t="shared" si="34"/>
        <v>0</v>
      </c>
      <c r="I541">
        <f t="shared" si="35"/>
        <v>0</v>
      </c>
    </row>
    <row r="542" spans="1:9" hidden="1" x14ac:dyDescent="0.35">
      <c r="A542" t="e">
        <f>-L4hwDj_9jXtqlDL6TcO</f>
        <v>#NAME?</v>
      </c>
      <c r="B542">
        <v>20</v>
      </c>
      <c r="C542">
        <v>61</v>
      </c>
      <c r="D542">
        <v>20.59</v>
      </c>
      <c r="E542" t="s">
        <v>7</v>
      </c>
      <c r="F542">
        <f t="shared" si="32"/>
        <v>0</v>
      </c>
      <c r="G542">
        <f t="shared" si="33"/>
        <v>-0.48398485299633554</v>
      </c>
      <c r="H542">
        <f t="shared" si="34"/>
        <v>0</v>
      </c>
      <c r="I542">
        <f t="shared" si="35"/>
        <v>0</v>
      </c>
    </row>
    <row r="543" spans="1:9" hidden="1" x14ac:dyDescent="0.35">
      <c r="A543" t="e">
        <f>-L4hwDj_9jXtqlDL6TcP</f>
        <v>#NAME?</v>
      </c>
      <c r="B543">
        <v>80</v>
      </c>
      <c r="C543">
        <v>62</v>
      </c>
      <c r="D543">
        <v>78.260000000000005</v>
      </c>
      <c r="E543" t="s">
        <v>5</v>
      </c>
      <c r="F543">
        <f t="shared" si="32"/>
        <v>0.89917563048050919</v>
      </c>
      <c r="G543">
        <f t="shared" si="33"/>
        <v>0</v>
      </c>
      <c r="H543">
        <f t="shared" si="34"/>
        <v>0</v>
      </c>
      <c r="I543">
        <f t="shared" si="35"/>
        <v>0</v>
      </c>
    </row>
    <row r="544" spans="1:9" hidden="1" x14ac:dyDescent="0.35">
      <c r="A544" t="e">
        <f>-L4hwDj_9jXtqlDL6TcQ</f>
        <v>#NAME?</v>
      </c>
      <c r="B544">
        <v>50</v>
      </c>
      <c r="C544">
        <v>63</v>
      </c>
      <c r="D544">
        <v>49.28</v>
      </c>
      <c r="E544" t="s">
        <v>6</v>
      </c>
      <c r="F544">
        <f t="shared" si="32"/>
        <v>0</v>
      </c>
      <c r="G544">
        <f t="shared" si="33"/>
        <v>0</v>
      </c>
      <c r="H544">
        <f t="shared" si="34"/>
        <v>-0.24297675349254233</v>
      </c>
      <c r="I544">
        <f t="shared" si="35"/>
        <v>0</v>
      </c>
    </row>
    <row r="545" spans="1:9" hidden="1" x14ac:dyDescent="0.35">
      <c r="A545" t="e">
        <f>-L4hwDj_9jXtqlDL6TcR</f>
        <v>#NAME?</v>
      </c>
      <c r="B545">
        <v>33</v>
      </c>
      <c r="C545">
        <v>64</v>
      </c>
      <c r="D545">
        <v>31.82</v>
      </c>
      <c r="E545" t="s">
        <v>6</v>
      </c>
      <c r="F545">
        <f t="shared" si="32"/>
        <v>0</v>
      </c>
      <c r="G545">
        <f t="shared" si="33"/>
        <v>0</v>
      </c>
      <c r="H545">
        <f t="shared" si="34"/>
        <v>0.38404980679515949</v>
      </c>
      <c r="I545">
        <f t="shared" si="35"/>
        <v>0</v>
      </c>
    </row>
    <row r="546" spans="1:9" hidden="1" x14ac:dyDescent="0.35">
      <c r="A546" t="e">
        <f>-L4hwDj_9jXtqlDL6TcS</f>
        <v>#NAME?</v>
      </c>
      <c r="B546">
        <v>85</v>
      </c>
      <c r="C546">
        <v>65</v>
      </c>
      <c r="D546">
        <v>84.06</v>
      </c>
      <c r="E546" t="s">
        <v>5</v>
      </c>
      <c r="F546">
        <f t="shared" si="32"/>
        <v>9.0853430451110481E-2</v>
      </c>
      <c r="G546">
        <f t="shared" si="33"/>
        <v>0</v>
      </c>
      <c r="H546">
        <f t="shared" si="34"/>
        <v>0</v>
      </c>
      <c r="I546">
        <f t="shared" si="35"/>
        <v>0</v>
      </c>
    </row>
    <row r="547" spans="1:9" hidden="1" x14ac:dyDescent="0.35">
      <c r="A547" t="e">
        <f>-L4hwDjamIv1ENjsfuj4</f>
        <v>#NAME?</v>
      </c>
      <c r="B547">
        <v>70</v>
      </c>
      <c r="C547">
        <v>66</v>
      </c>
      <c r="D547">
        <v>62.96</v>
      </c>
      <c r="E547" t="s">
        <v>7</v>
      </c>
      <c r="F547">
        <f t="shared" si="32"/>
        <v>0</v>
      </c>
      <c r="G547">
        <f t="shared" si="33"/>
        <v>2.8409667044874207</v>
      </c>
      <c r="H547">
        <f t="shared" si="34"/>
        <v>0</v>
      </c>
      <c r="I547">
        <f t="shared" si="35"/>
        <v>0</v>
      </c>
    </row>
    <row r="548" spans="1:9" x14ac:dyDescent="0.35">
      <c r="A548" t="e">
        <f>-L4hwDjamIv1ENjsfuj5</f>
        <v>#NAME?</v>
      </c>
      <c r="B548">
        <v>5</v>
      </c>
      <c r="C548">
        <v>67</v>
      </c>
      <c r="D548">
        <v>4.3499999999999996</v>
      </c>
      <c r="E548" t="s">
        <v>8</v>
      </c>
      <c r="F548">
        <f t="shared" si="32"/>
        <v>0</v>
      </c>
      <c r="G548">
        <f t="shared" si="33"/>
        <v>0</v>
      </c>
      <c r="H548">
        <f t="shared" si="34"/>
        <v>0</v>
      </c>
      <c r="I548">
        <f t="shared" si="35"/>
        <v>-0.36773178450048649</v>
      </c>
    </row>
    <row r="549" spans="1:9" x14ac:dyDescent="0.35">
      <c r="A549" t="e">
        <f>-L4hwDjamIv1ENjsfuj6</f>
        <v>#NAME?</v>
      </c>
      <c r="B549">
        <v>4</v>
      </c>
      <c r="C549">
        <v>68</v>
      </c>
      <c r="D549">
        <v>4.3499999999999996</v>
      </c>
      <c r="E549" t="s">
        <v>8</v>
      </c>
      <c r="F549">
        <f t="shared" si="32"/>
        <v>0</v>
      </c>
      <c r="G549">
        <f t="shared" si="33"/>
        <v>0</v>
      </c>
      <c r="H549">
        <f t="shared" si="34"/>
        <v>0</v>
      </c>
      <c r="I549">
        <f t="shared" si="35"/>
        <v>-1.0740005814437779</v>
      </c>
    </row>
    <row r="550" spans="1:9" hidden="1" x14ac:dyDescent="0.35">
      <c r="A550" t="e">
        <f>-L4hwDjamIv1ENjsfuj7</f>
        <v>#NAME?</v>
      </c>
      <c r="B550">
        <v>20</v>
      </c>
      <c r="C550">
        <v>69</v>
      </c>
      <c r="D550">
        <v>31.88</v>
      </c>
      <c r="E550" t="s">
        <v>7</v>
      </c>
      <c r="F550">
        <f t="shared" si="32"/>
        <v>0</v>
      </c>
      <c r="G550">
        <f t="shared" si="33"/>
        <v>3.5855634984556919</v>
      </c>
      <c r="H550">
        <f t="shared" si="34"/>
        <v>0</v>
      </c>
      <c r="I550">
        <f t="shared" si="35"/>
        <v>0</v>
      </c>
    </row>
    <row r="551" spans="1:9" hidden="1" x14ac:dyDescent="0.35">
      <c r="A551" t="e">
        <f>-L4hwDjamIv1ENjsfuj8</f>
        <v>#NAME?</v>
      </c>
      <c r="B551">
        <v>30</v>
      </c>
      <c r="C551">
        <v>70</v>
      </c>
      <c r="D551">
        <v>31.88</v>
      </c>
      <c r="E551" t="s">
        <v>6</v>
      </c>
      <c r="F551">
        <f t="shared" si="32"/>
        <v>0</v>
      </c>
      <c r="G551">
        <f t="shared" si="33"/>
        <v>0</v>
      </c>
      <c r="H551">
        <f t="shared" si="34"/>
        <v>1.0036022366801949</v>
      </c>
      <c r="I551">
        <f t="shared" si="35"/>
        <v>0</v>
      </c>
    </row>
    <row r="552" spans="1:9" x14ac:dyDescent="0.35">
      <c r="A552" t="e">
        <f>-L4hwDjamIv1ENjsfuj9</f>
        <v>#NAME?</v>
      </c>
      <c r="B552">
        <v>30</v>
      </c>
      <c r="C552">
        <v>71</v>
      </c>
      <c r="D552">
        <v>28.95</v>
      </c>
      <c r="E552" t="s">
        <v>8</v>
      </c>
      <c r="F552">
        <f t="shared" si="32"/>
        <v>0</v>
      </c>
      <c r="G552">
        <f t="shared" si="33"/>
        <v>0</v>
      </c>
      <c r="H552">
        <f t="shared" si="34"/>
        <v>0</v>
      </c>
      <c r="I552">
        <f t="shared" si="35"/>
        <v>0.23266075679027592</v>
      </c>
    </row>
    <row r="553" spans="1:9" hidden="1" x14ac:dyDescent="0.35">
      <c r="A553" t="e">
        <f>-L4hwDjbhkkS8xiaJvcf</f>
        <v>#NAME?</v>
      </c>
      <c r="B553">
        <v>10</v>
      </c>
      <c r="C553">
        <v>72</v>
      </c>
      <c r="D553">
        <v>8.82</v>
      </c>
      <c r="E553" t="s">
        <v>5</v>
      </c>
      <c r="F553">
        <f t="shared" si="32"/>
        <v>0.38404980679515949</v>
      </c>
      <c r="G553">
        <f t="shared" si="33"/>
        <v>0</v>
      </c>
      <c r="H553">
        <f t="shared" si="34"/>
        <v>0</v>
      </c>
      <c r="I553">
        <f t="shared" si="35"/>
        <v>0</v>
      </c>
    </row>
    <row r="554" spans="1:9" hidden="1" x14ac:dyDescent="0.35">
      <c r="A554" t="e">
        <f>-L4hwDjbhkkS8xiaJvcg</f>
        <v>#NAME?</v>
      </c>
      <c r="B554">
        <v>6</v>
      </c>
      <c r="C554">
        <v>73</v>
      </c>
      <c r="D554">
        <v>12.96</v>
      </c>
      <c r="E554" t="s">
        <v>7</v>
      </c>
      <c r="F554">
        <f t="shared" si="32"/>
        <v>0</v>
      </c>
      <c r="G554">
        <f t="shared" si="33"/>
        <v>2.8247678531432943</v>
      </c>
      <c r="H554">
        <f t="shared" si="34"/>
        <v>0</v>
      </c>
      <c r="I554">
        <f t="shared" si="35"/>
        <v>0</v>
      </c>
    </row>
    <row r="555" spans="1:9" hidden="1" x14ac:dyDescent="0.35">
      <c r="A555" t="e">
        <f>-L4hwDjbhkkS8xiaJvch</f>
        <v>#NAME?</v>
      </c>
      <c r="B555">
        <v>5</v>
      </c>
      <c r="C555">
        <v>74</v>
      </c>
      <c r="D555">
        <v>7.41</v>
      </c>
      <c r="E555" t="s">
        <v>5</v>
      </c>
      <c r="F555">
        <f t="shared" si="32"/>
        <v>1.3419857472286159</v>
      </c>
      <c r="G555">
        <f t="shared" si="33"/>
        <v>0</v>
      </c>
      <c r="H555">
        <f t="shared" si="34"/>
        <v>0</v>
      </c>
      <c r="I555">
        <f t="shared" si="35"/>
        <v>0</v>
      </c>
    </row>
    <row r="556" spans="1:9" hidden="1" x14ac:dyDescent="0.35">
      <c r="A556" t="e">
        <f>-L4hwDjbhkkS8xiaJvci</f>
        <v>#NAME?</v>
      </c>
      <c r="B556">
        <v>10</v>
      </c>
      <c r="C556">
        <v>75</v>
      </c>
      <c r="D556">
        <v>5.8</v>
      </c>
      <c r="E556" t="s">
        <v>7</v>
      </c>
      <c r="F556">
        <f t="shared" si="32"/>
        <v>0</v>
      </c>
      <c r="G556">
        <f t="shared" si="33"/>
        <v>2.1127001327493624</v>
      </c>
      <c r="H556">
        <f t="shared" si="34"/>
        <v>0</v>
      </c>
      <c r="I556">
        <f t="shared" si="35"/>
        <v>0</v>
      </c>
    </row>
    <row r="557" spans="1:9" hidden="1" x14ac:dyDescent="0.35">
      <c r="A557" t="e">
        <f>-L4hwDjbhkkS8xiaJvcj</f>
        <v>#NAME?</v>
      </c>
      <c r="B557">
        <v>100</v>
      </c>
      <c r="C557">
        <v>76</v>
      </c>
      <c r="D557">
        <v>100</v>
      </c>
      <c r="E557" t="s">
        <v>7</v>
      </c>
      <c r="F557">
        <f t="shared" si="32"/>
        <v>0</v>
      </c>
      <c r="G557">
        <f t="shared" si="33"/>
        <v>-3</v>
      </c>
      <c r="H557">
        <f t="shared" si="34"/>
        <v>0</v>
      </c>
      <c r="I557">
        <f t="shared" si="35"/>
        <v>0</v>
      </c>
    </row>
    <row r="558" spans="1:9" x14ac:dyDescent="0.35">
      <c r="A558" t="e">
        <f>-L4hwDjbhkkS8xiaJvck</f>
        <v>#NAME?</v>
      </c>
      <c r="B558">
        <v>95</v>
      </c>
      <c r="C558">
        <v>77</v>
      </c>
      <c r="D558">
        <v>90.79</v>
      </c>
      <c r="E558" t="s">
        <v>8</v>
      </c>
      <c r="F558">
        <f t="shared" si="32"/>
        <v>0</v>
      </c>
      <c r="G558">
        <f t="shared" si="33"/>
        <v>0</v>
      </c>
      <c r="H558">
        <f t="shared" si="34"/>
        <v>0</v>
      </c>
      <c r="I558">
        <f t="shared" si="35"/>
        <v>2.1160319934471086</v>
      </c>
    </row>
    <row r="559" spans="1:9" hidden="1" x14ac:dyDescent="0.35">
      <c r="A559" t="e">
        <f>-L4hwDjbhkkS8xiaJvcl</f>
        <v>#NAME?</v>
      </c>
      <c r="B559">
        <v>10</v>
      </c>
      <c r="C559">
        <v>78</v>
      </c>
      <c r="D559">
        <v>11.76</v>
      </c>
      <c r="E559" t="s">
        <v>7</v>
      </c>
      <c r="F559">
        <f t="shared" si="32"/>
        <v>0</v>
      </c>
      <c r="G559">
        <f t="shared" si="33"/>
        <v>0.91456452349393946</v>
      </c>
      <c r="H559">
        <f t="shared" si="34"/>
        <v>0</v>
      </c>
      <c r="I559">
        <f t="shared" si="35"/>
        <v>0</v>
      </c>
    </row>
    <row r="560" spans="1:9" hidden="1" x14ac:dyDescent="0.35">
      <c r="A560" t="e">
        <f>-L4hwDjbhkkS8xiaJvcm</f>
        <v>#NAME?</v>
      </c>
      <c r="B560">
        <v>15</v>
      </c>
      <c r="C560">
        <v>79</v>
      </c>
      <c r="D560">
        <v>20.59</v>
      </c>
      <c r="E560" t="s">
        <v>6</v>
      </c>
      <c r="F560">
        <f t="shared" si="32"/>
        <v>0</v>
      </c>
      <c r="G560">
        <f t="shared" si="33"/>
        <v>0</v>
      </c>
      <c r="H560">
        <f t="shared" si="34"/>
        <v>2.5147534984397537</v>
      </c>
      <c r="I560">
        <f t="shared" si="35"/>
        <v>0</v>
      </c>
    </row>
    <row r="561" spans="1:9" x14ac:dyDescent="0.35">
      <c r="A561" t="e">
        <f>-L4hwDjcsIzcru1Pze4s</f>
        <v>#NAME?</v>
      </c>
      <c r="B561">
        <v>15</v>
      </c>
      <c r="C561">
        <v>80</v>
      </c>
      <c r="D561">
        <v>12.07</v>
      </c>
      <c r="E561" t="s">
        <v>8</v>
      </c>
      <c r="F561">
        <f t="shared" si="32"/>
        <v>0</v>
      </c>
      <c r="G561">
        <f t="shared" si="33"/>
        <v>0</v>
      </c>
      <c r="H561">
        <f t="shared" si="34"/>
        <v>0</v>
      </c>
      <c r="I561">
        <f t="shared" si="35"/>
        <v>1.611172380044005</v>
      </c>
    </row>
    <row r="562" spans="1:9" hidden="1" x14ac:dyDescent="0.35">
      <c r="A562" t="e">
        <f>-L4hwDjcsIzcru1Pze4t</f>
        <v>#NAME?</v>
      </c>
      <c r="B562">
        <v>60</v>
      </c>
      <c r="C562">
        <v>81</v>
      </c>
      <c r="D562">
        <v>44.74</v>
      </c>
      <c r="E562" t="s">
        <v>7</v>
      </c>
      <c r="F562">
        <f t="shared" si="32"/>
        <v>0</v>
      </c>
      <c r="G562">
        <f t="shared" si="33"/>
        <v>3.9434525385588199</v>
      </c>
      <c r="H562">
        <f t="shared" si="34"/>
        <v>0</v>
      </c>
      <c r="I562">
        <f t="shared" si="35"/>
        <v>0</v>
      </c>
    </row>
    <row r="563" spans="1:9" x14ac:dyDescent="0.35">
      <c r="A563" t="e">
        <f>-L4hwDjcsIzcru1Pze4u</f>
        <v>#NAME?</v>
      </c>
      <c r="B563">
        <v>65</v>
      </c>
      <c r="C563">
        <v>82</v>
      </c>
      <c r="D563">
        <v>64.709999999999994</v>
      </c>
      <c r="E563" t="s">
        <v>8</v>
      </c>
      <c r="F563">
        <f t="shared" si="32"/>
        <v>0</v>
      </c>
      <c r="G563">
        <f t="shared" si="33"/>
        <v>0</v>
      </c>
      <c r="H563">
        <f t="shared" si="34"/>
        <v>0</v>
      </c>
      <c r="I563">
        <f t="shared" si="35"/>
        <v>-1.2688167584277783</v>
      </c>
    </row>
    <row r="564" spans="1:9" x14ac:dyDescent="0.35">
      <c r="A564" t="e">
        <f>-L4hwDjcsIzcru1Pze4v</f>
        <v>#NAME?</v>
      </c>
      <c r="B564">
        <v>8</v>
      </c>
      <c r="C564">
        <v>83</v>
      </c>
      <c r="D564">
        <v>5.8</v>
      </c>
      <c r="E564" t="s">
        <v>8</v>
      </c>
      <c r="F564">
        <f t="shared" si="32"/>
        <v>0</v>
      </c>
      <c r="G564">
        <f t="shared" si="33"/>
        <v>0</v>
      </c>
      <c r="H564">
        <f t="shared" si="34"/>
        <v>0</v>
      </c>
      <c r="I564">
        <f t="shared" si="35"/>
        <v>1.2172307162206693</v>
      </c>
    </row>
    <row r="565" spans="1:9" hidden="1" x14ac:dyDescent="0.35">
      <c r="A565" t="e">
        <f>-L4hwDjcsIzcru1Pze4w</f>
        <v>#NAME?</v>
      </c>
      <c r="B565">
        <v>10</v>
      </c>
      <c r="C565">
        <v>84</v>
      </c>
      <c r="D565">
        <v>12.96</v>
      </c>
      <c r="E565" t="s">
        <v>7</v>
      </c>
      <c r="F565">
        <f t="shared" si="32"/>
        <v>0</v>
      </c>
      <c r="G565">
        <f t="shared" si="33"/>
        <v>1.6252704893746939</v>
      </c>
      <c r="H565">
        <f t="shared" si="34"/>
        <v>0</v>
      </c>
      <c r="I565">
        <f t="shared" si="35"/>
        <v>0</v>
      </c>
    </row>
    <row r="566" spans="1:9" hidden="1" x14ac:dyDescent="0.35">
      <c r="A566" t="e">
        <f>-L4hwDjcsIzcru1Pze4x</f>
        <v>#NAME?</v>
      </c>
      <c r="B566">
        <v>7</v>
      </c>
      <c r="C566">
        <v>85</v>
      </c>
      <c r="D566">
        <v>5.17</v>
      </c>
      <c r="E566" t="s">
        <v>7</v>
      </c>
      <c r="F566">
        <f t="shared" si="32"/>
        <v>0</v>
      </c>
      <c r="G566">
        <f t="shared" si="33"/>
        <v>0.96716860753262757</v>
      </c>
      <c r="H566">
        <f t="shared" si="34"/>
        <v>0</v>
      </c>
      <c r="I566">
        <f t="shared" si="35"/>
        <v>0</v>
      </c>
    </row>
    <row r="567" spans="1:9" hidden="1" x14ac:dyDescent="0.35">
      <c r="A567" t="e">
        <f>-L4hwDjdlhjT_SbArj1J</f>
        <v>#NAME?</v>
      </c>
      <c r="B567">
        <v>10</v>
      </c>
      <c r="C567">
        <v>86</v>
      </c>
      <c r="D567">
        <v>8.82</v>
      </c>
      <c r="E567" t="s">
        <v>6</v>
      </c>
      <c r="F567">
        <f t="shared" si="32"/>
        <v>0</v>
      </c>
      <c r="G567">
        <f t="shared" si="33"/>
        <v>0</v>
      </c>
      <c r="H567">
        <f t="shared" si="34"/>
        <v>0.38404980679515949</v>
      </c>
      <c r="I567">
        <f t="shared" si="35"/>
        <v>0</v>
      </c>
    </row>
    <row r="568" spans="1:9" hidden="1" x14ac:dyDescent="0.35">
      <c r="A568" t="e">
        <f>-L4hwDjdlhjT_SbArj1K</f>
        <v>#NAME?</v>
      </c>
      <c r="B568">
        <v>12</v>
      </c>
      <c r="C568">
        <v>87</v>
      </c>
      <c r="D568">
        <v>11.76</v>
      </c>
      <c r="E568" t="s">
        <v>6</v>
      </c>
      <c r="F568">
        <f t="shared" si="32"/>
        <v>0</v>
      </c>
      <c r="G568">
        <f t="shared" si="33"/>
        <v>0</v>
      </c>
      <c r="H568">
        <f t="shared" si="34"/>
        <v>-1.4540316308947066</v>
      </c>
      <c r="I568">
        <f t="shared" si="35"/>
        <v>0</v>
      </c>
    </row>
    <row r="569" spans="1:9" hidden="1" x14ac:dyDescent="0.35">
      <c r="A569" t="e">
        <f>-L4hwDjdlhjT_SbArj1L</f>
        <v>#NAME?</v>
      </c>
      <c r="B569">
        <v>15</v>
      </c>
      <c r="C569">
        <v>88</v>
      </c>
      <c r="D569">
        <v>20.59</v>
      </c>
      <c r="E569" t="s">
        <v>6</v>
      </c>
      <c r="F569">
        <f t="shared" si="32"/>
        <v>0</v>
      </c>
      <c r="G569">
        <f t="shared" si="33"/>
        <v>0</v>
      </c>
      <c r="H569">
        <f t="shared" si="34"/>
        <v>2.5147534984397537</v>
      </c>
      <c r="I569">
        <f t="shared" si="35"/>
        <v>0</v>
      </c>
    </row>
    <row r="570" spans="1:9" hidden="1" x14ac:dyDescent="0.35">
      <c r="A570" t="e">
        <f>-L4hwDjdlhjT_SbArj1M</f>
        <v>#NAME?</v>
      </c>
      <c r="B570">
        <v>10</v>
      </c>
      <c r="C570">
        <v>89</v>
      </c>
      <c r="D570">
        <v>11.76</v>
      </c>
      <c r="E570" t="s">
        <v>5</v>
      </c>
      <c r="F570">
        <f t="shared" si="32"/>
        <v>0.91456452349393946</v>
      </c>
      <c r="G570">
        <f t="shared" si="33"/>
        <v>0</v>
      </c>
      <c r="H570">
        <f t="shared" si="34"/>
        <v>0</v>
      </c>
      <c r="I570">
        <f t="shared" si="35"/>
        <v>0</v>
      </c>
    </row>
    <row r="571" spans="1:9" hidden="1" x14ac:dyDescent="0.35">
      <c r="A571" t="e">
        <f>-L4hwDjdlhjT_SbArj1N</f>
        <v>#NAME?</v>
      </c>
      <c r="B571">
        <v>7</v>
      </c>
      <c r="C571">
        <v>90</v>
      </c>
      <c r="D571">
        <v>7.41</v>
      </c>
      <c r="E571" t="s">
        <v>5</v>
      </c>
      <c r="F571">
        <f t="shared" si="32"/>
        <v>-0.90238920337357731</v>
      </c>
      <c r="G571">
        <f t="shared" si="33"/>
        <v>0</v>
      </c>
      <c r="H571">
        <f t="shared" si="34"/>
        <v>0</v>
      </c>
      <c r="I571">
        <f t="shared" si="35"/>
        <v>0</v>
      </c>
    </row>
    <row r="572" spans="1:9" x14ac:dyDescent="0.35">
      <c r="A572" t="e">
        <f>-L4hwDjdlhjT_SbArj1O</f>
        <v>#NAME?</v>
      </c>
      <c r="B572">
        <v>85</v>
      </c>
      <c r="C572">
        <v>91</v>
      </c>
      <c r="D572">
        <v>78.260000000000005</v>
      </c>
      <c r="E572" t="s">
        <v>8</v>
      </c>
      <c r="F572">
        <f t="shared" si="32"/>
        <v>0</v>
      </c>
      <c r="G572">
        <f t="shared" si="33"/>
        <v>0</v>
      </c>
      <c r="H572">
        <f t="shared" si="34"/>
        <v>0</v>
      </c>
      <c r="I572">
        <f t="shared" si="35"/>
        <v>2.7792597203723748</v>
      </c>
    </row>
    <row r="573" spans="1:9" x14ac:dyDescent="0.35">
      <c r="A573" t="e">
        <f>-L4hwDjdlhjT_SbArj1P</f>
        <v>#NAME?</v>
      </c>
      <c r="B573">
        <v>80</v>
      </c>
      <c r="C573">
        <v>92</v>
      </c>
      <c r="D573">
        <v>76.319999999999993</v>
      </c>
      <c r="E573" t="s">
        <v>8</v>
      </c>
      <c r="F573">
        <f t="shared" si="32"/>
        <v>0</v>
      </c>
      <c r="G573">
        <f t="shared" si="33"/>
        <v>0</v>
      </c>
      <c r="H573">
        <f t="shared" si="34"/>
        <v>0</v>
      </c>
      <c r="I573">
        <f t="shared" si="35"/>
        <v>1.9278964537288232</v>
      </c>
    </row>
    <row r="574" spans="1:9" x14ac:dyDescent="0.35">
      <c r="A574" t="e">
        <f>-L4hwDjdlhjT_SbArj1Q</f>
        <v>#NAME?</v>
      </c>
      <c r="B574">
        <v>30</v>
      </c>
      <c r="C574">
        <v>93</v>
      </c>
      <c r="D574">
        <v>31.82</v>
      </c>
      <c r="E574" t="s">
        <v>8</v>
      </c>
      <c r="F574">
        <f t="shared" si="32"/>
        <v>0</v>
      </c>
      <c r="G574">
        <f t="shared" si="33"/>
        <v>0</v>
      </c>
      <c r="H574">
        <f t="shared" si="34"/>
        <v>0</v>
      </c>
      <c r="I574">
        <f t="shared" si="35"/>
        <v>0.95977015521146758</v>
      </c>
    </row>
    <row r="575" spans="1:9" hidden="1" x14ac:dyDescent="0.35">
      <c r="A575" t="e">
        <f>-L4hwDjdlhjT_SbArj1R</f>
        <v>#NAME?</v>
      </c>
      <c r="B575">
        <v>5</v>
      </c>
      <c r="C575">
        <v>94</v>
      </c>
      <c r="D575">
        <v>5.26</v>
      </c>
      <c r="E575" t="s">
        <v>5</v>
      </c>
      <c r="F575">
        <f t="shared" si="32"/>
        <v>-1.3770696490798242</v>
      </c>
      <c r="G575">
        <f t="shared" si="33"/>
        <v>0</v>
      </c>
      <c r="H575">
        <f t="shared" si="34"/>
        <v>0</v>
      </c>
      <c r="I575">
        <f t="shared" si="35"/>
        <v>0</v>
      </c>
    </row>
    <row r="576" spans="1:9" x14ac:dyDescent="0.35">
      <c r="A576" t="e">
        <f>-L4hwDjeU_5Xzewai5AY</f>
        <v>#NAME?</v>
      </c>
      <c r="B576">
        <v>80</v>
      </c>
      <c r="C576">
        <v>95</v>
      </c>
      <c r="D576">
        <v>76.319999999999993</v>
      </c>
      <c r="E576" t="s">
        <v>8</v>
      </c>
      <c r="F576">
        <f t="shared" si="32"/>
        <v>0</v>
      </c>
      <c r="G576">
        <f t="shared" si="33"/>
        <v>0</v>
      </c>
      <c r="H576">
        <f t="shared" si="34"/>
        <v>0</v>
      </c>
      <c r="I576">
        <f t="shared" si="35"/>
        <v>1.9278964537288232</v>
      </c>
    </row>
    <row r="577" spans="1:9" hidden="1" x14ac:dyDescent="0.35">
      <c r="A577" t="e">
        <f>-L4hwDjeU_5Xzewai5AZ</f>
        <v>#NAME?</v>
      </c>
      <c r="B577">
        <v>90</v>
      </c>
      <c r="C577">
        <v>96</v>
      </c>
      <c r="D577">
        <v>84.06</v>
      </c>
      <c r="E577" t="s">
        <v>7</v>
      </c>
      <c r="F577">
        <f t="shared" si="32"/>
        <v>0</v>
      </c>
      <c r="G577">
        <f t="shared" si="33"/>
        <v>2.6005076453457852</v>
      </c>
      <c r="H577">
        <f t="shared" si="34"/>
        <v>0</v>
      </c>
      <c r="I577">
        <f t="shared" si="35"/>
        <v>0</v>
      </c>
    </row>
    <row r="578" spans="1:9" hidden="1" x14ac:dyDescent="0.35">
      <c r="A578" t="e">
        <f>-L4hwDjeU_5Xzewai5A_</f>
        <v>#NAME?</v>
      </c>
      <c r="B578">
        <v>100</v>
      </c>
      <c r="C578">
        <v>97</v>
      </c>
      <c r="D578">
        <v>100</v>
      </c>
      <c r="E578" t="s">
        <v>6</v>
      </c>
      <c r="F578">
        <f t="shared" si="32"/>
        <v>0</v>
      </c>
      <c r="G578">
        <f t="shared" si="33"/>
        <v>0</v>
      </c>
      <c r="H578">
        <f t="shared" si="34"/>
        <v>-3</v>
      </c>
      <c r="I578">
        <f t="shared" si="35"/>
        <v>0</v>
      </c>
    </row>
    <row r="579" spans="1:9" hidden="1" x14ac:dyDescent="0.35">
      <c r="A579" t="e">
        <f>-L4hwDjeU_5Xzewai5Aa</f>
        <v>#NAME?</v>
      </c>
      <c r="B579">
        <v>45</v>
      </c>
      <c r="C579">
        <v>98</v>
      </c>
      <c r="D579">
        <v>40.74</v>
      </c>
      <c r="E579" t="s">
        <v>5</v>
      </c>
      <c r="F579">
        <f t="shared" ref="F579:F602" si="36">IF(EXACT(E579, "Bar"),LOG(ABS(B579-D579) + 1/8, 2), 0)</f>
        <v>2.1325768426700078</v>
      </c>
      <c r="G579">
        <f t="shared" ref="G579:G602" si="37">IF(EXACT(E579, "Pie"),LOG(ABS(B579-D579) + 1/8, 2), 0)</f>
        <v>0</v>
      </c>
      <c r="H579">
        <f t="shared" ref="H579:H602" si="38">IF(EXACT(E579, "HBar"),LOG(ABS(B579-D579) + 1/8, 2), 0)</f>
        <v>0</v>
      </c>
      <c r="I579">
        <f t="shared" ref="I579:I602" si="39">IF(EXACT(E579, "UDBar"),LOG(ABS(B579-D579) + 1/8, 2), 0)</f>
        <v>0</v>
      </c>
    </row>
    <row r="580" spans="1:9" hidden="1" x14ac:dyDescent="0.35">
      <c r="A580" t="e">
        <f>-L4hwDjeU_5Xzewai5Ab</f>
        <v>#NAME?</v>
      </c>
      <c r="B580">
        <v>18</v>
      </c>
      <c r="C580">
        <v>99</v>
      </c>
      <c r="D580">
        <v>18.18</v>
      </c>
      <c r="E580" t="s">
        <v>6</v>
      </c>
      <c r="F580">
        <f t="shared" si="36"/>
        <v>0</v>
      </c>
      <c r="G580">
        <f t="shared" si="37"/>
        <v>0</v>
      </c>
      <c r="H580">
        <f t="shared" si="38"/>
        <v>-1.7131188522118397</v>
      </c>
      <c r="I580">
        <f t="shared" si="39"/>
        <v>0</v>
      </c>
    </row>
    <row r="581" spans="1:9" hidden="1" x14ac:dyDescent="0.35">
      <c r="A581" t="e">
        <f>-L4hwDjeU_5Xzewai5Ac</f>
        <v>#NAME?</v>
      </c>
      <c r="B581">
        <v>10</v>
      </c>
      <c r="C581">
        <v>100</v>
      </c>
      <c r="D581">
        <v>12.07</v>
      </c>
      <c r="E581" t="s">
        <v>5</v>
      </c>
      <c r="F581">
        <f t="shared" si="36"/>
        <v>1.1342209397606335</v>
      </c>
      <c r="G581">
        <f t="shared" si="37"/>
        <v>0</v>
      </c>
      <c r="H581">
        <f t="shared" si="38"/>
        <v>0</v>
      </c>
      <c r="I581">
        <f t="shared" si="39"/>
        <v>0</v>
      </c>
    </row>
    <row r="582" spans="1:9" hidden="1" x14ac:dyDescent="0.35">
      <c r="A582" t="e">
        <f>-L4hwDjeU_5Xzewai5Ad</f>
        <v>#NAME?</v>
      </c>
      <c r="B582">
        <v>20</v>
      </c>
      <c r="C582">
        <v>101</v>
      </c>
      <c r="D582">
        <v>13.64</v>
      </c>
      <c r="E582" t="s">
        <v>7</v>
      </c>
      <c r="F582">
        <f t="shared" si="36"/>
        <v>0</v>
      </c>
      <c r="G582">
        <f t="shared" si="37"/>
        <v>2.6971065744769747</v>
      </c>
      <c r="H582">
        <f t="shared" si="38"/>
        <v>0</v>
      </c>
      <c r="I582">
        <f t="shared" si="39"/>
        <v>0</v>
      </c>
    </row>
    <row r="583" spans="1:9" hidden="1" x14ac:dyDescent="0.35">
      <c r="A583" t="e">
        <f>-L4hwDjeU_5Xzewai5Ae</f>
        <v>#NAME?</v>
      </c>
      <c r="B583">
        <v>10</v>
      </c>
      <c r="C583">
        <v>102</v>
      </c>
      <c r="D583">
        <v>8.82</v>
      </c>
      <c r="E583" t="s">
        <v>5</v>
      </c>
      <c r="F583">
        <f t="shared" si="36"/>
        <v>0.38404980679515949</v>
      </c>
      <c r="G583">
        <f t="shared" si="37"/>
        <v>0</v>
      </c>
      <c r="H583">
        <f t="shared" si="38"/>
        <v>0</v>
      </c>
      <c r="I583">
        <f t="shared" si="39"/>
        <v>0</v>
      </c>
    </row>
    <row r="584" spans="1:9" x14ac:dyDescent="0.35">
      <c r="A584" t="e">
        <f>-L4hwDjf75bT4AE7tvbI</f>
        <v>#NAME?</v>
      </c>
      <c r="B584">
        <v>5</v>
      </c>
      <c r="C584">
        <v>103</v>
      </c>
      <c r="D584">
        <v>4.3499999999999996</v>
      </c>
      <c r="E584" t="s">
        <v>8</v>
      </c>
      <c r="F584">
        <f t="shared" si="36"/>
        <v>0</v>
      </c>
      <c r="G584">
        <f t="shared" si="37"/>
        <v>0</v>
      </c>
      <c r="H584">
        <f t="shared" si="38"/>
        <v>0</v>
      </c>
      <c r="I584">
        <f t="shared" si="39"/>
        <v>-0.36773178450048649</v>
      </c>
    </row>
    <row r="585" spans="1:9" x14ac:dyDescent="0.35">
      <c r="A585" t="e">
        <f>-L4hwDjf75bT4AE7tvbJ</f>
        <v>#NAME?</v>
      </c>
      <c r="B585">
        <v>60</v>
      </c>
      <c r="C585">
        <v>104</v>
      </c>
      <c r="D585">
        <v>64.709999999999994</v>
      </c>
      <c r="E585" t="s">
        <v>8</v>
      </c>
      <c r="F585">
        <f t="shared" si="36"/>
        <v>0</v>
      </c>
      <c r="G585">
        <f t="shared" si="37"/>
        <v>0</v>
      </c>
      <c r="H585">
        <f t="shared" si="38"/>
        <v>0</v>
      </c>
      <c r="I585">
        <f t="shared" si="39"/>
        <v>2.2735158897021148</v>
      </c>
    </row>
    <row r="586" spans="1:9" x14ac:dyDescent="0.35">
      <c r="A586" t="e">
        <f>-L4hwDjf75bT4AE7tvbK</f>
        <v>#NAME?</v>
      </c>
      <c r="B586">
        <v>5</v>
      </c>
      <c r="C586">
        <v>105</v>
      </c>
      <c r="D586">
        <v>5.56</v>
      </c>
      <c r="E586" t="s">
        <v>8</v>
      </c>
      <c r="F586">
        <f t="shared" si="36"/>
        <v>0</v>
      </c>
      <c r="G586">
        <f t="shared" si="37"/>
        <v>0</v>
      </c>
      <c r="H586">
        <f t="shared" si="38"/>
        <v>0</v>
      </c>
      <c r="I586">
        <f t="shared" si="39"/>
        <v>-0.5458241068141988</v>
      </c>
    </row>
    <row r="587" spans="1:9" hidden="1" x14ac:dyDescent="0.35">
      <c r="A587" t="e">
        <f>-L4hwDjf75bT4AE7tvbL</f>
        <v>#NAME?</v>
      </c>
      <c r="B587">
        <v>33</v>
      </c>
      <c r="C587">
        <v>106</v>
      </c>
      <c r="D587">
        <v>40.74</v>
      </c>
      <c r="E587" t="s">
        <v>5</v>
      </c>
      <c r="F587">
        <f t="shared" si="36"/>
        <v>2.9754467656409624</v>
      </c>
      <c r="G587">
        <f t="shared" si="37"/>
        <v>0</v>
      </c>
      <c r="H587">
        <f t="shared" si="38"/>
        <v>0</v>
      </c>
      <c r="I587">
        <f t="shared" si="39"/>
        <v>0</v>
      </c>
    </row>
    <row r="588" spans="1:9" hidden="1" x14ac:dyDescent="0.35">
      <c r="A588" t="e">
        <f>-L4hwDjf75bT4AE7tvbM</f>
        <v>#NAME?</v>
      </c>
      <c r="B588">
        <v>10</v>
      </c>
      <c r="C588">
        <v>107</v>
      </c>
      <c r="D588">
        <v>12.07</v>
      </c>
      <c r="E588" t="s">
        <v>6</v>
      </c>
      <c r="F588">
        <f t="shared" si="36"/>
        <v>0</v>
      </c>
      <c r="G588">
        <f t="shared" si="37"/>
        <v>0</v>
      </c>
      <c r="H588">
        <f t="shared" si="38"/>
        <v>1.1342209397606335</v>
      </c>
      <c r="I588">
        <f t="shared" si="39"/>
        <v>0</v>
      </c>
    </row>
    <row r="589" spans="1:9" hidden="1" x14ac:dyDescent="0.35">
      <c r="A589" t="e">
        <f>-L4hwDjf75bT4AE7tvbN</f>
        <v>#NAME?</v>
      </c>
      <c r="B589">
        <v>10</v>
      </c>
      <c r="C589">
        <v>108</v>
      </c>
      <c r="D589">
        <v>12.07</v>
      </c>
      <c r="E589" t="s">
        <v>6</v>
      </c>
      <c r="F589">
        <f t="shared" si="36"/>
        <v>0</v>
      </c>
      <c r="G589">
        <f t="shared" si="37"/>
        <v>0</v>
      </c>
      <c r="H589">
        <f t="shared" si="38"/>
        <v>1.1342209397606335</v>
      </c>
      <c r="I589">
        <f t="shared" si="39"/>
        <v>0</v>
      </c>
    </row>
    <row r="590" spans="1:9" hidden="1" x14ac:dyDescent="0.35">
      <c r="A590" t="e">
        <f>-L4hwDjf75bT4AE7tvbO</f>
        <v>#NAME?</v>
      </c>
      <c r="B590">
        <v>90</v>
      </c>
      <c r="C590">
        <v>109</v>
      </c>
      <c r="D590">
        <v>90.79</v>
      </c>
      <c r="E590" t="s">
        <v>5</v>
      </c>
      <c r="F590">
        <f t="shared" si="36"/>
        <v>-0.12815635149067239</v>
      </c>
      <c r="G590">
        <f t="shared" si="37"/>
        <v>0</v>
      </c>
      <c r="H590">
        <f t="shared" si="38"/>
        <v>0</v>
      </c>
      <c r="I590">
        <f t="shared" si="39"/>
        <v>0</v>
      </c>
    </row>
    <row r="591" spans="1:9" hidden="1" x14ac:dyDescent="0.35">
      <c r="A591" t="e">
        <f>-L4hwDjf75bT4AE7tvbP</f>
        <v>#NAME?</v>
      </c>
      <c r="B591">
        <v>5</v>
      </c>
      <c r="C591">
        <v>110</v>
      </c>
      <c r="D591">
        <v>9.2100000000000009</v>
      </c>
      <c r="E591" t="s">
        <v>5</v>
      </c>
      <c r="F591">
        <f t="shared" si="36"/>
        <v>2.1160319934471108</v>
      </c>
      <c r="G591">
        <f t="shared" si="37"/>
        <v>0</v>
      </c>
      <c r="H591">
        <f t="shared" si="38"/>
        <v>0</v>
      </c>
      <c r="I591">
        <f t="shared" si="39"/>
        <v>0</v>
      </c>
    </row>
    <row r="592" spans="1:9" hidden="1" x14ac:dyDescent="0.35">
      <c r="A592" t="e">
        <f>-L4hwDjf75bT4AE7tvbQ</f>
        <v>#NAME?</v>
      </c>
      <c r="B592">
        <v>33</v>
      </c>
      <c r="C592">
        <v>111</v>
      </c>
      <c r="D592">
        <v>31.82</v>
      </c>
      <c r="E592" t="s">
        <v>5</v>
      </c>
      <c r="F592">
        <f t="shared" si="36"/>
        <v>0.38404980679515949</v>
      </c>
      <c r="G592">
        <f t="shared" si="37"/>
        <v>0</v>
      </c>
      <c r="H592">
        <f t="shared" si="38"/>
        <v>0</v>
      </c>
      <c r="I592">
        <f t="shared" si="39"/>
        <v>0</v>
      </c>
    </row>
    <row r="593" spans="1:9" hidden="1" x14ac:dyDescent="0.35">
      <c r="A593" t="e">
        <f>-L4hwDjg4oGHIYC6G8Pd</f>
        <v>#NAME?</v>
      </c>
      <c r="B593">
        <v>25</v>
      </c>
      <c r="C593">
        <v>112</v>
      </c>
      <c r="D593">
        <v>31.82</v>
      </c>
      <c r="E593" t="s">
        <v>6</v>
      </c>
      <c r="F593">
        <f t="shared" si="36"/>
        <v>0</v>
      </c>
      <c r="G593">
        <f t="shared" si="37"/>
        <v>0</v>
      </c>
      <c r="H593">
        <f t="shared" si="38"/>
        <v>2.7959746942066679</v>
      </c>
      <c r="I593">
        <f t="shared" si="39"/>
        <v>0</v>
      </c>
    </row>
    <row r="594" spans="1:9" hidden="1" x14ac:dyDescent="0.35">
      <c r="A594" t="e">
        <f>-L4hwDjg4oGHIYC6G8Pe</f>
        <v>#NAME?</v>
      </c>
      <c r="B594">
        <v>10</v>
      </c>
      <c r="C594">
        <v>113</v>
      </c>
      <c r="D594">
        <v>10.14</v>
      </c>
      <c r="E594" t="s">
        <v>5</v>
      </c>
      <c r="F594">
        <f t="shared" si="36"/>
        <v>-1.9159357352115227</v>
      </c>
      <c r="G594">
        <f t="shared" si="37"/>
        <v>0</v>
      </c>
      <c r="H594">
        <f t="shared" si="38"/>
        <v>0</v>
      </c>
      <c r="I594">
        <f t="shared" si="39"/>
        <v>0</v>
      </c>
    </row>
    <row r="595" spans="1:9" hidden="1" x14ac:dyDescent="0.35">
      <c r="A595" t="e">
        <f>-L4hwDjg4oGHIYC6G8Pf</f>
        <v>#NAME?</v>
      </c>
      <c r="B595">
        <v>100</v>
      </c>
      <c r="C595">
        <v>114</v>
      </c>
      <c r="D595">
        <v>100</v>
      </c>
      <c r="E595" t="s">
        <v>6</v>
      </c>
      <c r="F595">
        <f t="shared" si="36"/>
        <v>0</v>
      </c>
      <c r="G595">
        <f t="shared" si="37"/>
        <v>0</v>
      </c>
      <c r="H595">
        <f t="shared" si="38"/>
        <v>-3</v>
      </c>
      <c r="I595">
        <f t="shared" si="39"/>
        <v>0</v>
      </c>
    </row>
    <row r="596" spans="1:9" hidden="1" x14ac:dyDescent="0.35">
      <c r="A596" t="e">
        <f>-L4hwDjg4oGHIYC6G8Pg</f>
        <v>#NAME?</v>
      </c>
      <c r="B596">
        <v>12</v>
      </c>
      <c r="C596">
        <v>115</v>
      </c>
      <c r="D596">
        <v>10.14</v>
      </c>
      <c r="E596" t="s">
        <v>6</v>
      </c>
      <c r="F596">
        <f t="shared" si="36"/>
        <v>0</v>
      </c>
      <c r="G596">
        <f t="shared" si="37"/>
        <v>0</v>
      </c>
      <c r="H596">
        <f t="shared" si="38"/>
        <v>0.98913900736823268</v>
      </c>
      <c r="I596">
        <f t="shared" si="39"/>
        <v>0</v>
      </c>
    </row>
    <row r="597" spans="1:9" hidden="1" x14ac:dyDescent="0.35">
      <c r="A597" t="e">
        <f>-L4hwDjg4oGHIYC6G8Ph</f>
        <v>#NAME?</v>
      </c>
      <c r="B597">
        <v>33</v>
      </c>
      <c r="C597">
        <v>116</v>
      </c>
      <c r="D597">
        <v>40.74</v>
      </c>
      <c r="E597" t="s">
        <v>6</v>
      </c>
      <c r="F597">
        <f t="shared" si="36"/>
        <v>0</v>
      </c>
      <c r="G597">
        <f t="shared" si="37"/>
        <v>0</v>
      </c>
      <c r="H597">
        <f t="shared" si="38"/>
        <v>2.9754467656409624</v>
      </c>
      <c r="I597">
        <f t="shared" si="39"/>
        <v>0</v>
      </c>
    </row>
    <row r="598" spans="1:9" hidden="1" x14ac:dyDescent="0.35">
      <c r="A598" t="e">
        <f>-L4hwDjg4oGHIYC6G8Pi</f>
        <v>#NAME?</v>
      </c>
      <c r="B598">
        <v>5</v>
      </c>
      <c r="C598">
        <v>117</v>
      </c>
      <c r="D598">
        <v>5.56</v>
      </c>
      <c r="E598" t="s">
        <v>5</v>
      </c>
      <c r="F598">
        <f t="shared" si="36"/>
        <v>-0.5458241068141988</v>
      </c>
      <c r="G598">
        <f t="shared" si="37"/>
        <v>0</v>
      </c>
      <c r="H598">
        <f t="shared" si="38"/>
        <v>0</v>
      </c>
      <c r="I598">
        <f t="shared" si="39"/>
        <v>0</v>
      </c>
    </row>
    <row r="599" spans="1:9" hidden="1" x14ac:dyDescent="0.35">
      <c r="A599" t="e">
        <f>-L4hwDjg4oGHIYC6G8Pj</f>
        <v>#NAME?</v>
      </c>
      <c r="B599">
        <v>5</v>
      </c>
      <c r="C599">
        <v>118</v>
      </c>
      <c r="D599">
        <v>9.2100000000000009</v>
      </c>
      <c r="E599" t="s">
        <v>5</v>
      </c>
      <c r="F599">
        <f t="shared" si="36"/>
        <v>2.1160319934471108</v>
      </c>
      <c r="G599">
        <f t="shared" si="37"/>
        <v>0</v>
      </c>
      <c r="H599">
        <f t="shared" si="38"/>
        <v>0</v>
      </c>
      <c r="I599">
        <f t="shared" si="39"/>
        <v>0</v>
      </c>
    </row>
    <row r="600" spans="1:9" hidden="1" x14ac:dyDescent="0.35">
      <c r="A600" t="e">
        <f>-L4hwDjg4oGHIYC6G8Pk</f>
        <v>#NAME?</v>
      </c>
      <c r="B600">
        <v>50</v>
      </c>
      <c r="C600">
        <v>119</v>
      </c>
      <c r="D600">
        <v>57.14</v>
      </c>
      <c r="E600" t="s">
        <v>5</v>
      </c>
      <c r="F600">
        <f t="shared" si="36"/>
        <v>2.8609627978581167</v>
      </c>
      <c r="G600">
        <f t="shared" si="37"/>
        <v>0</v>
      </c>
      <c r="H600">
        <f t="shared" si="38"/>
        <v>0</v>
      </c>
      <c r="I600">
        <f t="shared" si="39"/>
        <v>0</v>
      </c>
    </row>
    <row r="601" spans="1:9" hidden="1" x14ac:dyDescent="0.35">
      <c r="A601" t="e">
        <f>-L4hwDjhMxbCzC8P0eOf</f>
        <v>#NAME?</v>
      </c>
      <c r="B601">
        <v>50</v>
      </c>
      <c r="C601">
        <v>120</v>
      </c>
      <c r="D601">
        <v>49.28</v>
      </c>
      <c r="E601" t="s">
        <v>5</v>
      </c>
      <c r="F601">
        <f t="shared" si="36"/>
        <v>-0.24297675349254233</v>
      </c>
      <c r="G601">
        <f t="shared" si="37"/>
        <v>0</v>
      </c>
      <c r="H601">
        <f t="shared" si="38"/>
        <v>0</v>
      </c>
      <c r="I601">
        <f t="shared" si="39"/>
        <v>0</v>
      </c>
    </row>
    <row r="602" spans="1:9" hidden="1" x14ac:dyDescent="0.35">
      <c r="A602" t="e">
        <f>-L4hwDjhMxbCzC8P0eOg</f>
        <v>#NAME?</v>
      </c>
      <c r="B602">
        <v>75</v>
      </c>
      <c r="C602">
        <v>121</v>
      </c>
      <c r="D602">
        <v>71.05</v>
      </c>
      <c r="E602" t="s">
        <v>5</v>
      </c>
      <c r="F602">
        <f t="shared" si="36"/>
        <v>2.0268000593437163</v>
      </c>
      <c r="G602">
        <f t="shared" si="37"/>
        <v>0</v>
      </c>
      <c r="H602">
        <f t="shared" si="38"/>
        <v>0</v>
      </c>
      <c r="I602">
        <f t="shared" si="39"/>
        <v>0</v>
      </c>
    </row>
    <row r="604" spans="1:9" x14ac:dyDescent="0.35">
      <c r="B604" t="s">
        <v>5</v>
      </c>
      <c r="C604" t="s">
        <v>7</v>
      </c>
      <c r="D604" t="s">
        <v>27</v>
      </c>
      <c r="E604" t="s">
        <v>8</v>
      </c>
    </row>
    <row r="605" spans="1:9" x14ac:dyDescent="0.35">
      <c r="B605">
        <v>2.7644735509926672</v>
      </c>
      <c r="C605">
        <v>3.6842577050589314</v>
      </c>
      <c r="D605">
        <v>2.5933537709802961</v>
      </c>
      <c r="E605">
        <v>0.96716860753262635</v>
      </c>
    </row>
    <row r="606" spans="1:9" x14ac:dyDescent="0.35">
      <c r="B606">
        <v>2.4046306842176119</v>
      </c>
      <c r="C606">
        <v>4.5282587427584122</v>
      </c>
      <c r="D606">
        <v>2.0789513413948226</v>
      </c>
      <c r="E606">
        <v>0.95977015521146758</v>
      </c>
    </row>
    <row r="607" spans="1:9" x14ac:dyDescent="0.35">
      <c r="B607">
        <v>3.8058083487014671</v>
      </c>
      <c r="C607">
        <v>1.9836776946980668</v>
      </c>
      <c r="D607">
        <v>1.1210154009613664</v>
      </c>
      <c r="E607">
        <v>0.9745293124838843</v>
      </c>
    </row>
    <row r="608" spans="1:9" x14ac:dyDescent="0.35">
      <c r="B608">
        <v>1.2357270598380588</v>
      </c>
      <c r="C608">
        <v>2.5372960670908435</v>
      </c>
      <c r="D608">
        <v>3.2905718508520789</v>
      </c>
      <c r="E608">
        <v>1.620586410451879</v>
      </c>
    </row>
    <row r="609" spans="2:5" x14ac:dyDescent="0.35">
      <c r="B609">
        <v>1.2357270598380588</v>
      </c>
      <c r="C609">
        <v>3.1546156113268946</v>
      </c>
      <c r="D609">
        <v>3.0134622598065626</v>
      </c>
      <c r="E609">
        <v>3.860466258517167</v>
      </c>
    </row>
    <row r="610" spans="2:5" x14ac:dyDescent="0.35">
      <c r="B610">
        <v>2.9809392660855121</v>
      </c>
      <c r="C610">
        <v>3.3398500028846252</v>
      </c>
      <c r="D610">
        <v>1.7886857106135332</v>
      </c>
      <c r="E610">
        <v>3.2861418728343019</v>
      </c>
    </row>
    <row r="611" spans="2:5" x14ac:dyDescent="0.35">
      <c r="B611">
        <v>-0.31293931166009553</v>
      </c>
      <c r="C611">
        <v>1.5921580021253601</v>
      </c>
      <c r="D611">
        <v>-0.46394709975978743</v>
      </c>
      <c r="E611">
        <v>3.3398500028846252</v>
      </c>
    </row>
    <row r="612" spans="2:5" x14ac:dyDescent="0.35">
      <c r="B612">
        <v>1.6667565918848037</v>
      </c>
      <c r="C612">
        <v>3.4229057426121834</v>
      </c>
      <c r="D612">
        <v>1.2357270598380588</v>
      </c>
      <c r="E612">
        <v>3.3398500028846252</v>
      </c>
    </row>
    <row r="613" spans="2:5" x14ac:dyDescent="0.35">
      <c r="B613">
        <v>0.57046293102604051</v>
      </c>
      <c r="C613">
        <v>1.7886857106135332</v>
      </c>
      <c r="D613">
        <v>1.5335633482145117</v>
      </c>
      <c r="E613">
        <v>1.9278964537288208</v>
      </c>
    </row>
    <row r="614" spans="2:5" x14ac:dyDescent="0.35">
      <c r="B614">
        <v>1.5921580021253601</v>
      </c>
      <c r="C614">
        <v>3.8099288657214303</v>
      </c>
      <c r="D614">
        <v>-2.1520030934450411</v>
      </c>
      <c r="E614">
        <v>3.859472666851937</v>
      </c>
    </row>
    <row r="615" spans="2:5" x14ac:dyDescent="0.35">
      <c r="B615">
        <v>2.6542063779442922</v>
      </c>
      <c r="C615">
        <v>1.8217102150346727</v>
      </c>
      <c r="D615">
        <v>3.3398500028846252</v>
      </c>
      <c r="E615">
        <v>2.6380738371807189</v>
      </c>
    </row>
    <row r="616" spans="2:5" x14ac:dyDescent="0.35">
      <c r="B616">
        <v>3.2861418728343019</v>
      </c>
      <c r="C616">
        <v>4.7524810044563734</v>
      </c>
      <c r="D616">
        <v>-0.46394709975978743</v>
      </c>
      <c r="E616">
        <v>3.4561490346479964</v>
      </c>
    </row>
    <row r="617" spans="2:5" x14ac:dyDescent="0.35">
      <c r="B617">
        <v>2.8865501473243431</v>
      </c>
      <c r="C617">
        <v>3.4561490346479964</v>
      </c>
      <c r="D617">
        <v>2.4046306842176119</v>
      </c>
      <c r="E617">
        <v>1.0531113364595619</v>
      </c>
    </row>
    <row r="618" spans="2:5" x14ac:dyDescent="0.35">
      <c r="B618">
        <v>1.8298495598446933</v>
      </c>
      <c r="C618">
        <v>2.2494453410858388</v>
      </c>
      <c r="D618">
        <v>0.49057013044620257</v>
      </c>
      <c r="E618">
        <v>1.7158933705476052</v>
      </c>
    </row>
    <row r="619" spans="2:5" x14ac:dyDescent="0.35">
      <c r="B619">
        <v>1.8298495598446933</v>
      </c>
      <c r="C619">
        <v>4.7524810044563734</v>
      </c>
      <c r="D619">
        <v>2.9809392660855121</v>
      </c>
      <c r="E619">
        <v>0.9745293124838843</v>
      </c>
    </row>
    <row r="620" spans="2:5" x14ac:dyDescent="0.35">
      <c r="B620">
        <v>3.1448621429157333</v>
      </c>
      <c r="C620">
        <v>4.8112141175132397</v>
      </c>
      <c r="D620">
        <v>2.0089887832272542</v>
      </c>
      <c r="E620">
        <v>-3</v>
      </c>
    </row>
    <row r="621" spans="2:5" x14ac:dyDescent="0.35">
      <c r="B621">
        <v>-3</v>
      </c>
      <c r="C621">
        <v>3.750070485865693</v>
      </c>
      <c r="D621">
        <v>1.620586410451879</v>
      </c>
      <c r="E621">
        <v>2.8429788317883249</v>
      </c>
    </row>
    <row r="622" spans="2:5" x14ac:dyDescent="0.35">
      <c r="B622">
        <v>1.8298495598446933</v>
      </c>
      <c r="C622">
        <v>0.57046293102604051</v>
      </c>
      <c r="D622">
        <v>-1.7612131404128839</v>
      </c>
      <c r="E622">
        <v>1.235727059838061</v>
      </c>
    </row>
    <row r="623" spans="2:5" x14ac:dyDescent="0.35">
      <c r="B623">
        <v>1.7158933705476036</v>
      </c>
      <c r="C623">
        <v>4.4564776293518173</v>
      </c>
      <c r="D623">
        <v>0.42760617278189827</v>
      </c>
      <c r="E623">
        <v>1.5335633482145117</v>
      </c>
    </row>
    <row r="624" spans="2:5" x14ac:dyDescent="0.35">
      <c r="B624">
        <v>1.6667565918848037</v>
      </c>
      <c r="C624">
        <v>2.1747259877061338</v>
      </c>
      <c r="D624">
        <v>1.7158933705476052</v>
      </c>
      <c r="E624">
        <v>-1.1046973786666827</v>
      </c>
    </row>
    <row r="625" spans="2:5" x14ac:dyDescent="0.35">
      <c r="B625">
        <v>1.6205864104518775</v>
      </c>
      <c r="C625">
        <v>2.8429788317883258</v>
      </c>
      <c r="D625">
        <v>1.3190398155625385</v>
      </c>
      <c r="E625">
        <v>0.57046293102604051</v>
      </c>
    </row>
    <row r="626" spans="2:5" x14ac:dyDescent="0.35">
      <c r="B626">
        <v>3.3398500028846252</v>
      </c>
      <c r="C626">
        <v>1.5921580021253601</v>
      </c>
      <c r="D626">
        <v>2.0268000593437163</v>
      </c>
      <c r="E626">
        <v>-0.31293931166009553</v>
      </c>
    </row>
    <row r="627" spans="2:5" x14ac:dyDescent="0.35">
      <c r="B627">
        <v>2.6334312103556319</v>
      </c>
      <c r="C627">
        <v>4.2872506432546169</v>
      </c>
      <c r="D627">
        <v>3.086613947409496</v>
      </c>
      <c r="E627">
        <v>1.4195388915137832</v>
      </c>
    </row>
    <row r="628" spans="2:5" x14ac:dyDescent="0.35">
      <c r="B628">
        <v>2.5197934862411002</v>
      </c>
      <c r="C628">
        <v>2.8429788317883258</v>
      </c>
      <c r="D628">
        <v>1.9836776946980668</v>
      </c>
      <c r="E628">
        <v>1.4620523187964305</v>
      </c>
    </row>
    <row r="629" spans="2:5" x14ac:dyDescent="0.35">
      <c r="B629">
        <v>1.235727059838061</v>
      </c>
      <c r="C629">
        <v>2.3575520046180838</v>
      </c>
      <c r="D629">
        <v>2.0089887832272542</v>
      </c>
      <c r="E629">
        <v>1.1602748314085933</v>
      </c>
    </row>
    <row r="630" spans="2:5" x14ac:dyDescent="0.35">
      <c r="B630">
        <v>1.6667565918848037</v>
      </c>
      <c r="C630">
        <v>2.0089887832272542</v>
      </c>
      <c r="D630">
        <v>1.994579724215747</v>
      </c>
      <c r="E630">
        <v>1.994579724215747</v>
      </c>
    </row>
    <row r="631" spans="2:5" x14ac:dyDescent="0.35">
      <c r="B631">
        <v>1.6667565918848037</v>
      </c>
      <c r="C631">
        <v>1.7845039829295668</v>
      </c>
      <c r="D631">
        <v>1.1602748314085933</v>
      </c>
      <c r="E631">
        <v>1.7886857106135332</v>
      </c>
    </row>
    <row r="632" spans="2:5" x14ac:dyDescent="0.35">
      <c r="B632">
        <v>1.8217102150346727</v>
      </c>
      <c r="C632">
        <v>0.57046293102604051</v>
      </c>
      <c r="D632">
        <v>2.5933537709802961</v>
      </c>
      <c r="E632">
        <v>2.5909612413425993</v>
      </c>
    </row>
    <row r="633" spans="2:5" x14ac:dyDescent="0.35">
      <c r="B633">
        <v>1.8217102150346727</v>
      </c>
      <c r="C633">
        <v>0.42760617278189827</v>
      </c>
      <c r="D633">
        <v>-3</v>
      </c>
      <c r="E633">
        <v>3.4561490346479964</v>
      </c>
    </row>
    <row r="634" spans="2:5" x14ac:dyDescent="0.35">
      <c r="B634">
        <v>3.0134622598065626</v>
      </c>
      <c r="C634">
        <v>2.5372960670908435</v>
      </c>
      <c r="D634">
        <v>1.8217102150346727</v>
      </c>
      <c r="E634">
        <v>3.4860707437356684</v>
      </c>
    </row>
    <row r="635" spans="2:5" x14ac:dyDescent="0.35">
      <c r="B635">
        <v>-1.5777669993169487</v>
      </c>
      <c r="C635">
        <v>3.3398500028846252</v>
      </c>
      <c r="D635">
        <v>2.569248029867182</v>
      </c>
      <c r="E635">
        <v>2.5789387130933865</v>
      </c>
    </row>
    <row r="636" spans="2:5" x14ac:dyDescent="0.35">
      <c r="B636">
        <v>1.5084286525318567</v>
      </c>
      <c r="C636">
        <v>3.5090623863618982</v>
      </c>
      <c r="D636">
        <v>-1.1046973786666827</v>
      </c>
      <c r="E636">
        <v>0.37295209791183109</v>
      </c>
    </row>
    <row r="637" spans="2:5" x14ac:dyDescent="0.35">
      <c r="B637">
        <v>2.7792597203723757</v>
      </c>
      <c r="C637">
        <v>-0.56704059272389429</v>
      </c>
      <c r="D637">
        <v>-3</v>
      </c>
      <c r="E637">
        <v>1.6064422281316078</v>
      </c>
    </row>
    <row r="638" spans="2:5" x14ac:dyDescent="0.35">
      <c r="B638">
        <v>2.4969735809982749</v>
      </c>
      <c r="C638">
        <v>1.6345932684457567</v>
      </c>
      <c r="D638">
        <v>-0.61043318823727588</v>
      </c>
      <c r="E638">
        <v>3.412104044677569</v>
      </c>
    </row>
    <row r="639" spans="2:5" x14ac:dyDescent="0.35">
      <c r="B639">
        <v>-1.5777669993169487</v>
      </c>
      <c r="C639">
        <v>-1.5777669993169487</v>
      </c>
      <c r="D639">
        <v>1.0874628412503395</v>
      </c>
      <c r="E639">
        <v>0.16992500144231237</v>
      </c>
    </row>
    <row r="640" spans="2:5" x14ac:dyDescent="0.35">
      <c r="B640">
        <v>1.4141355329844507</v>
      </c>
      <c r="C640">
        <v>2.5789387130933865</v>
      </c>
      <c r="D640">
        <v>3.3096127724541229</v>
      </c>
      <c r="E640">
        <v>-1.3040061868900958</v>
      </c>
    </row>
    <row r="641" spans="2:5" x14ac:dyDescent="0.35">
      <c r="B641">
        <v>0.50080205305715675</v>
      </c>
      <c r="C641">
        <v>2.276496665640356</v>
      </c>
      <c r="D641">
        <v>1.8419731189271804</v>
      </c>
      <c r="E641">
        <v>2.2971914165658558</v>
      </c>
    </row>
    <row r="642" spans="2:5" x14ac:dyDescent="0.35">
      <c r="B642">
        <v>3.0080924209487221</v>
      </c>
      <c r="C642">
        <v>2.3575520046180838</v>
      </c>
      <c r="D642">
        <v>1.9504684141501223</v>
      </c>
      <c r="E642">
        <v>-3.6525876025111904E-2</v>
      </c>
    </row>
    <row r="643" spans="2:5" x14ac:dyDescent="0.35">
      <c r="B643">
        <v>1.4087118610294296</v>
      </c>
      <c r="C643">
        <v>1.0874628412503395</v>
      </c>
      <c r="D643">
        <v>1.0461417816447192</v>
      </c>
      <c r="E643">
        <v>2.0959244199985352</v>
      </c>
    </row>
    <row r="644" spans="2:5" x14ac:dyDescent="0.35">
      <c r="B644">
        <v>-0.74903842646678398</v>
      </c>
      <c r="C644">
        <v>2.8708578643637628</v>
      </c>
      <c r="D644">
        <v>1.6158870739160558</v>
      </c>
      <c r="E644">
        <v>2.1093605594042311</v>
      </c>
    </row>
    <row r="645" spans="2:5" x14ac:dyDescent="0.35">
      <c r="B645">
        <v>-0.63262893435147949</v>
      </c>
      <c r="C645">
        <v>3.1068507964502241</v>
      </c>
      <c r="D645">
        <v>2.7366048753142485</v>
      </c>
      <c r="E645">
        <v>0.50080205305715675</v>
      </c>
    </row>
    <row r="646" spans="2:5" x14ac:dyDescent="0.35">
      <c r="B646">
        <v>-1.1046973786666827</v>
      </c>
      <c r="C646">
        <v>3.6223447227242369</v>
      </c>
      <c r="D646">
        <v>0.70929063572335604</v>
      </c>
      <c r="E646">
        <v>2.5447326559326235</v>
      </c>
    </row>
    <row r="647" spans="2:5" x14ac:dyDescent="0.35">
      <c r="B647">
        <v>-3.6525876025111904E-2</v>
      </c>
      <c r="C647">
        <v>3.5128589544499769</v>
      </c>
      <c r="D647">
        <v>-0.61043318823727588</v>
      </c>
      <c r="E647">
        <v>6.3502942306157953E-2</v>
      </c>
    </row>
    <row r="648" spans="2:5" x14ac:dyDescent="0.35">
      <c r="B648">
        <v>1.5434958834257715</v>
      </c>
      <c r="C648">
        <v>1.8379432418910284</v>
      </c>
      <c r="D648">
        <v>-2.7858751946471525</v>
      </c>
      <c r="E648">
        <v>2.1093605594042311</v>
      </c>
    </row>
    <row r="649" spans="2:5" x14ac:dyDescent="0.35">
      <c r="B649">
        <v>2.0959244199985352</v>
      </c>
      <c r="C649">
        <v>2.2971914165658558</v>
      </c>
      <c r="D649">
        <v>1.7591558338002726</v>
      </c>
      <c r="E649">
        <v>-0.98564470702292273</v>
      </c>
    </row>
    <row r="650" spans="2:5" x14ac:dyDescent="0.35">
      <c r="B650">
        <v>2.0959244199985352</v>
      </c>
      <c r="C650">
        <v>4.4205497721163178</v>
      </c>
      <c r="D650">
        <v>-3.6525876025113875E-2</v>
      </c>
      <c r="E650">
        <v>9.0853430451110481E-2</v>
      </c>
    </row>
    <row r="651" spans="2:5" x14ac:dyDescent="0.35">
      <c r="B651">
        <v>1.9981955031532539</v>
      </c>
      <c r="C651">
        <v>0.65535182861255425</v>
      </c>
      <c r="D651">
        <v>1.2660368939953179</v>
      </c>
      <c r="E651">
        <v>3.5903624884637462</v>
      </c>
    </row>
    <row r="652" spans="2:5" x14ac:dyDescent="0.35">
      <c r="B652">
        <v>2.6814492653149578</v>
      </c>
      <c r="C652">
        <v>1.3757345385831565</v>
      </c>
      <c r="D652">
        <v>6.3502942306157953E-2</v>
      </c>
      <c r="E652">
        <v>-1.4941090702700428</v>
      </c>
    </row>
    <row r="653" spans="2:5" x14ac:dyDescent="0.35">
      <c r="B653">
        <v>-1.5777669993169487</v>
      </c>
      <c r="C653">
        <v>2.2585189247113</v>
      </c>
      <c r="D653">
        <v>-0.98564470702292273</v>
      </c>
      <c r="E653">
        <v>9.0853430451110481E-2</v>
      </c>
    </row>
    <row r="654" spans="2:5" x14ac:dyDescent="0.35">
      <c r="B654">
        <v>1.4087118610294296</v>
      </c>
      <c r="C654">
        <v>9.0853430451110481E-2</v>
      </c>
      <c r="D654">
        <v>-9.6961729887090009E-2</v>
      </c>
      <c r="E654">
        <v>1.2720231890610481</v>
      </c>
    </row>
    <row r="655" spans="2:5" x14ac:dyDescent="0.35">
      <c r="B655">
        <v>-0.70134168443548017</v>
      </c>
      <c r="C655">
        <v>-1.5777669993169487</v>
      </c>
      <c r="D655">
        <v>0.50080205305715675</v>
      </c>
      <c r="E655">
        <v>2.4969735809982749</v>
      </c>
    </row>
    <row r="656" spans="2:5" x14ac:dyDescent="0.35">
      <c r="B656">
        <v>2.9699332746978557</v>
      </c>
      <c r="C656">
        <v>3.5128589544499769</v>
      </c>
      <c r="D656">
        <v>2.6334312103556319</v>
      </c>
      <c r="E656">
        <v>0.43829285157914688</v>
      </c>
    </row>
    <row r="657" spans="2:5" x14ac:dyDescent="0.35">
      <c r="B657">
        <v>3.7054250390427277</v>
      </c>
      <c r="C657">
        <v>1.8419731189271804</v>
      </c>
      <c r="D657">
        <v>1.8539956471763939</v>
      </c>
      <c r="E657">
        <v>0.14404636961670686</v>
      </c>
    </row>
    <row r="658" spans="2:5" x14ac:dyDescent="0.35">
      <c r="B658">
        <v>3.4376272483189489</v>
      </c>
      <c r="C658">
        <v>-1.5777669993169487</v>
      </c>
      <c r="D658">
        <v>2.569248029867182</v>
      </c>
      <c r="E658">
        <v>3.0080924209487221</v>
      </c>
    </row>
    <row r="659" spans="2:5" x14ac:dyDescent="0.35">
      <c r="B659">
        <v>3.7734689279051943</v>
      </c>
      <c r="C659">
        <v>0.43829285157914688</v>
      </c>
      <c r="D659">
        <v>2.3575520046180838</v>
      </c>
      <c r="E659">
        <v>2.2464080872463841</v>
      </c>
    </row>
    <row r="660" spans="2:5" x14ac:dyDescent="0.35">
      <c r="B660">
        <v>-1.5777669993169487</v>
      </c>
      <c r="C660">
        <v>3.0417686499516305</v>
      </c>
      <c r="D660">
        <v>1.9981955031532539</v>
      </c>
      <c r="E660">
        <v>0.37295209791183109</v>
      </c>
    </row>
    <row r="661" spans="2:5" x14ac:dyDescent="0.35">
      <c r="B661">
        <v>-9.6961729887090009E-2</v>
      </c>
      <c r="C661">
        <v>3.3398500028846252</v>
      </c>
      <c r="D661">
        <v>3.723012396392368</v>
      </c>
      <c r="E661">
        <v>-9.6961729887090009E-2</v>
      </c>
    </row>
    <row r="662" spans="2:5" x14ac:dyDescent="0.35">
      <c r="B662">
        <v>0.65535182861255425</v>
      </c>
      <c r="C662">
        <v>-1.5777669993169487</v>
      </c>
      <c r="D662">
        <v>-0.16004041251046325</v>
      </c>
      <c r="E662">
        <v>0.73552217729653668</v>
      </c>
    </row>
    <row r="663" spans="2:5" x14ac:dyDescent="0.35">
      <c r="B663">
        <v>1.0669502439246261</v>
      </c>
      <c r="C663">
        <v>2.5789387130933865</v>
      </c>
      <c r="D663">
        <v>6.3502942306157953E-2</v>
      </c>
      <c r="E663">
        <v>2.276496665640356</v>
      </c>
    </row>
    <row r="664" spans="2:5" x14ac:dyDescent="0.35">
      <c r="B664">
        <v>2.5789387130933865</v>
      </c>
      <c r="C664">
        <v>4.2183937110767884</v>
      </c>
      <c r="D664">
        <v>-1.5777669993169487</v>
      </c>
      <c r="E664">
        <v>3.3398500028846252</v>
      </c>
    </row>
    <row r="665" spans="2:5" x14ac:dyDescent="0.35">
      <c r="B665">
        <v>-1.5777669993169487</v>
      </c>
      <c r="C665">
        <v>3.3398500028846252</v>
      </c>
      <c r="D665">
        <v>2.569248029867182</v>
      </c>
      <c r="E665">
        <v>2.5789387130933865</v>
      </c>
    </row>
    <row r="666" spans="2:5" x14ac:dyDescent="0.35">
      <c r="B666">
        <v>1.5084286525318567</v>
      </c>
      <c r="C666">
        <v>3.5090623863618982</v>
      </c>
      <c r="D666">
        <v>-1.1046973786666827</v>
      </c>
      <c r="E666">
        <v>0.37295209791183109</v>
      </c>
    </row>
    <row r="667" spans="2:5" x14ac:dyDescent="0.35">
      <c r="B667">
        <v>2.7792597203723757</v>
      </c>
      <c r="C667">
        <v>-0.56704059272389429</v>
      </c>
      <c r="D667">
        <v>-3</v>
      </c>
      <c r="E667">
        <v>1.6064422281316078</v>
      </c>
    </row>
    <row r="668" spans="2:5" x14ac:dyDescent="0.35">
      <c r="B668">
        <v>2.4969735809982749</v>
      </c>
      <c r="C668">
        <v>1.6345932684457567</v>
      </c>
      <c r="D668">
        <v>-0.61043318823727588</v>
      </c>
      <c r="E668">
        <v>3.412104044677569</v>
      </c>
    </row>
    <row r="669" spans="2:5" x14ac:dyDescent="0.35">
      <c r="B669">
        <v>-1.5777669993169487</v>
      </c>
      <c r="C669">
        <v>-1.5777669993169487</v>
      </c>
      <c r="D669">
        <v>1.0874628412503395</v>
      </c>
      <c r="E669">
        <v>0.16992500144231237</v>
      </c>
    </row>
    <row r="670" spans="2:5" x14ac:dyDescent="0.35">
      <c r="B670">
        <v>1.4141355329844507</v>
      </c>
      <c r="C670">
        <v>2.5789387130933865</v>
      </c>
      <c r="D670">
        <v>3.3096127724541229</v>
      </c>
      <c r="E670">
        <v>-1.3040061868900958</v>
      </c>
    </row>
    <row r="671" spans="2:5" x14ac:dyDescent="0.35">
      <c r="B671">
        <v>0.50080205305715675</v>
      </c>
      <c r="C671">
        <v>2.276496665640356</v>
      </c>
      <c r="D671">
        <v>1.8419731189271804</v>
      </c>
      <c r="E671">
        <v>2.2971914165658558</v>
      </c>
    </row>
    <row r="672" spans="2:5" x14ac:dyDescent="0.35">
      <c r="B672">
        <v>3.0080924209487221</v>
      </c>
      <c r="C672">
        <v>2.3575520046180838</v>
      </c>
      <c r="D672">
        <v>1.9504684141501223</v>
      </c>
      <c r="E672">
        <v>-3.6525876025111904E-2</v>
      </c>
    </row>
    <row r="673" spans="2:5" x14ac:dyDescent="0.35">
      <c r="B673">
        <v>1.4087118610294296</v>
      </c>
      <c r="C673">
        <v>1.0874628412503395</v>
      </c>
      <c r="D673">
        <v>1.0461417816447192</v>
      </c>
      <c r="E673">
        <v>2.0959244199985352</v>
      </c>
    </row>
    <row r="674" spans="2:5" x14ac:dyDescent="0.35">
      <c r="B674">
        <v>-0.74903842646678398</v>
      </c>
      <c r="C674">
        <v>2.8708578643637628</v>
      </c>
      <c r="D674">
        <v>1.6158870739160558</v>
      </c>
      <c r="E674">
        <v>2.1093605594042311</v>
      </c>
    </row>
    <row r="675" spans="2:5" x14ac:dyDescent="0.35">
      <c r="B675">
        <v>-0.63262893435147949</v>
      </c>
      <c r="C675">
        <v>3.1068507964502241</v>
      </c>
      <c r="D675">
        <v>2.7366048753142485</v>
      </c>
      <c r="E675">
        <v>0.50080205305715675</v>
      </c>
    </row>
    <row r="676" spans="2:5" x14ac:dyDescent="0.35">
      <c r="B676">
        <v>-1.1046973786666827</v>
      </c>
      <c r="C676">
        <v>3.6223447227242369</v>
      </c>
      <c r="D676">
        <v>0.70929063572335604</v>
      </c>
      <c r="E676">
        <v>2.5447326559326235</v>
      </c>
    </row>
    <row r="677" spans="2:5" x14ac:dyDescent="0.35">
      <c r="B677">
        <v>-3.6525876025111904E-2</v>
      </c>
      <c r="C677">
        <v>3.5128589544499769</v>
      </c>
      <c r="D677">
        <v>-0.61043318823727588</v>
      </c>
      <c r="E677">
        <v>6.3502942306157953E-2</v>
      </c>
    </row>
    <row r="678" spans="2:5" x14ac:dyDescent="0.35">
      <c r="B678">
        <v>1.5434958834257715</v>
      </c>
      <c r="C678">
        <v>1.8379432418910284</v>
      </c>
      <c r="D678">
        <v>-2.7858751946471525</v>
      </c>
      <c r="E678">
        <v>2.1093605594042311</v>
      </c>
    </row>
    <row r="679" spans="2:5" x14ac:dyDescent="0.35">
      <c r="B679">
        <v>2.0959244199985352</v>
      </c>
      <c r="C679">
        <v>2.2971914165658558</v>
      </c>
      <c r="D679">
        <v>1.7591558338002726</v>
      </c>
      <c r="E679">
        <v>-0.98564470702292273</v>
      </c>
    </row>
    <row r="680" spans="2:5" x14ac:dyDescent="0.35">
      <c r="B680">
        <v>2.0959244199985352</v>
      </c>
      <c r="C680">
        <v>4.4205497721163178</v>
      </c>
      <c r="D680">
        <v>-3.6525876025113875E-2</v>
      </c>
      <c r="E680">
        <v>9.0853430451110481E-2</v>
      </c>
    </row>
    <row r="681" spans="2:5" x14ac:dyDescent="0.35">
      <c r="B681">
        <v>1.9981955031532539</v>
      </c>
      <c r="C681">
        <v>0.65535182861255425</v>
      </c>
      <c r="D681">
        <v>1.2660368939953179</v>
      </c>
      <c r="E681">
        <v>3.5903624884637462</v>
      </c>
    </row>
    <row r="682" spans="2:5" x14ac:dyDescent="0.35">
      <c r="B682">
        <v>2.6814492653149578</v>
      </c>
      <c r="C682">
        <v>1.3757345385831565</v>
      </c>
      <c r="D682">
        <v>6.3502942306157953E-2</v>
      </c>
      <c r="E682">
        <v>-1.4941090702700428</v>
      </c>
    </row>
    <row r="683" spans="2:5" x14ac:dyDescent="0.35">
      <c r="B683">
        <v>-1.5777669993169487</v>
      </c>
      <c r="C683">
        <v>2.2585189247113</v>
      </c>
      <c r="D683">
        <v>-0.98564470702292273</v>
      </c>
      <c r="E683">
        <v>9.0853430451110481E-2</v>
      </c>
    </row>
    <row r="684" spans="2:5" x14ac:dyDescent="0.35">
      <c r="B684">
        <v>1.4087118610294296</v>
      </c>
      <c r="C684">
        <v>9.0853430451110481E-2</v>
      </c>
      <c r="D684">
        <v>-9.6961729887090009E-2</v>
      </c>
      <c r="E684">
        <v>1.2720231890610481</v>
      </c>
    </row>
    <row r="685" spans="2:5" x14ac:dyDescent="0.35">
      <c r="B685">
        <v>-0.70134168443548017</v>
      </c>
      <c r="C685">
        <v>-1.5777669993169487</v>
      </c>
      <c r="D685">
        <v>0.50080205305715675</v>
      </c>
      <c r="E685">
        <v>2.4969735809982749</v>
      </c>
    </row>
    <row r="686" spans="2:5" x14ac:dyDescent="0.35">
      <c r="B686">
        <v>2.9699332746978557</v>
      </c>
      <c r="C686">
        <v>3.5128589544499769</v>
      </c>
      <c r="D686">
        <v>2.6334312103556319</v>
      </c>
      <c r="E686">
        <v>0.43829285157914688</v>
      </c>
    </row>
    <row r="687" spans="2:5" x14ac:dyDescent="0.35">
      <c r="B687">
        <v>3.7054250390427277</v>
      </c>
      <c r="C687">
        <v>1.8419731189271804</v>
      </c>
      <c r="D687">
        <v>1.8539956471763939</v>
      </c>
      <c r="E687">
        <v>0.14404636961670686</v>
      </c>
    </row>
    <row r="688" spans="2:5" x14ac:dyDescent="0.35">
      <c r="B688">
        <v>3.4376272483189489</v>
      </c>
      <c r="C688">
        <v>-1.5777669993169487</v>
      </c>
      <c r="D688">
        <v>2.569248029867182</v>
      </c>
      <c r="E688">
        <v>3.0080924209487221</v>
      </c>
    </row>
    <row r="689" spans="2:5" x14ac:dyDescent="0.35">
      <c r="B689">
        <v>3.7734689279051943</v>
      </c>
      <c r="C689">
        <v>0.43829285157914688</v>
      </c>
      <c r="D689">
        <v>2.3575520046180838</v>
      </c>
      <c r="E689">
        <v>2.2464080872463841</v>
      </c>
    </row>
    <row r="690" spans="2:5" x14ac:dyDescent="0.35">
      <c r="B690">
        <v>-1.5777669993169487</v>
      </c>
      <c r="C690">
        <v>3.0417686499516305</v>
      </c>
      <c r="D690">
        <v>1.9981955031532539</v>
      </c>
      <c r="E690">
        <v>0.37295209791183109</v>
      </c>
    </row>
    <row r="691" spans="2:5" x14ac:dyDescent="0.35">
      <c r="B691">
        <v>-9.6961729887090009E-2</v>
      </c>
      <c r="C691">
        <v>3.3398500028846252</v>
      </c>
      <c r="D691">
        <v>3.723012396392368</v>
      </c>
      <c r="E691">
        <v>-9.6961729887090009E-2</v>
      </c>
    </row>
    <row r="692" spans="2:5" x14ac:dyDescent="0.35">
      <c r="B692">
        <v>0.65535182861255425</v>
      </c>
      <c r="C692">
        <v>-1.5777669993169487</v>
      </c>
      <c r="D692">
        <v>-0.16004041251046325</v>
      </c>
      <c r="E692">
        <v>0.73552217729653668</v>
      </c>
    </row>
    <row r="693" spans="2:5" x14ac:dyDescent="0.35">
      <c r="B693">
        <v>1.0669502439246261</v>
      </c>
      <c r="C693">
        <v>2.5789387130933865</v>
      </c>
      <c r="D693">
        <v>6.3502942306157953E-2</v>
      </c>
      <c r="E693">
        <v>2.276496665640356</v>
      </c>
    </row>
    <row r="694" spans="2:5" x14ac:dyDescent="0.35">
      <c r="B694">
        <v>2.5789387130933865</v>
      </c>
      <c r="C694">
        <v>4.2183937110767884</v>
      </c>
      <c r="D694">
        <v>-1.5777669993169487</v>
      </c>
      <c r="E694">
        <v>3.3398500028846252</v>
      </c>
    </row>
    <row r="695" spans="2:5" x14ac:dyDescent="0.35">
      <c r="B695">
        <v>3.1691232814767574</v>
      </c>
      <c r="C695">
        <v>2.4422800352525846</v>
      </c>
      <c r="D695">
        <v>-1.5777669993169487</v>
      </c>
      <c r="E695">
        <v>-3</v>
      </c>
    </row>
    <row r="696" spans="2:5" x14ac:dyDescent="0.35">
      <c r="B696">
        <v>1.5385381636298048</v>
      </c>
      <c r="C696">
        <v>2.5071603491175241</v>
      </c>
      <c r="D696">
        <v>-0.46394709975978743</v>
      </c>
      <c r="E696">
        <v>-0.26015189730067101</v>
      </c>
    </row>
    <row r="697" spans="2:5" x14ac:dyDescent="0.35">
      <c r="B697">
        <v>1.5680321047712806</v>
      </c>
      <c r="C697">
        <v>2.8063240573900288</v>
      </c>
      <c r="D697">
        <v>2.5071603491175241</v>
      </c>
      <c r="E697">
        <v>0.32768736417604616</v>
      </c>
    </row>
    <row r="698" spans="2:5" x14ac:dyDescent="0.35">
      <c r="B698">
        <v>1.3190398155625354</v>
      </c>
      <c r="C698">
        <v>4.1622906135458004</v>
      </c>
      <c r="D698">
        <v>9.0853430451110481E-2</v>
      </c>
      <c r="E698">
        <v>-0.63262893435147149</v>
      </c>
    </row>
    <row r="699" spans="2:5" x14ac:dyDescent="0.35">
      <c r="B699">
        <v>2.7644735509926672</v>
      </c>
      <c r="C699">
        <v>2.2524762141352173</v>
      </c>
      <c r="D699">
        <v>0.63691458035587767</v>
      </c>
      <c r="E699">
        <v>4.0699598904597742</v>
      </c>
    </row>
    <row r="700" spans="2:5" x14ac:dyDescent="0.35">
      <c r="B700">
        <v>2.5071603491175241</v>
      </c>
      <c r="C700">
        <v>-3</v>
      </c>
      <c r="D700">
        <v>2.1586601753464985</v>
      </c>
      <c r="E700">
        <v>2.8409667044874207</v>
      </c>
    </row>
    <row r="701" spans="2:5" x14ac:dyDescent="0.35">
      <c r="B701">
        <v>2.7644735509926672</v>
      </c>
      <c r="C701">
        <v>-3</v>
      </c>
      <c r="D701">
        <v>1.0250287944915224</v>
      </c>
      <c r="E701">
        <v>-0.26015189730067101</v>
      </c>
    </row>
    <row r="702" spans="2:5" x14ac:dyDescent="0.35">
      <c r="B702">
        <v>2.7644735509926672</v>
      </c>
      <c r="C702">
        <v>-0.26015189730067101</v>
      </c>
      <c r="D702">
        <v>-0.74903842646678398</v>
      </c>
      <c r="E702">
        <v>1.7886857106135332</v>
      </c>
    </row>
    <row r="703" spans="2:5" x14ac:dyDescent="0.35">
      <c r="B703">
        <v>1.5680321047712791</v>
      </c>
      <c r="C703">
        <v>3.1723274916576174</v>
      </c>
      <c r="D703">
        <v>1.7026575433909106</v>
      </c>
      <c r="E703">
        <v>3.3819754785573011</v>
      </c>
    </row>
    <row r="704" spans="2:5" x14ac:dyDescent="0.35">
      <c r="B704">
        <v>2.5071603491175241</v>
      </c>
      <c r="C704">
        <v>2.5071603491175241</v>
      </c>
      <c r="D704">
        <v>2.71259578044703</v>
      </c>
      <c r="E704">
        <v>2.7644735509926672</v>
      </c>
    </row>
    <row r="705" spans="2:5" x14ac:dyDescent="0.35">
      <c r="B705">
        <v>0.64616265715789478</v>
      </c>
      <c r="C705">
        <v>2.7644735509926672</v>
      </c>
      <c r="D705">
        <v>7.7242998932469761E-2</v>
      </c>
      <c r="E705">
        <v>1.192194165283343</v>
      </c>
    </row>
    <row r="706" spans="2:5" x14ac:dyDescent="0.35">
      <c r="B706">
        <v>2.4422800352525846</v>
      </c>
      <c r="C706">
        <v>2.455491620628468</v>
      </c>
      <c r="D706">
        <v>1.5777309314900803</v>
      </c>
      <c r="E706">
        <v>1.6016965164809573</v>
      </c>
    </row>
    <row r="707" spans="2:5" x14ac:dyDescent="0.35">
      <c r="B707">
        <v>1.2839217723076188</v>
      </c>
      <c r="C707">
        <v>2.1424134378737412</v>
      </c>
      <c r="D707">
        <v>1.4620523187964334</v>
      </c>
      <c r="E707">
        <v>-0.26015189730067256</v>
      </c>
    </row>
    <row r="708" spans="2:5" x14ac:dyDescent="0.35">
      <c r="B708">
        <v>2.71259578044703</v>
      </c>
      <c r="C708">
        <v>2.4422800352525846</v>
      </c>
      <c r="D708">
        <v>2.7644735509926672</v>
      </c>
      <c r="E708">
        <v>-0.63262893435147149</v>
      </c>
    </row>
    <row r="709" spans="2:5" x14ac:dyDescent="0.35">
      <c r="B709">
        <v>1.1473066987802936</v>
      </c>
      <c r="C709">
        <v>1.2839217723076188</v>
      </c>
      <c r="D709">
        <v>1.4620523187964334</v>
      </c>
      <c r="E709">
        <v>2.1424134378737434</v>
      </c>
    </row>
    <row r="710" spans="2:5" x14ac:dyDescent="0.35">
      <c r="B710">
        <v>2.5447326559326218</v>
      </c>
      <c r="C710">
        <v>-0.26015189730067101</v>
      </c>
      <c r="D710">
        <v>1.6803243568440158</v>
      </c>
      <c r="E710">
        <v>-1.2344652536370326</v>
      </c>
    </row>
    <row r="711" spans="2:5" x14ac:dyDescent="0.35">
      <c r="B711">
        <v>-0.26015189730068328</v>
      </c>
      <c r="C711">
        <v>2.0303360783709592</v>
      </c>
      <c r="D711">
        <v>2.3575520046180838</v>
      </c>
      <c r="E711">
        <v>2.0303360783709592</v>
      </c>
    </row>
    <row r="712" spans="2:5" x14ac:dyDescent="0.35">
      <c r="B712">
        <v>1.3132458517875611</v>
      </c>
      <c r="C712">
        <v>1.3190398155625354</v>
      </c>
      <c r="D712">
        <v>2.4841381312016688</v>
      </c>
      <c r="E712">
        <v>2.5981269599196057</v>
      </c>
    </row>
    <row r="713" spans="2:5" x14ac:dyDescent="0.35">
      <c r="B713">
        <v>1.7886857106135332</v>
      </c>
      <c r="C713">
        <v>3.5623909730729347E-2</v>
      </c>
      <c r="D713">
        <v>2.8509993947164736</v>
      </c>
      <c r="E713">
        <v>2.8409667044874207</v>
      </c>
    </row>
    <row r="714" spans="2:5" x14ac:dyDescent="0.35">
      <c r="B714">
        <v>-0.26015189730068328</v>
      </c>
      <c r="C714">
        <v>1.192194165283343</v>
      </c>
      <c r="D714">
        <v>2.3771237491294874</v>
      </c>
      <c r="E714">
        <v>2.7644735509926672</v>
      </c>
    </row>
    <row r="715" spans="2:5" x14ac:dyDescent="0.35">
      <c r="B715">
        <v>9.0853430451110481E-2</v>
      </c>
      <c r="C715">
        <v>3.4627067506701592</v>
      </c>
      <c r="D715">
        <v>2.9827654625836466</v>
      </c>
      <c r="E715">
        <v>2.7644735509926672</v>
      </c>
    </row>
    <row r="716" spans="2:5" x14ac:dyDescent="0.35">
      <c r="B716">
        <v>-0.34923544088309744</v>
      </c>
      <c r="C716">
        <v>0.32768736417604616</v>
      </c>
      <c r="D716">
        <v>1.7026575433909106</v>
      </c>
      <c r="E716">
        <v>0.63691458035587767</v>
      </c>
    </row>
    <row r="717" spans="2:5" x14ac:dyDescent="0.35">
      <c r="B717">
        <v>0.99638874644762188</v>
      </c>
      <c r="C717">
        <v>-1.2009126939259949</v>
      </c>
      <c r="D717">
        <v>1.7886857106135332</v>
      </c>
      <c r="E717">
        <v>1.6803243568440158</v>
      </c>
    </row>
    <row r="718" spans="2:5" x14ac:dyDescent="0.35">
      <c r="B718">
        <v>1.2295879227406512</v>
      </c>
      <c r="C718">
        <v>1.3190398155625354</v>
      </c>
      <c r="D718">
        <v>-1.2009126939259949</v>
      </c>
      <c r="E718">
        <v>2.3575520046180838</v>
      </c>
    </row>
    <row r="719" spans="2:5" x14ac:dyDescent="0.35">
      <c r="B719">
        <v>1.7886857106135332</v>
      </c>
      <c r="C719">
        <v>1.8816646193203446</v>
      </c>
      <c r="D719">
        <v>2.3575520046180838</v>
      </c>
      <c r="E719">
        <v>1.6803243568440158</v>
      </c>
    </row>
    <row r="720" spans="2:5" x14ac:dyDescent="0.35">
      <c r="B720">
        <v>0.32768736417604616</v>
      </c>
      <c r="C720">
        <v>2.7644735509926672</v>
      </c>
      <c r="D720">
        <v>4.5518235957212569</v>
      </c>
      <c r="E720">
        <v>2.1424134378737434</v>
      </c>
    </row>
    <row r="721" spans="2:5" x14ac:dyDescent="0.35">
      <c r="B721">
        <v>3.6258549313680568</v>
      </c>
      <c r="C721">
        <v>4.0912766943652219</v>
      </c>
      <c r="D721">
        <v>2.5981269599196057</v>
      </c>
      <c r="E721">
        <v>1.7114949066500873</v>
      </c>
    </row>
    <row r="722" spans="2:5" x14ac:dyDescent="0.35">
      <c r="B722">
        <v>0.84398384404832805</v>
      </c>
      <c r="C722">
        <v>4.3309168781146168</v>
      </c>
      <c r="D722">
        <v>2.9827654625836466</v>
      </c>
      <c r="E722">
        <v>2.7644735509926672</v>
      </c>
    </row>
    <row r="723" spans="2:5" x14ac:dyDescent="0.35">
      <c r="B723">
        <v>-1.2344652536370326</v>
      </c>
      <c r="C723">
        <v>2.8165997065349124</v>
      </c>
      <c r="D723">
        <v>2.6005076453457852</v>
      </c>
      <c r="E723">
        <v>-0.46394709975978743</v>
      </c>
    </row>
    <row r="724" spans="2:5" x14ac:dyDescent="0.35">
      <c r="B724">
        <v>0.63691458035587767</v>
      </c>
      <c r="C724">
        <v>-0.63262893435147149</v>
      </c>
      <c r="D724">
        <v>1.2839217723076188</v>
      </c>
      <c r="E724">
        <v>2.3575520046180838</v>
      </c>
    </row>
    <row r="725" spans="2:5" x14ac:dyDescent="0.35">
      <c r="B725">
        <v>1.6252704893746939</v>
      </c>
      <c r="C725">
        <v>1.1342209397606335</v>
      </c>
      <c r="D725">
        <v>0.64616265715789478</v>
      </c>
      <c r="E725">
        <v>1.9126498648972037</v>
      </c>
    </row>
    <row r="726" spans="2:5" x14ac:dyDescent="0.35">
      <c r="B726">
        <v>1.6252704893746939</v>
      </c>
      <c r="C726">
        <v>0.646162657157894</v>
      </c>
      <c r="D726">
        <v>0.41683974191283019</v>
      </c>
      <c r="E726">
        <v>3.3197624276692479</v>
      </c>
    </row>
    <row r="727" spans="2:5" x14ac:dyDescent="0.35">
      <c r="B727">
        <v>-1.9159357352115227</v>
      </c>
      <c r="C727">
        <v>2.8609627978581167</v>
      </c>
      <c r="D727">
        <v>2.9754467656409624</v>
      </c>
      <c r="E727">
        <v>2.7959746942066679</v>
      </c>
    </row>
    <row r="728" spans="2:5" x14ac:dyDescent="0.35">
      <c r="B728">
        <v>0.57046293102604051</v>
      </c>
      <c r="C728">
        <v>2.1127001327493624</v>
      </c>
      <c r="D728">
        <v>-1.3770696490798242</v>
      </c>
      <c r="E728">
        <v>0.3161457422933574</v>
      </c>
    </row>
    <row r="729" spans="2:5" x14ac:dyDescent="0.35">
      <c r="B729">
        <v>-0.48398485299633554</v>
      </c>
      <c r="C729">
        <v>4.1097784290786619</v>
      </c>
      <c r="D729">
        <v>0.38404980679515949</v>
      </c>
      <c r="E729">
        <v>2.0617761975866902</v>
      </c>
    </row>
    <row r="730" spans="2:5" x14ac:dyDescent="0.35">
      <c r="B730">
        <v>1.7506065048355923</v>
      </c>
      <c r="C730">
        <v>-1.3770696490798242</v>
      </c>
      <c r="D730">
        <v>1.1342209397606335</v>
      </c>
      <c r="E730">
        <v>-1.9159357352115227</v>
      </c>
    </row>
    <row r="731" spans="2:5" x14ac:dyDescent="0.35">
      <c r="B731">
        <v>1.1143670249519997</v>
      </c>
      <c r="C731">
        <v>0.3161457422933574</v>
      </c>
      <c r="D731">
        <v>1.6252704893746939</v>
      </c>
      <c r="E731">
        <v>1.3419857472286159</v>
      </c>
    </row>
    <row r="732" spans="2:5" x14ac:dyDescent="0.35">
      <c r="B732">
        <v>1.724650271732967</v>
      </c>
      <c r="C732">
        <v>1.9278964537288232</v>
      </c>
      <c r="D732">
        <v>-0.36773178450048649</v>
      </c>
      <c r="E732">
        <v>1.3419857472286159</v>
      </c>
    </row>
    <row r="733" spans="2:5" x14ac:dyDescent="0.35">
      <c r="B733">
        <v>2.7792597203723748</v>
      </c>
      <c r="C733">
        <v>-3</v>
      </c>
      <c r="D733">
        <v>-1.7131188522118397</v>
      </c>
      <c r="E733">
        <v>-0.36773178450048649</v>
      </c>
    </row>
    <row r="734" spans="2:5" x14ac:dyDescent="0.35">
      <c r="B734">
        <v>0.38404980679515949</v>
      </c>
      <c r="C734">
        <v>1.6892991605358916</v>
      </c>
      <c r="D734">
        <v>1.6252704893746939</v>
      </c>
      <c r="E734">
        <v>0.29278174922783917</v>
      </c>
    </row>
    <row r="735" spans="2:5" x14ac:dyDescent="0.35">
      <c r="B735">
        <v>0.89917563048050919</v>
      </c>
      <c r="C735">
        <v>0.95977015521146758</v>
      </c>
      <c r="D735">
        <v>0.95977015521146758</v>
      </c>
      <c r="E735">
        <v>-0.12815635149068361</v>
      </c>
    </row>
    <row r="736" spans="2:5" x14ac:dyDescent="0.35">
      <c r="B736">
        <v>9.0853430451110481E-2</v>
      </c>
      <c r="C736">
        <v>1.1795110502715109</v>
      </c>
      <c r="D736">
        <v>1.0179219079972666</v>
      </c>
      <c r="E736">
        <v>2.2824398050063874</v>
      </c>
    </row>
    <row r="737" spans="2:5" x14ac:dyDescent="0.35">
      <c r="B737">
        <v>0.38404980679515949</v>
      </c>
      <c r="C737">
        <v>2.1160319934471108</v>
      </c>
      <c r="D737">
        <v>-0.24297675349254233</v>
      </c>
      <c r="E737">
        <v>0.58976348698497982</v>
      </c>
    </row>
    <row r="738" spans="2:5" x14ac:dyDescent="0.35">
      <c r="B738">
        <v>1.3419857472286159</v>
      </c>
      <c r="C738">
        <v>4.5313814605163127</v>
      </c>
      <c r="D738">
        <v>2.4289463447694826</v>
      </c>
      <c r="E738">
        <v>2.33771109212829</v>
      </c>
    </row>
    <row r="739" spans="2:5" x14ac:dyDescent="0.35">
      <c r="B739">
        <v>0.91456452349393946</v>
      </c>
      <c r="C739">
        <v>1.724650271732967</v>
      </c>
      <c r="D739">
        <v>2.9476661567960099</v>
      </c>
      <c r="E739">
        <v>2.9754467656409624</v>
      </c>
    </row>
    <row r="740" spans="2:5" x14ac:dyDescent="0.35">
      <c r="B740">
        <v>-0.90238920337357731</v>
      </c>
      <c r="C740">
        <v>0.22032995487955448</v>
      </c>
      <c r="D740">
        <v>2.1160319934471108</v>
      </c>
      <c r="E740">
        <v>0.38404980679515949</v>
      </c>
    </row>
    <row r="741" spans="2:5" x14ac:dyDescent="0.35">
      <c r="B741">
        <v>-1.3770696490798242</v>
      </c>
      <c r="C741">
        <v>4.3309168781146168</v>
      </c>
      <c r="D741">
        <v>-0.24297675349254233</v>
      </c>
      <c r="E741">
        <v>-0.36773178450048649</v>
      </c>
    </row>
    <row r="742" spans="2:5" x14ac:dyDescent="0.35">
      <c r="B742">
        <v>2.1325768426700078</v>
      </c>
      <c r="C742">
        <v>2.9754467656409624</v>
      </c>
      <c r="D742">
        <v>0.38404980679515949</v>
      </c>
      <c r="E742">
        <v>-1.0740005814437779</v>
      </c>
    </row>
    <row r="743" spans="2:5" x14ac:dyDescent="0.35">
      <c r="B743">
        <v>1.1342209397606335</v>
      </c>
      <c r="C743">
        <v>-0.48398485299633554</v>
      </c>
      <c r="D743">
        <v>1.0036022366801949</v>
      </c>
      <c r="E743">
        <v>0.23266075679027592</v>
      </c>
    </row>
    <row r="744" spans="2:5" x14ac:dyDescent="0.35">
      <c r="B744">
        <v>0.38404980679515949</v>
      </c>
      <c r="C744">
        <v>2.8409667044874207</v>
      </c>
      <c r="D744">
        <v>2.5147534984397537</v>
      </c>
      <c r="E744">
        <v>2.1160319934471086</v>
      </c>
    </row>
    <row r="745" spans="2:5" x14ac:dyDescent="0.35">
      <c r="B745">
        <v>2.9754467656409624</v>
      </c>
      <c r="C745">
        <v>3.5855634984556919</v>
      </c>
      <c r="D745">
        <v>0.38404980679515949</v>
      </c>
      <c r="E745">
        <v>1.611172380044005</v>
      </c>
    </row>
    <row r="746" spans="2:5" x14ac:dyDescent="0.35">
      <c r="B746">
        <v>-0.12815635149067239</v>
      </c>
      <c r="C746">
        <v>2.8247678531432943</v>
      </c>
      <c r="D746">
        <v>-1.4540316308947066</v>
      </c>
      <c r="E746">
        <v>-1.2688167584277783</v>
      </c>
    </row>
    <row r="747" spans="2:5" x14ac:dyDescent="0.35">
      <c r="B747">
        <v>2.1160319934471108</v>
      </c>
      <c r="C747">
        <v>2.1127001327493624</v>
      </c>
      <c r="D747">
        <v>2.5147534984397537</v>
      </c>
      <c r="E747">
        <v>1.2172307162206693</v>
      </c>
    </row>
    <row r="748" spans="2:5" x14ac:dyDescent="0.35">
      <c r="B748">
        <v>0.38404980679515949</v>
      </c>
      <c r="C748">
        <v>-3</v>
      </c>
      <c r="D748">
        <v>-3</v>
      </c>
      <c r="E748">
        <v>2.7792597203723748</v>
      </c>
    </row>
    <row r="749" spans="2:5" x14ac:dyDescent="0.35">
      <c r="B749">
        <v>-1.9159357352115227</v>
      </c>
      <c r="C749">
        <v>0.91456452349393946</v>
      </c>
      <c r="D749">
        <v>-1.7131188522118397</v>
      </c>
      <c r="E749">
        <v>1.9278964537288232</v>
      </c>
    </row>
    <row r="750" spans="2:5" x14ac:dyDescent="0.35">
      <c r="B750">
        <v>-0.5458241068141988</v>
      </c>
      <c r="C750">
        <v>3.9434525385588199</v>
      </c>
      <c r="D750">
        <v>1.1342209397606335</v>
      </c>
      <c r="E750">
        <v>0.95977015521146758</v>
      </c>
    </row>
    <row r="751" spans="2:5" x14ac:dyDescent="0.35">
      <c r="B751">
        <v>2.1160319934471108</v>
      </c>
      <c r="C751">
        <v>1.6252704893746939</v>
      </c>
      <c r="D751">
        <v>1.1342209397606335</v>
      </c>
      <c r="E751">
        <v>1.9278964537288232</v>
      </c>
    </row>
    <row r="752" spans="2:5" x14ac:dyDescent="0.35">
      <c r="B752">
        <v>2.8609627978581167</v>
      </c>
      <c r="C752">
        <v>0.96716860753262757</v>
      </c>
      <c r="D752">
        <v>2.7959746942066679</v>
      </c>
      <c r="E752">
        <v>-0.36773178450048649</v>
      </c>
    </row>
    <row r="753" spans="1:5" x14ac:dyDescent="0.35">
      <c r="B753">
        <v>-0.24297675349254233</v>
      </c>
      <c r="C753">
        <v>2.6005076453457852</v>
      </c>
      <c r="D753">
        <v>-3</v>
      </c>
      <c r="E753">
        <v>2.2735158897021148</v>
      </c>
    </row>
    <row r="754" spans="1:5" x14ac:dyDescent="0.35">
      <c r="B754">
        <v>2.0268000593437163</v>
      </c>
      <c r="C754">
        <v>2.6971065744769747</v>
      </c>
      <c r="D754">
        <v>0.98913900736823268</v>
      </c>
      <c r="E754">
        <v>-0.5458241068141988</v>
      </c>
    </row>
    <row r="756" spans="1:5" x14ac:dyDescent="0.35">
      <c r="B756" t="s">
        <v>5</v>
      </c>
      <c r="C756" t="s">
        <v>7</v>
      </c>
      <c r="D756" t="s">
        <v>6</v>
      </c>
      <c r="E756" t="s">
        <v>8</v>
      </c>
    </row>
    <row r="757" spans="1:5" x14ac:dyDescent="0.35">
      <c r="A757" t="s">
        <v>28</v>
      </c>
      <c r="B757">
        <f>AVERAGE(B605:B754)</f>
        <v>1.2781761285060729</v>
      </c>
      <c r="C757">
        <f>AVERAGE(C605:C754)</f>
        <v>1.9399007871908749</v>
      </c>
      <c r="D757">
        <f>AVERAGE(D605:D754)</f>
        <v>1.0531857038039261</v>
      </c>
      <c r="E757">
        <f>AVERAGE(E605:E754)</f>
        <v>1.3189844009867231</v>
      </c>
    </row>
    <row r="758" spans="1:5" x14ac:dyDescent="0.35">
      <c r="A758" t="s">
        <v>29</v>
      </c>
      <c r="B758">
        <f>_xlfn.STDEV.P(B605:B754)</f>
        <v>1.4914374630965241</v>
      </c>
      <c r="C758">
        <f>_xlfn.STDEV.P(C605:C754)</f>
        <v>1.7716464356931898</v>
      </c>
      <c r="D758">
        <f>_xlfn.STDEV.P(D605:D754)</f>
        <v>1.6352861881146861</v>
      </c>
      <c r="E758">
        <f>_xlfn.STDEV.P(E605:E754)</f>
        <v>1.481554100634799</v>
      </c>
    </row>
    <row r="759" spans="1:5" x14ac:dyDescent="0.35">
      <c r="A759" t="s">
        <v>30</v>
      </c>
      <c r="B759">
        <f>B758/SQRT(150)</f>
        <v>0.12177535892858335</v>
      </c>
      <c r="C759">
        <f>C758/SQRT(150)</f>
        <v>0.1446543257356282</v>
      </c>
      <c r="D759">
        <f>D758/SQRT(150)</f>
        <v>0.13352055814339753</v>
      </c>
      <c r="E759">
        <f>E758/SQRT(150)</f>
        <v>0.12096838576277655</v>
      </c>
    </row>
    <row r="760" spans="1:5" x14ac:dyDescent="0.35">
      <c r="A760" t="s">
        <v>31</v>
      </c>
      <c r="B760">
        <f>1.96*B759</f>
        <v>0.23867970350002335</v>
      </c>
      <c r="C760">
        <f>1.96*C759</f>
        <v>0.28352247844183126</v>
      </c>
      <c r="D760">
        <f>1.96*D759</f>
        <v>0.26170029396105915</v>
      </c>
      <c r="E760">
        <f>1.96*E759</f>
        <v>0.23709803609504204</v>
      </c>
    </row>
    <row r="762" spans="1:5" x14ac:dyDescent="0.35">
      <c r="B762" t="s">
        <v>7</v>
      </c>
      <c r="C762" t="s">
        <v>8</v>
      </c>
      <c r="D762" t="s">
        <v>5</v>
      </c>
      <c r="E762" t="s">
        <v>6</v>
      </c>
    </row>
    <row r="763" spans="1:5" x14ac:dyDescent="0.35">
      <c r="B763">
        <v>1.9399007871908749</v>
      </c>
      <c r="C763">
        <v>1.3189844009867231</v>
      </c>
      <c r="D763">
        <v>1.2781761285060729</v>
      </c>
      <c r="E763">
        <v>1.0531857038039261</v>
      </c>
    </row>
    <row r="764" spans="1:5" x14ac:dyDescent="0.35">
      <c r="B764">
        <v>1.7716464356931898</v>
      </c>
      <c r="C764">
        <v>1.481554100634799</v>
      </c>
      <c r="D764">
        <v>1.4914374630965241</v>
      </c>
      <c r="E764">
        <v>1.6352861881146861</v>
      </c>
    </row>
    <row r="765" spans="1:5" x14ac:dyDescent="0.35">
      <c r="B765">
        <v>0.1446543257356282</v>
      </c>
      <c r="C765">
        <v>0.12096838576277655</v>
      </c>
      <c r="D765">
        <v>0.12177535892858335</v>
      </c>
      <c r="E765">
        <v>0.13352055814339753</v>
      </c>
    </row>
    <row r="766" spans="1:5" x14ac:dyDescent="0.35">
      <c r="B766">
        <v>0.28352247844183126</v>
      </c>
      <c r="C766">
        <v>0.23709803609504204</v>
      </c>
      <c r="D766">
        <v>0.23867970350002335</v>
      </c>
      <c r="E766">
        <v>0.26170029396105915</v>
      </c>
    </row>
  </sheetData>
  <autoFilter ref="A1:I602">
    <filterColumn colId="8">
      <customFilters>
        <customFilter operator="notEqual" val="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 Wolfson</dc:creator>
  <cp:lastModifiedBy>Windows User</cp:lastModifiedBy>
  <dcterms:created xsi:type="dcterms:W3CDTF">2018-02-07T02:44:15Z</dcterms:created>
  <dcterms:modified xsi:type="dcterms:W3CDTF">2018-02-07T02:46:38Z</dcterms:modified>
</cp:coreProperties>
</file>