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ans\Documents\GitHub\GRSME\"/>
    </mc:Choice>
  </mc:AlternateContent>
  <bookViews>
    <workbookView minimized="1" xWindow="-120" yWindow="-120" windowWidth="29040" windowHeight="15720" activeTab="1"/>
  </bookViews>
  <sheets>
    <sheet name="Lostine" sheetId="2" r:id="rId1"/>
    <sheet name="NPT Harvest Rates" sheetId="3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C6" i="3"/>
  <c r="D27" i="2"/>
  <c r="D28" i="2" s="1"/>
  <c r="E27" i="2"/>
  <c r="D22" i="2"/>
  <c r="D21" i="2"/>
  <c r="D10" i="2" l="1"/>
  <c r="E8" i="3"/>
  <c r="E42" i="2" l="1"/>
  <c r="D42" i="2"/>
  <c r="D17" i="2"/>
  <c r="D19" i="2" s="1"/>
  <c r="D7" i="2"/>
  <c r="D15" i="2" s="1"/>
  <c r="E7" i="2"/>
  <c r="F6" i="3" s="1"/>
  <c r="F16" i="2"/>
  <c r="F6" i="2"/>
  <c r="F26" i="2"/>
  <c r="C8" i="3" l="1"/>
  <c r="F8" i="3"/>
  <c r="D9" i="2"/>
  <c r="F42" i="2"/>
  <c r="D43" i="2" s="1"/>
  <c r="F7" i="2"/>
  <c r="E8" i="2" s="1"/>
  <c r="D18" i="2"/>
  <c r="D8" i="2" l="1"/>
  <c r="F8" i="2" s="1"/>
  <c r="D8" i="3"/>
  <c r="G6" i="3"/>
  <c r="E43" i="2"/>
  <c r="F43" i="2" s="1"/>
  <c r="D14" i="2"/>
  <c r="D40" i="2"/>
  <c r="D11" i="2"/>
  <c r="E12" i="2" s="1"/>
  <c r="G8" i="3" l="1"/>
  <c r="H6" i="3"/>
  <c r="H8" i="3" s="1"/>
  <c r="E14" i="2"/>
  <c r="E40" i="2" l="1"/>
  <c r="E41" i="2" s="1"/>
  <c r="F14" i="2"/>
  <c r="E15" i="2" s="1"/>
  <c r="D23" i="2"/>
  <c r="D24" i="2" s="1"/>
  <c r="D35" i="2"/>
  <c r="F40" i="2" l="1"/>
  <c r="D41" i="2"/>
  <c r="F41" i="2" s="1"/>
  <c r="D25" i="2"/>
  <c r="E22" i="2" l="1"/>
  <c r="E21" i="2"/>
  <c r="F21" i="2" s="1"/>
  <c r="F15" i="2"/>
  <c r="D30" i="2" l="1"/>
  <c r="F30" i="2" s="1"/>
  <c r="D33" i="2"/>
  <c r="D37" i="2" s="1"/>
  <c r="F22" i="2"/>
  <c r="E23" i="2"/>
  <c r="E24" i="2" s="1"/>
  <c r="E33" i="2" s="1"/>
  <c r="E35" i="2"/>
  <c r="F35" i="2" s="1"/>
  <c r="D36" i="2" s="1"/>
  <c r="E36" i="2" l="1"/>
  <c r="F36" i="2" s="1"/>
  <c r="F23" i="2"/>
  <c r="E25" i="2"/>
  <c r="F25" i="2" s="1"/>
  <c r="E28" i="2" l="1"/>
  <c r="F24" i="2"/>
  <c r="E31" i="2" l="1"/>
  <c r="F31" i="2" s="1"/>
  <c r="F28" i="2"/>
  <c r="F33" i="2"/>
  <c r="D34" i="2" s="1"/>
  <c r="E37" i="2"/>
  <c r="F37" i="2" s="1"/>
  <c r="E34" i="2" l="1"/>
  <c r="F34" i="2" s="1"/>
  <c r="E38" i="2"/>
  <c r="D38" i="2"/>
  <c r="F38" i="2" l="1"/>
  <c r="E13" i="2"/>
  <c r="D13" i="2"/>
</calcChain>
</file>

<file path=xl/comments1.xml><?xml version="1.0" encoding="utf-8"?>
<comments xmlns="http://schemas.openxmlformats.org/spreadsheetml/2006/main">
  <authors>
    <author>Brian Simmons</author>
  </authors>
  <commentList>
    <comment ref="D16" authorId="0" shapeId="0">
      <text>
        <r>
          <rPr>
            <b/>
            <sz val="9"/>
            <color indexed="81"/>
            <rFont val="Tahoma"/>
            <charset val="1"/>
          </rPr>
          <t>Brian Simmons:</t>
        </r>
        <r>
          <rPr>
            <sz val="9"/>
            <color indexed="81"/>
            <rFont val="Tahoma"/>
            <charset val="1"/>
          </rPr>
          <t xml:space="preserve">
How is Joseph Calculating the pre-season forecast for the Minam?</t>
        </r>
      </text>
    </comment>
    <comment ref="C23" authorId="0" shapeId="0">
      <text>
        <r>
          <rPr>
            <b/>
            <sz val="9"/>
            <color indexed="81"/>
            <rFont val="Tahoma"/>
            <charset val="1"/>
          </rPr>
          <t>Brian Simmons:</t>
        </r>
        <r>
          <rPr>
            <sz val="9"/>
            <color indexed="81"/>
            <rFont val="Tahoma"/>
            <charset val="1"/>
          </rPr>
          <t xml:space="preserve">
Is escapement to weir a historic conversion rate from LGD to trib? </t>
        </r>
      </text>
    </comment>
    <comment ref="C24" authorId="0" shapeId="0">
      <text>
        <r>
          <rPr>
            <b/>
            <sz val="9"/>
            <color indexed="81"/>
            <rFont val="Tahoma"/>
            <charset val="1"/>
          </rPr>
          <t>Brian Simmons:</t>
        </r>
        <r>
          <rPr>
            <sz val="9"/>
            <color indexed="81"/>
            <rFont val="Tahoma"/>
            <charset val="1"/>
          </rPr>
          <t xml:space="preserve">
Where is 0.2 coming from?</t>
        </r>
      </text>
    </comment>
  </commentList>
</comments>
</file>

<file path=xl/sharedStrings.xml><?xml version="1.0" encoding="utf-8"?>
<sst xmlns="http://schemas.openxmlformats.org/spreadsheetml/2006/main" count="63" uniqueCount="56">
  <si>
    <t>Wild</t>
  </si>
  <si>
    <t>Hatchery</t>
  </si>
  <si>
    <t>Total</t>
  </si>
  <si>
    <t>Broodstock (per AOP)</t>
  </si>
  <si>
    <t>Required inputs identified in blue cells</t>
  </si>
  <si>
    <t>Composition of Natural Spawners above Weir</t>
  </si>
  <si>
    <t>Composition of Natural Spawners Downstream of Weir</t>
  </si>
  <si>
    <t>Projections, Allocations and Predicted Results</t>
  </si>
  <si>
    <t>Run Projections and Expected Harvest Impacts</t>
  </si>
  <si>
    <t xml:space="preserve">Spawning Upstream of Weir </t>
  </si>
  <si>
    <t>Broodstock Composition Target</t>
  </si>
  <si>
    <t>Post Sport Harvest Adult Escapement (Wallowa - Lostine)</t>
  </si>
  <si>
    <t>Post Sport Harvest Adult Escapement (Lostine)</t>
  </si>
  <si>
    <t>Fish Expected to Be Handled at Weir</t>
  </si>
  <si>
    <t>Composition of Lostine River Natural Spawners</t>
  </si>
  <si>
    <t>Escapement above Weir Before Weir in Place (0.2)</t>
  </si>
  <si>
    <t>na</t>
  </si>
  <si>
    <t>Allowable Wild Fish Handle @ 10% Hooking Mortality</t>
  </si>
  <si>
    <t xml:space="preserve">Available for  Outplanting and Other Use </t>
  </si>
  <si>
    <t>Post Broodstock Escapement Handled At Weir</t>
  </si>
  <si>
    <t xml:space="preserve">Lostine River Natural Spawners </t>
  </si>
  <si>
    <t>Escapement to Weir (0.85)</t>
  </si>
  <si>
    <t>Resulting maximum hatchery fish sport harvest</t>
  </si>
  <si>
    <t>Post Harvest Allocations and Predicted Results</t>
  </si>
  <si>
    <r>
      <t>¹</t>
    </r>
    <r>
      <rPr>
        <sz val="10"/>
        <rFont val="Times New Roman"/>
        <family val="1"/>
      </rPr>
      <t xml:space="preserve"> Based on the lesser of FMEP calculated hatchery harvest or</t>
    </r>
    <r>
      <rPr>
        <sz val="10"/>
        <color indexed="10"/>
        <rFont val="Times New Roman"/>
        <family val="1"/>
      </rPr>
      <t xml:space="preserve"> </t>
    </r>
  </si>
  <si>
    <t>Target Percentage Passed above weir</t>
  </si>
  <si>
    <t>Allowable Wild Impact Rate (Wallowa - Lostine)</t>
  </si>
  <si>
    <t>Allowable Wild Impact from FMEP (Wallowa-Lostine)</t>
  </si>
  <si>
    <t>Projected composition (Wallowa - Lostine)</t>
  </si>
  <si>
    <t>Spawner Composition - Lostine</t>
  </si>
  <si>
    <t>Spawner Composition - Wallowa/Lostine</t>
  </si>
  <si>
    <t>Projected Minam River Return</t>
  </si>
  <si>
    <t>Allowable Wild Impact Rate (Minam)</t>
  </si>
  <si>
    <t>Allowable Wild Impact from FMEP (Minam)</t>
  </si>
  <si>
    <t>Natural Spawners w/ sport harvest w/o outplants &amp; tribal harvest</t>
  </si>
  <si>
    <t>Natural Spawners w/o sport harvest, outplants and tribal harvest</t>
  </si>
  <si>
    <t>Comp. of Natural Spawners w/o sport harvest, outplants and tribal harvest</t>
  </si>
  <si>
    <t>Comp. of Natural Spawners w/sport harvest w/o outplants &amp; tribal harvest</t>
  </si>
  <si>
    <t>Target Passed Above the Weir</t>
  </si>
  <si>
    <t xml:space="preserve">        hatchery projection minus broodstock and natural spawners </t>
  </si>
  <si>
    <t>Alternative maximum impact &amp; harvest @ 50% of defined surplus</t>
  </si>
  <si>
    <t>Proposed sport harvest impact and harvest (lesser of row 7 and 8)</t>
  </si>
  <si>
    <t>Projected adult run to Lostine</t>
  </si>
  <si>
    <t>Spawning Downstream of Weir (.15 of line 16)</t>
  </si>
  <si>
    <t>Anticipated Treaty Harvest (estimated here as 50% harvest share for our purposes)</t>
  </si>
  <si>
    <t>Projected run to Wallowa - Lostine = 1.41(Lostine)</t>
  </si>
  <si>
    <t>Subbasin/Tributary</t>
  </si>
  <si>
    <t>Adult Forecasts</t>
  </si>
  <si>
    <t>Treaty Harvest</t>
  </si>
  <si>
    <t>Broodstock</t>
  </si>
  <si>
    <t>subtotal</t>
  </si>
  <si>
    <t>Lostine-Wallowa River Subbasin</t>
  </si>
  <si>
    <t>Lostine-Wallowa River</t>
  </si>
  <si>
    <t>*Formulas for estimating available harvest from NPT long-term Imnaha/Grande Ronde harvest plan</t>
  </si>
  <si>
    <t>Preseason update 4/5/24</t>
  </si>
  <si>
    <t>2024 Wallowa-Lostine Spring Chinook Run Projections and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</si>
</sst>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0.0"/>
  </numFmts>
  <fonts count="18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8"/>
      <name val="Arial"/>
      <family val="2"/>
    </font>
    <font>
      <sz val="10"/>
      <color indexed="10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i/>
      <sz val="10"/>
      <color rgb="FFFF0000"/>
      <name val="Times New Roman"/>
      <family val="1"/>
    </font>
    <font>
      <b/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ashed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ashed">
        <color indexed="64"/>
      </left>
      <right style="dashed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02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1" fontId="2" fillId="0" borderId="0" xfId="0" applyNumberFormat="1" applyFont="1"/>
    <xf numFmtId="1" fontId="3" fillId="0" borderId="2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3" fontId="2" fillId="0" borderId="0" xfId="1" applyNumberFormat="1" applyFont="1" applyFill="1" applyBorder="1"/>
    <xf numFmtId="0" fontId="2" fillId="0" borderId="4" xfId="0" applyFont="1" applyBorder="1" applyAlignment="1">
      <alignment horizontal="left"/>
    </xf>
    <xf numFmtId="1" fontId="3" fillId="0" borderId="0" xfId="0" applyNumberFormat="1" applyFont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2" fillId="2" borderId="0" xfId="0" applyFont="1" applyFill="1"/>
    <xf numFmtId="0" fontId="4" fillId="0" borderId="5" xfId="0" applyFont="1" applyBorder="1" applyAlignment="1">
      <alignment horizontal="left"/>
    </xf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7" xfId="0" applyFont="1" applyBorder="1"/>
    <xf numFmtId="0" fontId="2" fillId="0" borderId="8" xfId="0" applyFont="1" applyBorder="1"/>
    <xf numFmtId="0" fontId="3" fillId="0" borderId="9" xfId="0" applyFont="1" applyBorder="1"/>
    <xf numFmtId="1" fontId="2" fillId="0" borderId="9" xfId="0" applyNumberFormat="1" applyFont="1" applyBorder="1"/>
    <xf numFmtId="1" fontId="2" fillId="0" borderId="10" xfId="0" applyNumberFormat="1" applyFont="1" applyBorder="1"/>
    <xf numFmtId="0" fontId="2" fillId="3" borderId="7" xfId="0" applyFont="1" applyFill="1" applyBorder="1"/>
    <xf numFmtId="0" fontId="2" fillId="3" borderId="8" xfId="0" applyFont="1" applyFill="1" applyBorder="1"/>
    <xf numFmtId="0" fontId="6" fillId="0" borderId="0" xfId="0" applyFont="1"/>
    <xf numFmtId="0" fontId="0" fillId="0" borderId="7" xfId="0" applyBorder="1"/>
    <xf numFmtId="0" fontId="4" fillId="0" borderId="7" xfId="0" applyFont="1" applyBorder="1"/>
    <xf numFmtId="0" fontId="2" fillId="0" borderId="4" xfId="0" applyFont="1" applyBorder="1"/>
    <xf numFmtId="0" fontId="2" fillId="0" borderId="13" xfId="0" applyFont="1" applyBorder="1"/>
    <xf numFmtId="0" fontId="2" fillId="0" borderId="8" xfId="0" applyFont="1" applyBorder="1" applyAlignment="1">
      <alignment horizontal="left"/>
    </xf>
    <xf numFmtId="3" fontId="0" fillId="0" borderId="0" xfId="0" applyNumberFormat="1"/>
    <xf numFmtId="1" fontId="0" fillId="0" borderId="0" xfId="0" applyNumberFormat="1"/>
    <xf numFmtId="1" fontId="2" fillId="0" borderId="11" xfId="0" applyNumberFormat="1" applyFont="1" applyBorder="1"/>
    <xf numFmtId="1" fontId="2" fillId="0" borderId="12" xfId="0" applyNumberFormat="1" applyFont="1" applyBorder="1"/>
    <xf numFmtId="0" fontId="2" fillId="4" borderId="0" xfId="0" applyFont="1" applyFill="1" applyAlignment="1">
      <alignment horizontal="left"/>
    </xf>
    <xf numFmtId="0" fontId="2" fillId="4" borderId="7" xfId="0" applyFont="1" applyFill="1" applyBorder="1"/>
    <xf numFmtId="0" fontId="2" fillId="5" borderId="7" xfId="0" applyFont="1" applyFill="1" applyBorder="1" applyAlignment="1">
      <alignment horizontal="left"/>
    </xf>
    <xf numFmtId="0" fontId="11" fillId="0" borderId="11" xfId="0" applyFont="1" applyBorder="1"/>
    <xf numFmtId="0" fontId="12" fillId="6" borderId="14" xfId="0" applyFont="1" applyFill="1" applyBorder="1" applyAlignment="1">
      <alignment horizontal="center" wrapText="1"/>
    </xf>
    <xf numFmtId="0" fontId="12" fillId="6" borderId="14" xfId="0" applyFont="1" applyFill="1" applyBorder="1" applyAlignment="1">
      <alignment horizontal="center"/>
    </xf>
    <xf numFmtId="0" fontId="13" fillId="7" borderId="15" xfId="0" applyFont="1" applyFill="1" applyBorder="1" applyAlignment="1">
      <alignment horizontal="left"/>
    </xf>
    <xf numFmtId="0" fontId="0" fillId="0" borderId="16" xfId="0" applyBorder="1"/>
    <xf numFmtId="0" fontId="0" fillId="0" borderId="3" xfId="0" applyBorder="1"/>
    <xf numFmtId="0" fontId="0" fillId="0" borderId="4" xfId="0" applyBorder="1"/>
    <xf numFmtId="3" fontId="14" fillId="7" borderId="16" xfId="0" applyNumberFormat="1" applyFont="1" applyFill="1" applyBorder="1" applyAlignment="1">
      <alignment horizontal="center"/>
    </xf>
    <xf numFmtId="3" fontId="14" fillId="7" borderId="17" xfId="0" applyNumberFormat="1" applyFont="1" applyFill="1" applyBorder="1" applyAlignment="1">
      <alignment horizontal="center"/>
    </xf>
    <xf numFmtId="0" fontId="0" fillId="0" borderId="18" xfId="0" applyBorder="1"/>
    <xf numFmtId="0" fontId="14" fillId="7" borderId="15" xfId="0" applyFont="1" applyFill="1" applyBorder="1" applyAlignment="1">
      <alignment horizontal="left"/>
    </xf>
    <xf numFmtId="3" fontId="14" fillId="7" borderId="3" xfId="0" applyNumberFormat="1" applyFont="1" applyFill="1" applyBorder="1" applyAlignment="1">
      <alignment horizontal="center"/>
    </xf>
    <xf numFmtId="3" fontId="14" fillId="8" borderId="16" xfId="0" applyNumberFormat="1" applyFont="1" applyFill="1" applyBorder="1" applyAlignment="1">
      <alignment horizontal="center"/>
    </xf>
    <xf numFmtId="3" fontId="14" fillId="8" borderId="17" xfId="0" applyNumberFormat="1" applyFont="1" applyFill="1" applyBorder="1" applyAlignment="1">
      <alignment horizontal="center"/>
    </xf>
    <xf numFmtId="3" fontId="14" fillId="7" borderId="18" xfId="0" quotePrefix="1" applyNumberFormat="1" applyFont="1" applyFill="1" applyBorder="1" applyAlignment="1">
      <alignment horizontal="center"/>
    </xf>
    <xf numFmtId="0" fontId="15" fillId="7" borderId="19" xfId="0" applyFont="1" applyFill="1" applyBorder="1" applyAlignment="1">
      <alignment horizontal="left"/>
    </xf>
    <xf numFmtId="3" fontId="15" fillId="7" borderId="20" xfId="0" applyNumberFormat="1" applyFont="1" applyFill="1" applyBorder="1" applyAlignment="1">
      <alignment horizontal="center"/>
    </xf>
    <xf numFmtId="3" fontId="15" fillId="7" borderId="21" xfId="0" applyNumberFormat="1" applyFont="1" applyFill="1" applyBorder="1" applyAlignment="1">
      <alignment horizontal="center"/>
    </xf>
    <xf numFmtId="3" fontId="15" fillId="7" borderId="22" xfId="0" applyNumberFormat="1" applyFont="1" applyFill="1" applyBorder="1" applyAlignment="1">
      <alignment horizontal="center"/>
    </xf>
    <xf numFmtId="3" fontId="15" fillId="7" borderId="23" xfId="0" quotePrefix="1" applyNumberFormat="1" applyFont="1" applyFill="1" applyBorder="1" applyAlignment="1">
      <alignment horizontal="center"/>
    </xf>
    <xf numFmtId="0" fontId="12" fillId="7" borderId="24" xfId="0" applyFont="1" applyFill="1" applyBorder="1" applyAlignment="1">
      <alignment horizontal="center"/>
    </xf>
    <xf numFmtId="3" fontId="12" fillId="7" borderId="25" xfId="0" applyNumberFormat="1" applyFont="1" applyFill="1" applyBorder="1" applyAlignment="1">
      <alignment horizontal="center"/>
    </xf>
    <xf numFmtId="3" fontId="12" fillId="7" borderId="26" xfId="0" applyNumberFormat="1" applyFont="1" applyFill="1" applyBorder="1" applyAlignment="1">
      <alignment horizontal="center"/>
    </xf>
    <xf numFmtId="3" fontId="12" fillId="7" borderId="27" xfId="0" applyNumberFormat="1" applyFont="1" applyFill="1" applyBorder="1" applyAlignment="1">
      <alignment horizontal="center"/>
    </xf>
    <xf numFmtId="3" fontId="12" fillId="7" borderId="28" xfId="0" applyNumberFormat="1" applyFont="1" applyFill="1" applyBorder="1" applyAlignment="1">
      <alignment horizontal="center"/>
    </xf>
    <xf numFmtId="3" fontId="12" fillId="7" borderId="29" xfId="0" applyNumberFormat="1" applyFont="1" applyFill="1" applyBorder="1" applyAlignment="1">
      <alignment horizontal="center"/>
    </xf>
    <xf numFmtId="0" fontId="0" fillId="8" borderId="0" xfId="0" applyFill="1"/>
    <xf numFmtId="0" fontId="7" fillId="8" borderId="0" xfId="0" applyFont="1" applyFill="1"/>
    <xf numFmtId="3" fontId="2" fillId="2" borderId="0" xfId="1" applyNumberFormat="1" applyFont="1" applyFill="1" applyBorder="1" applyAlignment="1">
      <alignment horizontal="center" vertical="center"/>
    </xf>
    <xf numFmtId="3" fontId="2" fillId="0" borderId="3" xfId="1" applyNumberFormat="1" applyFont="1" applyFill="1" applyBorder="1" applyAlignment="1">
      <alignment horizontal="center" vertical="center"/>
    </xf>
    <xf numFmtId="3" fontId="2" fillId="0" borderId="0" xfId="1" applyNumberFormat="1" applyFont="1" applyFill="1" applyBorder="1" applyAlignment="1">
      <alignment horizontal="center" vertical="center"/>
    </xf>
    <xf numFmtId="164" fontId="2" fillId="0" borderId="0" xfId="187" applyNumberFormat="1" applyFont="1" applyBorder="1" applyAlignment="1">
      <alignment horizontal="center" vertical="center"/>
    </xf>
    <xf numFmtId="164" fontId="2" fillId="0" borderId="3" xfId="1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165" fontId="2" fillId="0" borderId="3" xfId="187" applyNumberFormat="1" applyFont="1" applyFill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" fontId="2" fillId="0" borderId="0" xfId="187" applyNumberFormat="1" applyFont="1" applyAlignment="1">
      <alignment horizontal="center" vertical="center"/>
    </xf>
    <xf numFmtId="1" fontId="2" fillId="4" borderId="0" xfId="187" applyNumberFormat="1" applyFont="1" applyFill="1" applyAlignment="1" applyProtection="1">
      <alignment horizontal="center" vertical="center"/>
      <protection locked="0"/>
    </xf>
    <xf numFmtId="3" fontId="2" fillId="4" borderId="0" xfId="1" applyNumberFormat="1" applyFont="1" applyFill="1" applyBorder="1" applyAlignment="1">
      <alignment horizontal="center" vertical="center"/>
    </xf>
    <xf numFmtId="3" fontId="2" fillId="4" borderId="3" xfId="1" applyNumberFormat="1" applyFont="1" applyFill="1" applyBorder="1" applyAlignment="1">
      <alignment horizontal="center" vertical="center"/>
    </xf>
    <xf numFmtId="3" fontId="2" fillId="5" borderId="0" xfId="1" applyNumberFormat="1" applyFont="1" applyFill="1" applyBorder="1" applyAlignment="1">
      <alignment horizontal="center" vertical="center"/>
    </xf>
    <xf numFmtId="3" fontId="2" fillId="5" borderId="3" xfId="1" applyNumberFormat="1" applyFont="1" applyFill="1" applyBorder="1" applyAlignment="1">
      <alignment horizontal="center" vertical="center"/>
    </xf>
    <xf numFmtId="164" fontId="2" fillId="0" borderId="0" xfId="187" applyNumberFormat="1" applyFont="1" applyFill="1" applyBorder="1" applyAlignment="1">
      <alignment horizontal="center" vertical="center"/>
    </xf>
    <xf numFmtId="164" fontId="2" fillId="0" borderId="3" xfId="187" applyNumberFormat="1" applyFont="1" applyFill="1" applyBorder="1" applyAlignment="1">
      <alignment horizontal="center" vertical="center"/>
    </xf>
    <xf numFmtId="9" fontId="2" fillId="4" borderId="0" xfId="1" applyNumberFormat="1" applyFont="1" applyFill="1" applyBorder="1" applyAlignment="1">
      <alignment horizontal="center" vertical="center"/>
    </xf>
    <xf numFmtId="9" fontId="2" fillId="4" borderId="3" xfId="1" applyNumberFormat="1" applyFont="1" applyFill="1" applyBorder="1" applyAlignment="1">
      <alignment horizontal="center" vertical="center"/>
    </xf>
    <xf numFmtId="3" fontId="2" fillId="3" borderId="0" xfId="1" applyNumberFormat="1" applyFont="1" applyFill="1" applyBorder="1" applyAlignment="1">
      <alignment horizontal="center" vertical="center"/>
    </xf>
    <xf numFmtId="3" fontId="2" fillId="2" borderId="3" xfId="1" applyNumberFormat="1" applyFont="1" applyFill="1" applyBorder="1" applyAlignment="1">
      <alignment horizontal="center" vertical="center"/>
    </xf>
    <xf numFmtId="9" fontId="2" fillId="4" borderId="0" xfId="187" applyFont="1" applyFill="1" applyBorder="1" applyAlignment="1">
      <alignment horizontal="center" vertical="center"/>
    </xf>
    <xf numFmtId="9" fontId="2" fillId="4" borderId="3" xfId="187" applyFont="1" applyFill="1" applyBorder="1" applyAlignment="1">
      <alignment horizontal="center" vertical="center"/>
    </xf>
    <xf numFmtId="3" fontId="2" fillId="0" borderId="11" xfId="1" applyNumberFormat="1" applyFont="1" applyFill="1" applyBorder="1" applyAlignment="1">
      <alignment horizontal="center" vertical="center"/>
    </xf>
    <xf numFmtId="3" fontId="2" fillId="3" borderId="11" xfId="1" applyNumberFormat="1" applyFont="1" applyFill="1" applyBorder="1" applyAlignment="1">
      <alignment horizontal="center" vertical="center"/>
    </xf>
    <xf numFmtId="3" fontId="2" fillId="0" borderId="12" xfId="1" applyNumberFormat="1" applyFont="1" applyFill="1" applyBorder="1" applyAlignment="1">
      <alignment horizontal="center" vertical="center"/>
    </xf>
    <xf numFmtId="9" fontId="2" fillId="3" borderId="0" xfId="1" applyNumberFormat="1" applyFont="1" applyFill="1" applyBorder="1" applyAlignment="1">
      <alignment horizontal="center" vertical="center"/>
    </xf>
    <xf numFmtId="9" fontId="2" fillId="3" borderId="3" xfId="1" applyNumberFormat="1" applyFont="1" applyFill="1" applyBorder="1" applyAlignment="1">
      <alignment horizontal="center" vertical="center"/>
    </xf>
    <xf numFmtId="9" fontId="2" fillId="3" borderId="0" xfId="0" applyNumberFormat="1" applyFont="1" applyFill="1" applyAlignment="1">
      <alignment horizontal="center" vertical="center"/>
    </xf>
    <xf numFmtId="9" fontId="2" fillId="3" borderId="3" xfId="0" applyNumberFormat="1" applyFont="1" applyFill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1" fontId="2" fillId="0" borderId="0" xfId="187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9" fontId="2" fillId="3" borderId="11" xfId="0" applyNumberFormat="1" applyFont="1" applyFill="1" applyBorder="1" applyAlignment="1">
      <alignment horizontal="center" vertical="center"/>
    </xf>
    <xf numFmtId="9" fontId="2" fillId="3" borderId="12" xfId="0" applyNumberFormat="1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wrapText="1"/>
    </xf>
  </cellXfs>
  <cellStyles count="202">
    <cellStyle name="Comma" xfId="1" builtinId="3"/>
    <cellStyle name="Comma 2" xfId="2"/>
    <cellStyle name="Comma 2 2" xfId="3"/>
    <cellStyle name="Comma 3" xfId="4"/>
    <cellStyle name="Comma 3 2" xfId="5"/>
    <cellStyle name="Comma 3 2 2" xfId="6"/>
    <cellStyle name="Comma 4" xfId="7"/>
    <cellStyle name="Comma 4 2" xfId="8"/>
    <cellStyle name="Comma 4 2 2" xfId="9"/>
    <cellStyle name="Comma 4 3" xfId="10"/>
    <cellStyle name="Comma 5" xfId="11"/>
    <cellStyle name="Comma 5 2" xfId="12"/>
    <cellStyle name="Comma 6" xfId="13"/>
    <cellStyle name="Comma 7" xfId="14"/>
    <cellStyle name="Comma 7 2" xfId="15"/>
    <cellStyle name="Comma 7 2 2" xfId="16"/>
    <cellStyle name="Comma 7 3" xfId="17"/>
    <cellStyle name="Normal" xfId="0" builtinId="0"/>
    <cellStyle name="Normal 10" xfId="18"/>
    <cellStyle name="Normal 10 2" xfId="19"/>
    <cellStyle name="Normal 11" xfId="20"/>
    <cellStyle name="Normal 11 2" xfId="21"/>
    <cellStyle name="Normal 12" xfId="22"/>
    <cellStyle name="Normal 12 2" xfId="23"/>
    <cellStyle name="Normal 12 2 2" xfId="24"/>
    <cellStyle name="Normal 12 3" xfId="25"/>
    <cellStyle name="Normal 13" xfId="26"/>
    <cellStyle name="Normal 13 2" xfId="27"/>
    <cellStyle name="Normal 13 2 2" xfId="28"/>
    <cellStyle name="Normal 13 3" xfId="29"/>
    <cellStyle name="Normal 14" xfId="30"/>
    <cellStyle name="Normal 14 2" xfId="31"/>
    <cellStyle name="Normal 14 2 2" xfId="32"/>
    <cellStyle name="Normal 14 3" xfId="33"/>
    <cellStyle name="Normal 15" xfId="34"/>
    <cellStyle name="Normal 16" xfId="35"/>
    <cellStyle name="Normal 16 2" xfId="36"/>
    <cellStyle name="Normal 17" xfId="37"/>
    <cellStyle name="Normal 17 2" xfId="38"/>
    <cellStyle name="Normal 18" xfId="39"/>
    <cellStyle name="Normal 18 2" xfId="40"/>
    <cellStyle name="Normal 19" xfId="41"/>
    <cellStyle name="Normal 19 2" xfId="42"/>
    <cellStyle name="Normal 2" xfId="43"/>
    <cellStyle name="Normal 2 10" xfId="44"/>
    <cellStyle name="Normal 2 10 2" xfId="45"/>
    <cellStyle name="Normal 2 11" xfId="46"/>
    <cellStyle name="Normal 2 11 2" xfId="47"/>
    <cellStyle name="Normal 2 12" xfId="48"/>
    <cellStyle name="Normal 2 12 2" xfId="49"/>
    <cellStyle name="Normal 2 13" xfId="50"/>
    <cellStyle name="Normal 2 13 2" xfId="51"/>
    <cellStyle name="Normal 2 14" xfId="52"/>
    <cellStyle name="Normal 2 14 2" xfId="53"/>
    <cellStyle name="Normal 2 15" xfId="54"/>
    <cellStyle name="Normal 2 15 2" xfId="55"/>
    <cellStyle name="Normal 2 16" xfId="56"/>
    <cellStyle name="Normal 2 16 2" xfId="57"/>
    <cellStyle name="Normal 2 17" xfId="58"/>
    <cellStyle name="Normal 2 17 2" xfId="59"/>
    <cellStyle name="Normal 2 18" xfId="60"/>
    <cellStyle name="Normal 2 18 2" xfId="61"/>
    <cellStyle name="Normal 2 19" xfId="62"/>
    <cellStyle name="Normal 2 19 2" xfId="63"/>
    <cellStyle name="Normal 2 2" xfId="64"/>
    <cellStyle name="Normal 2 2 2" xfId="65"/>
    <cellStyle name="Normal 2 2 2 2" xfId="66"/>
    <cellStyle name="Normal 2 2 3" xfId="67"/>
    <cellStyle name="Normal 2 2 4" xfId="68"/>
    <cellStyle name="Normal 2 2_Forecast Summary" xfId="69"/>
    <cellStyle name="Normal 2 20" xfId="70"/>
    <cellStyle name="Normal 2 20 2" xfId="71"/>
    <cellStyle name="Normal 2 21" xfId="72"/>
    <cellStyle name="Normal 2 21 2" xfId="73"/>
    <cellStyle name="Normal 2 22" xfId="74"/>
    <cellStyle name="Normal 2 3" xfId="75"/>
    <cellStyle name="Normal 2 3 2" xfId="76"/>
    <cellStyle name="Normal 2 3 2 2" xfId="77"/>
    <cellStyle name="Normal 2 3 3" xfId="78"/>
    <cellStyle name="Normal 2 3_Forecast Summary" xfId="79"/>
    <cellStyle name="Normal 2 4" xfId="80"/>
    <cellStyle name="Normal 2 4 2" xfId="81"/>
    <cellStyle name="Normal 2 5" xfId="82"/>
    <cellStyle name="Normal 2 5 2" xfId="83"/>
    <cellStyle name="Normal 2 6" xfId="84"/>
    <cellStyle name="Normal 2 6 2" xfId="85"/>
    <cellStyle name="Normal 2 7" xfId="86"/>
    <cellStyle name="Normal 2 7 2" xfId="87"/>
    <cellStyle name="Normal 2 8" xfId="88"/>
    <cellStyle name="Normal 2 8 2" xfId="89"/>
    <cellStyle name="Normal 2 9" xfId="90"/>
    <cellStyle name="Normal 2 9 2" xfId="91"/>
    <cellStyle name="Normal 2_Forecast Summary" xfId="92"/>
    <cellStyle name="Normal 20" xfId="93"/>
    <cellStyle name="Normal 21" xfId="94"/>
    <cellStyle name="Normal 22" xfId="95"/>
    <cellStyle name="Normal 23" xfId="96"/>
    <cellStyle name="Normal 23 2" xfId="97"/>
    <cellStyle name="Normal 23 2 2" xfId="98"/>
    <cellStyle name="Normal 23 3" xfId="99"/>
    <cellStyle name="Normal 24" xfId="100"/>
    <cellStyle name="Normal 24 2" xfId="101"/>
    <cellStyle name="Normal 25" xfId="102"/>
    <cellStyle name="Normal 25 2" xfId="103"/>
    <cellStyle name="Normal 26" xfId="104"/>
    <cellStyle name="Normal 26 2" xfId="105"/>
    <cellStyle name="Normal 27" xfId="106"/>
    <cellStyle name="Normal 27 2" xfId="107"/>
    <cellStyle name="Normal 28" xfId="108"/>
    <cellStyle name="Normal 29" xfId="109"/>
    <cellStyle name="Normal 3" xfId="110"/>
    <cellStyle name="Normal 3 10" xfId="111"/>
    <cellStyle name="Normal 3 11" xfId="112"/>
    <cellStyle name="Normal 3 12" xfId="113"/>
    <cellStyle name="Normal 3 13" xfId="114"/>
    <cellStyle name="Normal 3 14" xfId="115"/>
    <cellStyle name="Normal 3 14 2" xfId="116"/>
    <cellStyle name="Normal 3 15" xfId="117"/>
    <cellStyle name="Normal 3 2" xfId="118"/>
    <cellStyle name="Normal 3 2 2" xfId="119"/>
    <cellStyle name="Normal 3 2 3" xfId="120"/>
    <cellStyle name="Normal 3 2_Forecast Summary" xfId="121"/>
    <cellStyle name="Normal 3 3" xfId="122"/>
    <cellStyle name="Normal 3 4" xfId="123"/>
    <cellStyle name="Normal 3 5" xfId="124"/>
    <cellStyle name="Normal 3 6" xfId="125"/>
    <cellStyle name="Normal 3 7" xfId="126"/>
    <cellStyle name="Normal 3 8" xfId="127"/>
    <cellStyle name="Normal 3 9" xfId="128"/>
    <cellStyle name="Normal 30" xfId="129"/>
    <cellStyle name="Normal 31" xfId="130"/>
    <cellStyle name="Normal 32" xfId="131"/>
    <cellStyle name="Normal 4" xfId="132"/>
    <cellStyle name="Normal 4 10" xfId="133"/>
    <cellStyle name="Normal 4 11" xfId="134"/>
    <cellStyle name="Normal 4 12" xfId="135"/>
    <cellStyle name="Normal 4 13" xfId="136"/>
    <cellStyle name="Normal 4 14" xfId="137"/>
    <cellStyle name="Normal 4 14 2" xfId="138"/>
    <cellStyle name="Normal 4 15" xfId="139"/>
    <cellStyle name="Normal 4 2" xfId="140"/>
    <cellStyle name="Normal 4 3" xfId="141"/>
    <cellStyle name="Normal 4 4" xfId="142"/>
    <cellStyle name="Normal 4 5" xfId="143"/>
    <cellStyle name="Normal 4 6" xfId="144"/>
    <cellStyle name="Normal 4 7" xfId="145"/>
    <cellStyle name="Normal 4 8" xfId="146"/>
    <cellStyle name="Normal 4 9" xfId="147"/>
    <cellStyle name="Normal 5" xfId="148"/>
    <cellStyle name="Normal 5 10" xfId="149"/>
    <cellStyle name="Normal 5 11" xfId="150"/>
    <cellStyle name="Normal 5 12" xfId="151"/>
    <cellStyle name="Normal 5 13" xfId="152"/>
    <cellStyle name="Normal 5 14" xfId="153"/>
    <cellStyle name="Normal 5 14 2" xfId="154"/>
    <cellStyle name="Normal 5 15" xfId="155"/>
    <cellStyle name="Normal 5 2" xfId="156"/>
    <cellStyle name="Normal 5 3" xfId="157"/>
    <cellStyle name="Normal 5 4" xfId="158"/>
    <cellStyle name="Normal 5 5" xfId="159"/>
    <cellStyle name="Normal 5 6" xfId="160"/>
    <cellStyle name="Normal 5 7" xfId="161"/>
    <cellStyle name="Normal 5 8" xfId="162"/>
    <cellStyle name="Normal 5 9" xfId="163"/>
    <cellStyle name="Normal 6" xfId="164"/>
    <cellStyle name="Normal 6 10" xfId="165"/>
    <cellStyle name="Normal 6 11" xfId="166"/>
    <cellStyle name="Normal 6 12" xfId="167"/>
    <cellStyle name="Normal 6 13" xfId="168"/>
    <cellStyle name="Normal 6 14" xfId="169"/>
    <cellStyle name="Normal 6 14 2" xfId="170"/>
    <cellStyle name="Normal 6 15" xfId="171"/>
    <cellStyle name="Normal 6 15 2" xfId="172"/>
    <cellStyle name="Normal 6 2" xfId="173"/>
    <cellStyle name="Normal 6 3" xfId="174"/>
    <cellStyle name="Normal 6 4" xfId="175"/>
    <cellStyle name="Normal 6 5" xfId="176"/>
    <cellStyle name="Normal 6 6" xfId="177"/>
    <cellStyle name="Normal 6 7" xfId="178"/>
    <cellStyle name="Normal 6 8" xfId="179"/>
    <cellStyle name="Normal 6 9" xfId="180"/>
    <cellStyle name="Normal 6_Forecast Summary" xfId="181"/>
    <cellStyle name="Normal 7" xfId="182"/>
    <cellStyle name="Normal 7 2" xfId="183"/>
    <cellStyle name="Normal 8" xfId="184"/>
    <cellStyle name="Normal 8 2" xfId="185"/>
    <cellStyle name="Normal 9" xfId="186"/>
    <cellStyle name="Percent" xfId="187" builtinId="5"/>
    <cellStyle name="Percent 2" xfId="188"/>
    <cellStyle name="Percent 2 2" xfId="189"/>
    <cellStyle name="Percent 3" xfId="190"/>
    <cellStyle name="Percent 3 2" xfId="191"/>
    <cellStyle name="Percent 3 2 2" xfId="192"/>
    <cellStyle name="Percent 3 3" xfId="193"/>
    <cellStyle name="Percent 4" xfId="194"/>
    <cellStyle name="Percent 4 2" xfId="195"/>
    <cellStyle name="Percent 4 2 2" xfId="196"/>
    <cellStyle name="Percent 4 3" xfId="197"/>
    <cellStyle name="Percent 5" xfId="198"/>
    <cellStyle name="Percent 6" xfId="199"/>
    <cellStyle name="Percent 7" xfId="200"/>
    <cellStyle name="Percent 8" xfId="2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50"/>
  <sheetViews>
    <sheetView zoomScale="115" zoomScaleNormal="115" workbookViewId="0">
      <selection activeCell="C25" sqref="C25"/>
    </sheetView>
  </sheetViews>
  <sheetFormatPr defaultRowHeight="13.2" x14ac:dyDescent="0.25"/>
  <cols>
    <col min="1" max="2" width="3" customWidth="1"/>
    <col min="3" max="3" width="63.109375" customWidth="1"/>
    <col min="4" max="6" width="8.33203125" customWidth="1"/>
    <col min="10" max="10" width="9.5546875" bestFit="1" customWidth="1"/>
  </cols>
  <sheetData>
    <row r="2" spans="2:10" x14ac:dyDescent="0.25">
      <c r="B2" s="12"/>
      <c r="C2" s="17" t="s">
        <v>55</v>
      </c>
      <c r="D2" s="18"/>
      <c r="E2" s="18"/>
      <c r="F2" s="19"/>
      <c r="G2" s="1"/>
    </row>
    <row r="3" spans="2:10" ht="13.8" x14ac:dyDescent="0.3">
      <c r="B3" s="16"/>
      <c r="C3" s="35" t="s">
        <v>54</v>
      </c>
      <c r="D3" s="30"/>
      <c r="E3" s="30"/>
      <c r="F3" s="31"/>
      <c r="G3" s="1"/>
    </row>
    <row r="4" spans="2:10" ht="13.8" thickBot="1" x14ac:dyDescent="0.3">
      <c r="B4" s="26"/>
      <c r="C4" s="2" t="s">
        <v>7</v>
      </c>
      <c r="D4" s="4" t="s">
        <v>0</v>
      </c>
      <c r="E4" s="4" t="s">
        <v>1</v>
      </c>
      <c r="F4" s="5" t="s">
        <v>2</v>
      </c>
      <c r="G4" s="1"/>
    </row>
    <row r="5" spans="2:10" x14ac:dyDescent="0.25">
      <c r="B5" s="25"/>
      <c r="C5" s="11" t="s">
        <v>8</v>
      </c>
      <c r="D5" s="8"/>
      <c r="E5" s="8"/>
      <c r="F5" s="9"/>
      <c r="G5" s="1"/>
      <c r="I5" s="6"/>
      <c r="J5" s="29"/>
    </row>
    <row r="6" spans="2:10" x14ac:dyDescent="0.25">
      <c r="B6" s="7">
        <v>1</v>
      </c>
      <c r="C6" s="1" t="s">
        <v>42</v>
      </c>
      <c r="D6" s="63">
        <v>326</v>
      </c>
      <c r="E6" s="63">
        <v>576</v>
      </c>
      <c r="F6" s="64">
        <f>SUM(D6:E6)</f>
        <v>902</v>
      </c>
      <c r="G6" s="1"/>
    </row>
    <row r="7" spans="2:10" x14ac:dyDescent="0.25">
      <c r="B7" s="7">
        <v>2</v>
      </c>
      <c r="C7" s="1" t="s">
        <v>45</v>
      </c>
      <c r="D7" s="65">
        <f>ROUND(D6*1.4,0)</f>
        <v>456</v>
      </c>
      <c r="E7" s="65">
        <f>E6</f>
        <v>576</v>
      </c>
      <c r="F7" s="64">
        <f>SUM(D7:E7)</f>
        <v>1032</v>
      </c>
      <c r="G7" s="1"/>
      <c r="I7" s="28"/>
      <c r="J7" s="29"/>
    </row>
    <row r="8" spans="2:10" x14ac:dyDescent="0.25">
      <c r="B8" s="7">
        <v>3</v>
      </c>
      <c r="C8" s="1" t="s">
        <v>28</v>
      </c>
      <c r="D8" s="66">
        <f>D7/F7</f>
        <v>0.44186046511627908</v>
      </c>
      <c r="E8" s="66">
        <f>E7/F7</f>
        <v>0.55813953488372092</v>
      </c>
      <c r="F8" s="67">
        <f>SUM(D8:E8)</f>
        <v>1</v>
      </c>
      <c r="G8" s="1"/>
    </row>
    <row r="9" spans="2:10" x14ac:dyDescent="0.25">
      <c r="B9" s="13">
        <v>4</v>
      </c>
      <c r="C9" s="15" t="s">
        <v>27</v>
      </c>
      <c r="D9" s="68">
        <f>IF((ROUND((D7-300)*0.03,0))&lt;0,0,(ROUND((D7-300)*0.03,0)))</f>
        <v>5</v>
      </c>
      <c r="E9" s="69"/>
      <c r="F9" s="70"/>
      <c r="G9" s="1"/>
    </row>
    <row r="10" spans="2:10" x14ac:dyDescent="0.25">
      <c r="B10" s="7">
        <v>5</v>
      </c>
      <c r="C10" s="1" t="s">
        <v>26</v>
      </c>
      <c r="D10" s="71">
        <f>D9/D7</f>
        <v>1.0964912280701754E-2</v>
      </c>
      <c r="E10" s="69"/>
      <c r="F10" s="70"/>
      <c r="G10" s="1"/>
    </row>
    <row r="11" spans="2:10" x14ac:dyDescent="0.25">
      <c r="B11" s="7">
        <v>6</v>
      </c>
      <c r="C11" s="15" t="s">
        <v>17</v>
      </c>
      <c r="D11" s="65">
        <f>D9*10</f>
        <v>50</v>
      </c>
      <c r="E11" s="65"/>
      <c r="F11" s="64"/>
      <c r="G11" s="1"/>
    </row>
    <row r="12" spans="2:10" x14ac:dyDescent="0.25">
      <c r="B12" s="7">
        <v>7</v>
      </c>
      <c r="C12" s="14" t="s">
        <v>22</v>
      </c>
      <c r="D12" s="65"/>
      <c r="E12" s="65">
        <f>IF((ROUND(IF((E6*D11/D7)&gt;E7,E7,(E6*D11/D7)),0))&lt;0,0,(ROUND(IF((E6*D11/D7)&gt;E7,E7,(E6*D11/D7)),0)))</f>
        <v>63</v>
      </c>
      <c r="F12" s="64"/>
      <c r="G12" s="1"/>
    </row>
    <row r="13" spans="2:10" x14ac:dyDescent="0.25">
      <c r="B13" s="7">
        <v>8</v>
      </c>
      <c r="C13" s="14" t="s">
        <v>40</v>
      </c>
      <c r="D13" s="72">
        <f ca="1">IF(D13&lt;0,0,($E$13/$E$6*0.1)*D7)</f>
        <v>0</v>
      </c>
      <c r="E13" s="68">
        <f ca="1">IF(E13&lt;0,0,((E7-((E30+E27)/0.85/0.8))*0.5))</f>
        <v>0</v>
      </c>
      <c r="F13" s="64"/>
      <c r="G13" s="1"/>
    </row>
    <row r="14" spans="2:10" x14ac:dyDescent="0.25">
      <c r="B14" s="7">
        <v>9</v>
      </c>
      <c r="C14" s="32" t="s">
        <v>41</v>
      </c>
      <c r="D14" s="73">
        <f>D9</f>
        <v>5</v>
      </c>
      <c r="E14" s="74">
        <f>(E12)</f>
        <v>63</v>
      </c>
      <c r="F14" s="75">
        <f>SUM(D14:E14)</f>
        <v>68</v>
      </c>
      <c r="G14" s="1"/>
    </row>
    <row r="15" spans="2:10" x14ac:dyDescent="0.25">
      <c r="B15" s="13">
        <v>10</v>
      </c>
      <c r="C15" s="34" t="s">
        <v>44</v>
      </c>
      <c r="D15" s="76">
        <f>IF(D7&lt;300,D7*0.01,IF(D7&lt;1000,3+((D7-300)*0.08),IF(D7&lt;1500,59+((D7-1000)*0.16),IF(D7&lt;2000,139+((D7-1500)*0.19),IF(D7&gt;1999,234+((D7-1999)*0.28),0)))))</f>
        <v>15.48</v>
      </c>
      <c r="E15" s="76">
        <f>F14-D15</f>
        <v>52.519999999999996</v>
      </c>
      <c r="F15" s="77">
        <f>SUM(D15:E15)</f>
        <v>68</v>
      </c>
      <c r="G15" s="1"/>
    </row>
    <row r="16" spans="2:10" x14ac:dyDescent="0.25">
      <c r="B16" s="13">
        <v>11</v>
      </c>
      <c r="C16" s="13" t="s">
        <v>31</v>
      </c>
      <c r="D16" s="74">
        <v>366</v>
      </c>
      <c r="E16" s="65">
        <v>0</v>
      </c>
      <c r="F16" s="64">
        <f>SUM(D16:E16)</f>
        <v>366</v>
      </c>
      <c r="G16" s="1"/>
    </row>
    <row r="17" spans="2:8" x14ac:dyDescent="0.25">
      <c r="B17" s="13">
        <v>12</v>
      </c>
      <c r="C17" s="15" t="s">
        <v>33</v>
      </c>
      <c r="D17" s="68">
        <f>ROUND(D16*0.01,0)</f>
        <v>4</v>
      </c>
      <c r="E17" s="65"/>
      <c r="F17" s="64"/>
      <c r="G17" s="1"/>
    </row>
    <row r="18" spans="2:8" x14ac:dyDescent="0.25">
      <c r="B18" s="13">
        <v>13</v>
      </c>
      <c r="C18" s="15" t="s">
        <v>32</v>
      </c>
      <c r="D18" s="71">
        <f>D17/D16</f>
        <v>1.092896174863388E-2</v>
      </c>
      <c r="E18" s="65"/>
      <c r="F18" s="64"/>
      <c r="G18" s="1"/>
    </row>
    <row r="19" spans="2:8" x14ac:dyDescent="0.25">
      <c r="B19" s="13">
        <v>14</v>
      </c>
      <c r="C19" s="15" t="s">
        <v>17</v>
      </c>
      <c r="D19" s="65">
        <f>IF(D17*10&gt;D16,D16,D17*10)</f>
        <v>40</v>
      </c>
      <c r="E19" s="65"/>
      <c r="F19" s="64"/>
      <c r="G19" s="1"/>
    </row>
    <row r="20" spans="2:8" x14ac:dyDescent="0.25">
      <c r="B20" s="23"/>
      <c r="C20" s="24" t="s">
        <v>23</v>
      </c>
      <c r="D20" s="78"/>
      <c r="E20" s="78"/>
      <c r="F20" s="79"/>
      <c r="G20" s="1"/>
    </row>
    <row r="21" spans="2:8" x14ac:dyDescent="0.25">
      <c r="B21" s="7">
        <v>15</v>
      </c>
      <c r="C21" s="1" t="s">
        <v>11</v>
      </c>
      <c r="D21" s="65">
        <f>ROUND(D7-(D14+D15),0)</f>
        <v>436</v>
      </c>
      <c r="E21" s="65">
        <f>ROUND(E6-(E14+E15),0)</f>
        <v>460</v>
      </c>
      <c r="F21" s="64">
        <f t="shared" ref="F21:F26" si="0">SUM(D21:E21)</f>
        <v>896</v>
      </c>
      <c r="G21" s="1"/>
    </row>
    <row r="22" spans="2:8" x14ac:dyDescent="0.25">
      <c r="B22" s="7">
        <v>16</v>
      </c>
      <c r="C22" s="1" t="s">
        <v>12</v>
      </c>
      <c r="D22" s="65">
        <f>ROUND(D6-(D14/1.5)-D15,0)</f>
        <v>307</v>
      </c>
      <c r="E22" s="65">
        <f>E6-(E14+E15)</f>
        <v>460.48</v>
      </c>
      <c r="F22" s="64">
        <f t="shared" si="0"/>
        <v>767.48</v>
      </c>
      <c r="G22" s="1"/>
      <c r="H22" s="6"/>
    </row>
    <row r="23" spans="2:8" x14ac:dyDescent="0.25">
      <c r="B23" s="7">
        <v>17</v>
      </c>
      <c r="C23" s="1" t="s">
        <v>21</v>
      </c>
      <c r="D23" s="65">
        <f>ROUND(0.85*D22,0)</f>
        <v>261</v>
      </c>
      <c r="E23" s="65">
        <f>ROUND(0.85*E22,0)</f>
        <v>391</v>
      </c>
      <c r="F23" s="64">
        <f t="shared" si="0"/>
        <v>652</v>
      </c>
      <c r="G23" s="1"/>
    </row>
    <row r="24" spans="2:8" x14ac:dyDescent="0.25">
      <c r="B24" s="7">
        <v>18</v>
      </c>
      <c r="C24" s="1" t="s">
        <v>15</v>
      </c>
      <c r="D24" s="65">
        <f>ROUND(0.2*D23,0)</f>
        <v>52</v>
      </c>
      <c r="E24" s="65">
        <f>ROUND(0.2*E23,0)</f>
        <v>78</v>
      </c>
      <c r="F24" s="64">
        <f t="shared" si="0"/>
        <v>130</v>
      </c>
      <c r="G24" s="1"/>
    </row>
    <row r="25" spans="2:8" x14ac:dyDescent="0.25">
      <c r="B25" s="7">
        <v>19</v>
      </c>
      <c r="C25" s="1" t="s">
        <v>13</v>
      </c>
      <c r="D25" s="65">
        <f>ROUND(0.8*D23,0)</f>
        <v>209</v>
      </c>
      <c r="E25" s="65">
        <f>ROUND(0.8*E23,0)</f>
        <v>313</v>
      </c>
      <c r="F25" s="64">
        <f t="shared" si="0"/>
        <v>522</v>
      </c>
      <c r="G25" s="1"/>
    </row>
    <row r="26" spans="2:8" x14ac:dyDescent="0.25">
      <c r="B26" s="7">
        <v>20</v>
      </c>
      <c r="C26" s="33" t="s">
        <v>10</v>
      </c>
      <c r="D26" s="80">
        <v>0.3</v>
      </c>
      <c r="E26" s="80">
        <v>0.7</v>
      </c>
      <c r="F26" s="81">
        <f t="shared" si="0"/>
        <v>1</v>
      </c>
      <c r="G26" s="1"/>
    </row>
    <row r="27" spans="2:8" x14ac:dyDescent="0.25">
      <c r="B27" s="13">
        <v>21</v>
      </c>
      <c r="C27" s="15" t="s">
        <v>3</v>
      </c>
      <c r="D27" s="82">
        <f>F27*D26</f>
        <v>49.199999999999996</v>
      </c>
      <c r="E27" s="82">
        <f>F27*E26</f>
        <v>114.8</v>
      </c>
      <c r="F27" s="83">
        <v>164</v>
      </c>
      <c r="G27" s="6"/>
    </row>
    <row r="28" spans="2:8" x14ac:dyDescent="0.25">
      <c r="B28" s="13">
        <v>22</v>
      </c>
      <c r="C28" s="15" t="s">
        <v>19</v>
      </c>
      <c r="D28" s="65">
        <f>ROUND(D25-D27,0)</f>
        <v>160</v>
      </c>
      <c r="E28" s="65">
        <f>E23-E24-E27</f>
        <v>198.2</v>
      </c>
      <c r="F28" s="64">
        <f>SUM(D28:E28)</f>
        <v>358.2</v>
      </c>
      <c r="G28" s="6"/>
    </row>
    <row r="29" spans="2:8" x14ac:dyDescent="0.25">
      <c r="B29" s="13">
        <v>23</v>
      </c>
      <c r="C29" s="33" t="s">
        <v>25</v>
      </c>
      <c r="D29" s="80">
        <v>0.5</v>
      </c>
      <c r="E29" s="84">
        <v>0.5</v>
      </c>
      <c r="F29" s="85"/>
      <c r="G29" s="1"/>
    </row>
    <row r="30" spans="2:8" x14ac:dyDescent="0.25">
      <c r="B30" s="13">
        <v>24</v>
      </c>
      <c r="C30" s="15" t="s">
        <v>38</v>
      </c>
      <c r="D30" s="82">
        <f>D28</f>
        <v>160</v>
      </c>
      <c r="E30" s="82">
        <v>134</v>
      </c>
      <c r="F30" s="64">
        <f>SUM(D30:E30)</f>
        <v>294</v>
      </c>
      <c r="G30" s="1"/>
    </row>
    <row r="31" spans="2:8" x14ac:dyDescent="0.25">
      <c r="B31" s="13">
        <v>25</v>
      </c>
      <c r="C31" s="16" t="s">
        <v>18</v>
      </c>
      <c r="D31" s="86" t="s">
        <v>16</v>
      </c>
      <c r="E31" s="87">
        <f>IF((E28-E30)&lt;1,0,E28-E30)</f>
        <v>64.199999999999989</v>
      </c>
      <c r="F31" s="88">
        <f t="shared" ref="F31:F38" si="1">SUM(D31:E31)</f>
        <v>64.199999999999989</v>
      </c>
      <c r="G31" s="1"/>
    </row>
    <row r="32" spans="2:8" x14ac:dyDescent="0.25">
      <c r="B32" s="13"/>
      <c r="C32" s="24" t="s">
        <v>29</v>
      </c>
      <c r="D32" s="65"/>
      <c r="E32" s="65"/>
      <c r="F32" s="64"/>
      <c r="G32" s="1"/>
    </row>
    <row r="33" spans="2:7" x14ac:dyDescent="0.25">
      <c r="B33" s="13">
        <v>26</v>
      </c>
      <c r="C33" s="15" t="s">
        <v>9</v>
      </c>
      <c r="D33" s="65">
        <f>D24+D28</f>
        <v>212</v>
      </c>
      <c r="E33" s="65">
        <f>E24+E30</f>
        <v>212</v>
      </c>
      <c r="F33" s="64">
        <f>ROUND(SUM(D33:E33),0)</f>
        <v>424</v>
      </c>
      <c r="G33" s="1"/>
    </row>
    <row r="34" spans="2:7" x14ac:dyDescent="0.25">
      <c r="B34" s="13">
        <v>27</v>
      </c>
      <c r="C34" s="20" t="s">
        <v>5</v>
      </c>
      <c r="D34" s="89">
        <f>D33/F33</f>
        <v>0.5</v>
      </c>
      <c r="E34" s="89">
        <f>E33/F33</f>
        <v>0.5</v>
      </c>
      <c r="F34" s="90">
        <f t="shared" si="1"/>
        <v>1</v>
      </c>
      <c r="G34" s="1"/>
    </row>
    <row r="35" spans="2:7" x14ac:dyDescent="0.25">
      <c r="B35" s="13">
        <v>28</v>
      </c>
      <c r="C35" s="15" t="s">
        <v>43</v>
      </c>
      <c r="D35" s="65">
        <f>ROUND(0.15*D22,0)</f>
        <v>46</v>
      </c>
      <c r="E35" s="65">
        <f>ROUND(0.15*E22,0)</f>
        <v>69</v>
      </c>
      <c r="F35" s="64">
        <f>ROUND(SUM(D35:E35),0)</f>
        <v>115</v>
      </c>
      <c r="G35" s="1"/>
    </row>
    <row r="36" spans="2:7" x14ac:dyDescent="0.25">
      <c r="B36" s="13">
        <v>29</v>
      </c>
      <c r="C36" s="20" t="s">
        <v>6</v>
      </c>
      <c r="D36" s="89">
        <f>D35/F35</f>
        <v>0.4</v>
      </c>
      <c r="E36" s="89">
        <f>E35/F35</f>
        <v>0.6</v>
      </c>
      <c r="F36" s="90">
        <f t="shared" si="1"/>
        <v>1</v>
      </c>
      <c r="G36" s="1"/>
    </row>
    <row r="37" spans="2:7" x14ac:dyDescent="0.25">
      <c r="B37" s="13">
        <v>30</v>
      </c>
      <c r="C37" s="15" t="s">
        <v>20</v>
      </c>
      <c r="D37" s="65">
        <f>D33+D35</f>
        <v>258</v>
      </c>
      <c r="E37" s="65">
        <f>E33+E35</f>
        <v>281</v>
      </c>
      <c r="F37" s="64">
        <f>ROUND(SUM(D37:E37),0)</f>
        <v>539</v>
      </c>
      <c r="G37" s="1"/>
    </row>
    <row r="38" spans="2:7" x14ac:dyDescent="0.25">
      <c r="B38" s="13">
        <v>31</v>
      </c>
      <c r="C38" s="20" t="s">
        <v>14</v>
      </c>
      <c r="D38" s="91">
        <f>D37/F37</f>
        <v>0.47866419294990725</v>
      </c>
      <c r="E38" s="91">
        <f>E37/F37</f>
        <v>0.52133580705009275</v>
      </c>
      <c r="F38" s="92">
        <f t="shared" si="1"/>
        <v>1</v>
      </c>
      <c r="G38" s="1"/>
    </row>
    <row r="39" spans="2:7" x14ac:dyDescent="0.25">
      <c r="B39" s="13"/>
      <c r="C39" s="24" t="s">
        <v>30</v>
      </c>
      <c r="D39" s="93"/>
      <c r="E39" s="93"/>
      <c r="F39" s="94"/>
      <c r="G39" s="1"/>
    </row>
    <row r="40" spans="2:7" x14ac:dyDescent="0.25">
      <c r="B40" s="13">
        <v>32</v>
      </c>
      <c r="C40" s="15" t="s">
        <v>34</v>
      </c>
      <c r="D40" s="95">
        <f>D6-D9-D27</f>
        <v>271.8</v>
      </c>
      <c r="E40" s="95">
        <f>E6-E14-E27</f>
        <v>398.2</v>
      </c>
      <c r="F40" s="96">
        <f>ROUND(SUM(D40:E40),0)</f>
        <v>670</v>
      </c>
      <c r="G40" s="1"/>
    </row>
    <row r="41" spans="2:7" x14ac:dyDescent="0.25">
      <c r="B41" s="13">
        <v>33</v>
      </c>
      <c r="C41" s="20" t="s">
        <v>37</v>
      </c>
      <c r="D41" s="91">
        <f>D40/(D40+E40)</f>
        <v>0.40567164179104481</v>
      </c>
      <c r="E41" s="91">
        <f>E40/(D40+E40)</f>
        <v>0.59432835820895524</v>
      </c>
      <c r="F41" s="92">
        <f>SUM(D41:E41)</f>
        <v>1</v>
      </c>
      <c r="G41" s="1"/>
    </row>
    <row r="42" spans="2:7" x14ac:dyDescent="0.25">
      <c r="B42" s="13">
        <v>34</v>
      </c>
      <c r="C42" s="15" t="s">
        <v>35</v>
      </c>
      <c r="D42" s="68">
        <f>D6-D27</f>
        <v>276.8</v>
      </c>
      <c r="E42" s="68">
        <f>E6-E27</f>
        <v>461.2</v>
      </c>
      <c r="F42" s="96">
        <f>SUM(D42:E42)</f>
        <v>738</v>
      </c>
      <c r="G42" s="1"/>
    </row>
    <row r="43" spans="2:7" x14ac:dyDescent="0.25">
      <c r="B43" s="27">
        <v>35</v>
      </c>
      <c r="C43" s="21" t="s">
        <v>36</v>
      </c>
      <c r="D43" s="97">
        <f>D42/F42</f>
        <v>0.37506775067750681</v>
      </c>
      <c r="E43" s="97">
        <f>E42/F42</f>
        <v>0.62493224932249325</v>
      </c>
      <c r="F43" s="98">
        <f>SUM(D43:E43)</f>
        <v>1</v>
      </c>
      <c r="G43" s="1"/>
    </row>
    <row r="44" spans="2:7" x14ac:dyDescent="0.25">
      <c r="B44" s="15"/>
      <c r="C44" s="1"/>
      <c r="D44" s="3"/>
      <c r="E44" s="3"/>
      <c r="F44" s="3"/>
      <c r="G44" s="1"/>
    </row>
    <row r="45" spans="2:7" x14ac:dyDescent="0.25">
      <c r="B45" s="1"/>
      <c r="C45" s="10" t="s">
        <v>4</v>
      </c>
      <c r="D45" s="3"/>
      <c r="E45" s="3"/>
      <c r="F45" s="3"/>
      <c r="G45" s="1"/>
    </row>
    <row r="46" spans="2:7" x14ac:dyDescent="0.25">
      <c r="B46" s="1"/>
      <c r="C46" s="22" t="s">
        <v>24</v>
      </c>
      <c r="D46" s="3"/>
      <c r="E46" s="3"/>
      <c r="F46" s="3"/>
    </row>
    <row r="47" spans="2:7" x14ac:dyDescent="0.25">
      <c r="C47" s="1" t="s">
        <v>39</v>
      </c>
    </row>
    <row r="49" spans="3:3" x14ac:dyDescent="0.25">
      <c r="C49" s="1"/>
    </row>
    <row r="50" spans="3:3" x14ac:dyDescent="0.25">
      <c r="C50" s="1"/>
    </row>
  </sheetData>
  <phoneticPr fontId="5" type="noConversion"/>
  <pageMargins left="0.75" right="0.75" top="1" bottom="1" header="0.5" footer="0.5"/>
  <pageSetup scale="96" orientation="portrait" r:id="rId1"/>
  <headerFooter alignWithMargins="0"/>
  <ignoredErrors>
    <ignoredError sqref="F33:F36 D35:E35 D37:E37" formula="1"/>
    <ignoredError sqref="D14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abSelected="1" workbookViewId="0">
      <selection activeCell="H17" sqref="H16:H17"/>
    </sheetView>
  </sheetViews>
  <sheetFormatPr defaultRowHeight="13.2" x14ac:dyDescent="0.25"/>
  <cols>
    <col min="2" max="2" width="29.88671875" customWidth="1"/>
    <col min="3" max="3" width="11.33203125" customWidth="1"/>
    <col min="5" max="5" width="13.109375" customWidth="1"/>
    <col min="6" max="6" width="11.44140625" customWidth="1"/>
  </cols>
  <sheetData>
    <row r="2" spans="2:8" ht="13.8" thickBot="1" x14ac:dyDescent="0.3"/>
    <row r="3" spans="2:8" ht="14.4" thickBot="1" x14ac:dyDescent="0.3">
      <c r="B3" s="99" t="s">
        <v>46</v>
      </c>
      <c r="C3" s="100" t="s">
        <v>47</v>
      </c>
      <c r="D3" s="100"/>
      <c r="E3" s="36" t="s">
        <v>1</v>
      </c>
      <c r="F3" s="100" t="s">
        <v>48</v>
      </c>
      <c r="G3" s="100"/>
      <c r="H3" s="100"/>
    </row>
    <row r="4" spans="2:8" ht="14.4" thickBot="1" x14ac:dyDescent="0.3">
      <c r="B4" s="99"/>
      <c r="C4" s="36" t="s">
        <v>1</v>
      </c>
      <c r="D4" s="36" t="s">
        <v>0</v>
      </c>
      <c r="E4" s="36" t="s">
        <v>49</v>
      </c>
      <c r="F4" s="36" t="s">
        <v>1</v>
      </c>
      <c r="G4" s="36" t="s">
        <v>0</v>
      </c>
      <c r="H4" s="37" t="s">
        <v>2</v>
      </c>
    </row>
    <row r="5" spans="2:8" ht="14.4" x14ac:dyDescent="0.3">
      <c r="B5" s="38" t="s">
        <v>51</v>
      </c>
      <c r="C5" s="39"/>
      <c r="D5" s="40"/>
      <c r="E5" s="41"/>
      <c r="F5" s="42"/>
      <c r="G5" s="43"/>
      <c r="H5" s="44"/>
    </row>
    <row r="6" spans="2:8" ht="14.4" x14ac:dyDescent="0.3">
      <c r="B6" s="45" t="s">
        <v>52</v>
      </c>
      <c r="C6" s="42">
        <f>Lostine!E6</f>
        <v>576</v>
      </c>
      <c r="D6" s="46">
        <f>Lostine!D7</f>
        <v>456</v>
      </c>
      <c r="E6" s="46">
        <v>164</v>
      </c>
      <c r="F6" s="47">
        <f>IF(C6&lt;300,C6*0.02,IF(C6&lt;1000,6+((C6-300)*0.09),IF(C6&lt;1500,69+((C6-1000)*0.18),IF(C6&lt;2000,159+((C6-1500)*0.21),IF(C6&gt;1999,264+((C6-1999)*0.4),0)))))</f>
        <v>30.84</v>
      </c>
      <c r="G6" s="48">
        <f>IF(D6&lt;300,D6*0.01,IF(D6&lt;1000,3+((D6-300)*0.08),IF(D6&lt;1500,59+((D6-1000)*0.16),IF(D6&lt;2000,139+((D6-1500)*0.19),IF(D6&gt;1999,234+((D6-1999)*0.28),0)))))</f>
        <v>15.48</v>
      </c>
      <c r="H6" s="49">
        <f>SUM(F6:G6)</f>
        <v>46.32</v>
      </c>
    </row>
    <row r="7" spans="2:8" ht="15" x14ac:dyDescent="0.25">
      <c r="B7" s="50"/>
      <c r="C7" s="51"/>
      <c r="D7" s="52"/>
      <c r="E7" s="52"/>
      <c r="F7" s="51"/>
      <c r="G7" s="53"/>
      <c r="H7" s="54"/>
    </row>
    <row r="8" spans="2:8" ht="14.4" thickBot="1" x14ac:dyDescent="0.3">
      <c r="B8" s="55" t="s">
        <v>50</v>
      </c>
      <c r="C8" s="56">
        <f t="shared" ref="C8:H8" si="0">C6</f>
        <v>576</v>
      </c>
      <c r="D8" s="57">
        <f t="shared" si="0"/>
        <v>456</v>
      </c>
      <c r="E8" s="58">
        <f t="shared" si="0"/>
        <v>164</v>
      </c>
      <c r="F8" s="56">
        <f t="shared" si="0"/>
        <v>30.84</v>
      </c>
      <c r="G8" s="59">
        <f t="shared" si="0"/>
        <v>15.48</v>
      </c>
      <c r="H8" s="60">
        <f t="shared" si="0"/>
        <v>46.32</v>
      </c>
    </row>
    <row r="9" spans="2:8" ht="13.8" thickTop="1" x14ac:dyDescent="0.25">
      <c r="B9" s="62" t="s">
        <v>53</v>
      </c>
      <c r="C9" s="61"/>
      <c r="D9" s="61"/>
      <c r="E9" s="61"/>
      <c r="F9" s="61"/>
      <c r="G9" s="61"/>
    </row>
  </sheetData>
  <mergeCells count="3">
    <mergeCell ref="B3:B4"/>
    <mergeCell ref="C3:D3"/>
    <mergeCell ref="F3:H3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Lostine</vt:lpstr>
      <vt:lpstr>NPT Harvest Rates</vt:lpstr>
    </vt:vector>
  </TitlesOfParts>
  <Company>ODFW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Yearout</dc:creator>
  <cp:lastModifiedBy>Brian Simmons</cp:lastModifiedBy>
  <cp:lastPrinted>2018-04-09T17:25:16Z</cp:lastPrinted>
  <dcterms:created xsi:type="dcterms:W3CDTF">2003-07-02T23:37:21Z</dcterms:created>
  <dcterms:modified xsi:type="dcterms:W3CDTF">2024-04-11T00:33:38Z</dcterms:modified>
</cp:coreProperties>
</file>