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showInkAnnotation="0" codeName="ThisWorkbook" defaultThemeVersion="124226"/>
  <mc:AlternateContent xmlns:mc="http://schemas.openxmlformats.org/markup-compatibility/2006">
    <mc:Choice Requires="x15">
      <x15ac:absPath xmlns:x15ac="http://schemas.microsoft.com/office/spreadsheetml/2010/11/ac" url="C:\Users\guich\OneDrive\Documentos\Visual Studio 2017\Projects\NetCorePSAV\NetCorePSAV\wwwroot\reports\"/>
    </mc:Choice>
  </mc:AlternateContent>
  <bookViews>
    <workbookView xWindow="0" yWindow="0" windowWidth="20460" windowHeight="7500" tabRatio="906" firstSheet="1" activeTab="1" xr2:uid="{00000000-000D-0000-FFFF-FFFF00000000}"/>
  </bookViews>
  <sheets>
    <sheet name="1-Resumen" sheetId="20" r:id="rId1"/>
    <sheet name="2-Cotización" sheetId="11" r:id="rId2"/>
    <sheet name="3-Item List" sheetId="9" r:id="rId3"/>
    <sheet name="4a-Venta-Des." sheetId="22" r:id="rId4"/>
    <sheet name="4b-Venta-Comisión" sheetId="3" r:id="rId5"/>
    <sheet name="5-Subrentas" sheetId="15" r:id="rId6"/>
    <sheet name="6-O.L. and Others" sheetId="19" r:id="rId7"/>
    <sheet name="A-1 Factura Res. CD" sheetId="24" r:id="rId8"/>
    <sheet name="A-2 Factura Res. Hotel" sheetId="26" r:id="rId9"/>
    <sheet name="Detalle Evento" sheetId="27" r:id="rId10"/>
    <sheet name="8-Condicionantes" sheetId="17" state="hidden" r:id="rId11"/>
    <sheet name="9 - Locations" sheetId="18" state="hidden" r:id="rId12"/>
  </sheets>
  <externalReferences>
    <externalReference r:id="rId13"/>
    <externalReference r:id="rId14"/>
    <externalReference r:id="rId15"/>
  </externalReferences>
  <definedNames>
    <definedName name="_xlnm._FilterDatabase" localSheetId="11" hidden="1">'9 - Locations'!$J$202:$J$208</definedName>
    <definedName name="Anticipo">'8-Condicionantes'!$D$2:$D$7</definedName>
    <definedName name="_xlnm.Print_Area" localSheetId="0">'1-Resumen'!$A$2:$G$84</definedName>
    <definedName name="_xlnm.Print_Area" localSheetId="1">'2-Cotización'!$B$2:$H$77</definedName>
    <definedName name="_xlnm.Print_Area" localSheetId="2">'3-Item List'!$B$12:$G$77</definedName>
    <definedName name="_xlnm.Print_Area" localSheetId="3">'4a-Venta-Des.'!$B$2:$K$35</definedName>
    <definedName name="_xlnm.Print_Area" localSheetId="4">'4b-Venta-Comisión'!$A$2:$Q$77</definedName>
    <definedName name="_xlnm.Print_Area" localSheetId="5">'5-Subrentas'!$A$2:$U$82</definedName>
    <definedName name="_xlnm.Print_Area" localSheetId="6">'6-O.L. and Others'!$A$2:$G$120</definedName>
    <definedName name="_xlnm.Print_Area" localSheetId="11">'9 - Locations'!$C$1:$K$274</definedName>
    <definedName name="_xlnm.Print_Area" localSheetId="7">'A-1 Factura Res. CD'!$A$1:$G$47</definedName>
    <definedName name="_xlnm.Print_Area" localSheetId="8">'A-2 Factura Res. Hotel'!$A$1:$G$47</definedName>
    <definedName name="CargoInterno">'8-Condicionantes'!$T$2:$T$10</definedName>
    <definedName name="Categoria1">'8-Condicionantes'!$K$2:$K$5</definedName>
    <definedName name="Categorias">'8-Condicionantes'!$J$3:$J$12</definedName>
    <definedName name="CategoriasLabor">'8-Condicionantes'!$J$9:$J$13</definedName>
    <definedName name="Categoriastraduccion">'8-Condicionantes'!$M$2:$M$3</definedName>
    <definedName name="CombinacionCI">'8-Condicionantes'!$O$2:$O$7</definedName>
    <definedName name="Comision_Operadora">'8-Condicionantes'!$S$2:$S$10</definedName>
    <definedName name="ComisionOperadora">'8-Condicionantes'!$S$2:$S$10</definedName>
    <definedName name="_xlnm.Criteria">#REF!</definedName>
    <definedName name="Descripcion">#REF!</definedName>
    <definedName name="Descuento">'8-Condicionantes'!$E$2:$E$7</definedName>
    <definedName name="Descuentos">'8-Condicionantes'!$N$2:$N$3</definedName>
    <definedName name="Freelances">'8-Condicionantes'!$G$2:$G$3</definedName>
    <definedName name="HorasoDias">'8-Condicionantes'!$R$2:$R$5</definedName>
    <definedName name="Idioma">'8-Condicionantes'!$Z$2:$Z$3</definedName>
    <definedName name="ItemNumber">'[1]Item List'!$E$2:$E$2722</definedName>
    <definedName name="IVA">'8-Condicionantes'!$C$2:$C$6</definedName>
    <definedName name="Labor">'8-Condicionantes'!$L$2:$L$6</definedName>
    <definedName name="ListadePrecios">#REF!</definedName>
    <definedName name="Mediodecobro">'8-Condicionantes'!$Q$2:$Q$8</definedName>
    <definedName name="Merchandise">[2]CLENT!#REF!</definedName>
    <definedName name="Moneda">'8-Condicionantes'!$F$2:$F$3</definedName>
    <definedName name="Phone">[2]CLENT!#REF!</definedName>
    <definedName name="Productos">#REF!</definedName>
    <definedName name="PROFITACT">#REF!,#REF!,#REF!,#REF!,#REF!,#REF!,#REF!,#REF!,#REF!,#REF!,#REF!,#REF!</definedName>
    <definedName name="PROFITFORECAST">'[3]Profit Forecast'!$D$3:$D$5,'[3]Profit Forecast'!$D$8:$D$10,'[3]Hotel Input Tables'!$I$23,'[3]Profit Forecast'!$D$14:$D$15,'[3]Hotel Input Tables'!$I$10:$I$16,'[3]Profit Forecast'!$D$27:$D$31,'[3]Profit Forecast'!$F$27:$F$31,'[3]Profit Forecast'!$D$34:$D$43,'[3]Profit Forecast'!$F$34:$F$43,'[3]Profit Forecast'!$D$50:$D$57,'[3]Profit Forecast'!$E$67,'[3]Profit Forecast'!$E$71</definedName>
    <definedName name="SINO">'8-Condicionantes'!$A$2:$A$3</definedName>
    <definedName name="SINO2">'8-Condicionantes'!$B$2:$B$4</definedName>
    <definedName name="SINO3">'8-Condicionantes'!$B$2:$B$3</definedName>
    <definedName name="TC">'8-Condicionantes'!$H$2:$H$3</definedName>
    <definedName name="_xlnm.Print_Titles" localSheetId="1">'2-Cotización'!$2:$7</definedName>
    <definedName name="_xlnm.Print_Titles" localSheetId="2">'3-Item List'!$2:$11</definedName>
    <definedName name="_xlnm.Print_Titles" localSheetId="6">'6-O.L. and Others'!$2:$7</definedName>
    <definedName name="_xlnm.Print_Titles" localSheetId="11">'9 - Locations'!$1:$5</definedName>
    <definedName name="TOT">#REF!</definedName>
    <definedName name="Vendedor">'8-Condicionantes'!$AC$2:$AC$27</definedName>
    <definedName name="VTS">'8-Condicionantes'!$I$2:$I$4</definedName>
  </definedNames>
  <calcPr calcId="171027"/>
</workbook>
</file>

<file path=xl/calcChain.xml><?xml version="1.0" encoding="utf-8"?>
<calcChain xmlns="http://schemas.openxmlformats.org/spreadsheetml/2006/main">
  <c r="AV56" i="9" l="1"/>
  <c r="H5" i="11" l="1"/>
  <c r="G3" i="20" s="1"/>
  <c r="AU36" i="9"/>
  <c r="AV36" i="9" s="1"/>
  <c r="AH36" i="9"/>
  <c r="AI36" i="9" s="1"/>
  <c r="U36" i="9"/>
  <c r="V36" i="9" s="1"/>
  <c r="L36" i="9"/>
  <c r="O36" i="9" s="1"/>
  <c r="G36" i="9"/>
  <c r="AU32" i="9"/>
  <c r="AV32" i="9"/>
  <c r="AH32" i="9"/>
  <c r="AI32" i="9"/>
  <c r="U32" i="9"/>
  <c r="V32" i="9"/>
  <c r="L32" i="9"/>
  <c r="O32" i="9"/>
  <c r="G32" i="9"/>
  <c r="AU20" i="9"/>
  <c r="AV20" i="9" s="1"/>
  <c r="AH20" i="9"/>
  <c r="AI20" i="9" s="1"/>
  <c r="U20" i="9"/>
  <c r="V20" i="9" s="1"/>
  <c r="L20" i="9"/>
  <c r="G12" i="9"/>
  <c r="G21" i="9"/>
  <c r="G22" i="9"/>
  <c r="G23" i="9"/>
  <c r="G24" i="9"/>
  <c r="G25" i="9"/>
  <c r="G26" i="9"/>
  <c r="G27" i="9"/>
  <c r="G28" i="9"/>
  <c r="G29" i="9"/>
  <c r="G30" i="9"/>
  <c r="G31" i="9"/>
  <c r="G33" i="9"/>
  <c r="G34" i="9"/>
  <c r="G35" i="9"/>
  <c r="G37" i="9"/>
  <c r="G38" i="9"/>
  <c r="G39" i="9"/>
  <c r="G40" i="9"/>
  <c r="G41" i="9"/>
  <c r="G42" i="9"/>
  <c r="G43" i="9"/>
  <c r="G44" i="9"/>
  <c r="G45" i="9"/>
  <c r="G46" i="9"/>
  <c r="G47" i="9"/>
  <c r="G48" i="9"/>
  <c r="G49" i="9"/>
  <c r="G50" i="9"/>
  <c r="G55" i="9"/>
  <c r="G56" i="9"/>
  <c r="G57" i="9"/>
  <c r="G58" i="9"/>
  <c r="G59" i="9"/>
  <c r="G60" i="9"/>
  <c r="G61" i="9"/>
  <c r="G62" i="9"/>
  <c r="G63" i="9"/>
  <c r="G64" i="9"/>
  <c r="G65" i="9"/>
  <c r="G66" i="9"/>
  <c r="G67" i="9"/>
  <c r="G68" i="9"/>
  <c r="G69" i="9"/>
  <c r="G70" i="9"/>
  <c r="G71" i="9"/>
  <c r="G72" i="9"/>
  <c r="AU34" i="9"/>
  <c r="AV34" i="9"/>
  <c r="AH34" i="9"/>
  <c r="AI34" i="9"/>
  <c r="U34" i="9"/>
  <c r="V34" i="9"/>
  <c r="L34" i="9"/>
  <c r="AU33" i="9"/>
  <c r="AV33" i="9" s="1"/>
  <c r="AH33" i="9"/>
  <c r="AI33" i="9" s="1"/>
  <c r="U33" i="9"/>
  <c r="V33" i="9" s="1"/>
  <c r="L33" i="9"/>
  <c r="O33" i="9" s="1"/>
  <c r="P33" i="9" s="1"/>
  <c r="AU31" i="9"/>
  <c r="AV31" i="9"/>
  <c r="AH31" i="9"/>
  <c r="AI31" i="9"/>
  <c r="U31" i="9"/>
  <c r="V31" i="9"/>
  <c r="L31" i="9"/>
  <c r="O31" i="9"/>
  <c r="P31" i="9" s="1"/>
  <c r="AU30" i="9"/>
  <c r="AV30" i="9" s="1"/>
  <c r="AH30" i="9"/>
  <c r="AI30" i="9" s="1"/>
  <c r="U30" i="9"/>
  <c r="V30" i="9" s="1"/>
  <c r="L30" i="9"/>
  <c r="AU29" i="9"/>
  <c r="AV29" i="9"/>
  <c r="AH29" i="9"/>
  <c r="AI29" i="9"/>
  <c r="U29" i="9"/>
  <c r="V29" i="9"/>
  <c r="L29" i="9"/>
  <c r="O29" i="9"/>
  <c r="P29" i="9" s="1"/>
  <c r="AU28" i="9"/>
  <c r="AV28" i="9" s="1"/>
  <c r="AH28" i="9"/>
  <c r="AI28" i="9" s="1"/>
  <c r="U28" i="9"/>
  <c r="V28" i="9" s="1"/>
  <c r="L28" i="9"/>
  <c r="C20" i="15"/>
  <c r="B77" i="11"/>
  <c r="B57" i="11"/>
  <c r="AU66" i="9"/>
  <c r="AV66" i="9"/>
  <c r="AH66" i="9"/>
  <c r="AI66" i="9" s="1"/>
  <c r="U66" i="9"/>
  <c r="V66" i="9"/>
  <c r="L66" i="9"/>
  <c r="AU57" i="9"/>
  <c r="AV57" i="9" s="1"/>
  <c r="AH57" i="9"/>
  <c r="AI57" i="9"/>
  <c r="U57" i="9"/>
  <c r="V57" i="9" s="1"/>
  <c r="L57" i="9"/>
  <c r="AU23" i="9"/>
  <c r="AH23" i="9"/>
  <c r="AI23" i="9" s="1"/>
  <c r="U23" i="9"/>
  <c r="V23" i="9"/>
  <c r="L23" i="9"/>
  <c r="AU22" i="9"/>
  <c r="AV22" i="9"/>
  <c r="AH22" i="9"/>
  <c r="AI22" i="9" s="1"/>
  <c r="U22" i="9"/>
  <c r="L22" i="9"/>
  <c r="AU21" i="9"/>
  <c r="AV21" i="9" s="1"/>
  <c r="AH21" i="9"/>
  <c r="AI21" i="9"/>
  <c r="U21" i="9"/>
  <c r="V21" i="9" s="1"/>
  <c r="L21" i="9"/>
  <c r="AU19" i="9"/>
  <c r="AV19" i="9"/>
  <c r="AH19" i="9"/>
  <c r="U19" i="9"/>
  <c r="V19" i="9"/>
  <c r="L19" i="9"/>
  <c r="AU18" i="9"/>
  <c r="AV18" i="9" s="1"/>
  <c r="AH18" i="9"/>
  <c r="AI18" i="9"/>
  <c r="U18" i="9"/>
  <c r="V18" i="9" s="1"/>
  <c r="L18" i="9"/>
  <c r="AU17" i="9"/>
  <c r="AV17" i="9" s="1"/>
  <c r="AH17" i="9"/>
  <c r="AI17" i="9"/>
  <c r="U17" i="9"/>
  <c r="V17" i="9" s="1"/>
  <c r="L17" i="9"/>
  <c r="AU16" i="9"/>
  <c r="AV16" i="9"/>
  <c r="AH16" i="9"/>
  <c r="AI16" i="9" s="1"/>
  <c r="U16" i="9"/>
  <c r="V16" i="9"/>
  <c r="L16" i="9"/>
  <c r="O16" i="9" s="1"/>
  <c r="P16" i="9" s="1"/>
  <c r="L55" i="9"/>
  <c r="U55" i="9"/>
  <c r="V55" i="9" s="1"/>
  <c r="AH55" i="9"/>
  <c r="AU55" i="9"/>
  <c r="AV55" i="9"/>
  <c r="AU56" i="9"/>
  <c r="AU58" i="9"/>
  <c r="AV58" i="9"/>
  <c r="AU59" i="9"/>
  <c r="AV59" i="9" s="1"/>
  <c r="AU60" i="9"/>
  <c r="AV60" i="9"/>
  <c r="AU61" i="9"/>
  <c r="AV61" i="9" s="1"/>
  <c r="AU62" i="9"/>
  <c r="AV62" i="9"/>
  <c r="AU63" i="9"/>
  <c r="AV63" i="9" s="1"/>
  <c r="AU64" i="9"/>
  <c r="AV64" i="9"/>
  <c r="AU65" i="9"/>
  <c r="AV65" i="9" s="1"/>
  <c r="AU67" i="9"/>
  <c r="AV67" i="9"/>
  <c r="AU68" i="9"/>
  <c r="AV68" i="9"/>
  <c r="AU69" i="9"/>
  <c r="AV69" i="9" s="1"/>
  <c r="AU70" i="9"/>
  <c r="AV70" i="9"/>
  <c r="AU71" i="9"/>
  <c r="AV71" i="9" s="1"/>
  <c r="AU72" i="9"/>
  <c r="AV72" i="9"/>
  <c r="AU24" i="9"/>
  <c r="AV24" i="9" s="1"/>
  <c r="AU25" i="9"/>
  <c r="AV25" i="9"/>
  <c r="AU26" i="9"/>
  <c r="AV26" i="9" s="1"/>
  <c r="AU27" i="9"/>
  <c r="AU35" i="9"/>
  <c r="AV35" i="9" s="1"/>
  <c r="AU37" i="9"/>
  <c r="AV37" i="9"/>
  <c r="AU38" i="9"/>
  <c r="AV38" i="9" s="1"/>
  <c r="AU39" i="9"/>
  <c r="AV39" i="9"/>
  <c r="AU40" i="9"/>
  <c r="AV40" i="9" s="1"/>
  <c r="AU41" i="9"/>
  <c r="AV41" i="9"/>
  <c r="AU42" i="9"/>
  <c r="AV42" i="9" s="1"/>
  <c r="AU43" i="9"/>
  <c r="AV43" i="9"/>
  <c r="AU44" i="9"/>
  <c r="AV44" i="9" s="1"/>
  <c r="AU45" i="9"/>
  <c r="AV45" i="9"/>
  <c r="AU46" i="9"/>
  <c r="AV46" i="9" s="1"/>
  <c r="AU47" i="9"/>
  <c r="AV47" i="9"/>
  <c r="AU48" i="9"/>
  <c r="AV48" i="9" s="1"/>
  <c r="AU49" i="9"/>
  <c r="AV49" i="9"/>
  <c r="AU50" i="9"/>
  <c r="AV50" i="9" s="1"/>
  <c r="AH56" i="9"/>
  <c r="AI56" i="9"/>
  <c r="AH58" i="9"/>
  <c r="AI58" i="9" s="1"/>
  <c r="AH59" i="9"/>
  <c r="AI59" i="9"/>
  <c r="AH60" i="9"/>
  <c r="AI60" i="9" s="1"/>
  <c r="AH61" i="9"/>
  <c r="AI61" i="9"/>
  <c r="AH62" i="9"/>
  <c r="AI62" i="9" s="1"/>
  <c r="AH63" i="9"/>
  <c r="AI63" i="9"/>
  <c r="AH64" i="9"/>
  <c r="AI64" i="9" s="1"/>
  <c r="AH65" i="9"/>
  <c r="AI65" i="9"/>
  <c r="AH67" i="9"/>
  <c r="AI67" i="9" s="1"/>
  <c r="AH68" i="9"/>
  <c r="AI68" i="9"/>
  <c r="AH69" i="9"/>
  <c r="AI69" i="9" s="1"/>
  <c r="AH70" i="9"/>
  <c r="AH71" i="9"/>
  <c r="AI71" i="9"/>
  <c r="AH72" i="9"/>
  <c r="AI72" i="9" s="1"/>
  <c r="AH24" i="9"/>
  <c r="AI24" i="9"/>
  <c r="AH25" i="9"/>
  <c r="AI25" i="9" s="1"/>
  <c r="AH26" i="9"/>
  <c r="AH27" i="9"/>
  <c r="AI27" i="9" s="1"/>
  <c r="AH35" i="9"/>
  <c r="AI35" i="9"/>
  <c r="AH37" i="9"/>
  <c r="AI37" i="9" s="1"/>
  <c r="AH38" i="9"/>
  <c r="AI38" i="9"/>
  <c r="AH39" i="9"/>
  <c r="AI39" i="9" s="1"/>
  <c r="AH40" i="9"/>
  <c r="AI40" i="9"/>
  <c r="AH41" i="9"/>
  <c r="AI41" i="9" s="1"/>
  <c r="AH42" i="9"/>
  <c r="AI42" i="9"/>
  <c r="AH43" i="9"/>
  <c r="AI43" i="9" s="1"/>
  <c r="AH44" i="9"/>
  <c r="AI44" i="9"/>
  <c r="AH45" i="9"/>
  <c r="AI45" i="9" s="1"/>
  <c r="AH46" i="9"/>
  <c r="AH47" i="9"/>
  <c r="AI47" i="9"/>
  <c r="AH48" i="9"/>
  <c r="AI48" i="9" s="1"/>
  <c r="AH49" i="9"/>
  <c r="AI49" i="9"/>
  <c r="AH50" i="9"/>
  <c r="AI50" i="9" s="1"/>
  <c r="U56" i="9"/>
  <c r="U58" i="9"/>
  <c r="V58" i="9" s="1"/>
  <c r="U59" i="9"/>
  <c r="V59" i="9"/>
  <c r="U60" i="9"/>
  <c r="V60" i="9" s="1"/>
  <c r="U61" i="9"/>
  <c r="V61" i="9"/>
  <c r="U62" i="9"/>
  <c r="V62" i="9" s="1"/>
  <c r="U63" i="9"/>
  <c r="U64" i="9"/>
  <c r="V64" i="9" s="1"/>
  <c r="U65" i="9"/>
  <c r="V65" i="9"/>
  <c r="U67" i="9"/>
  <c r="V67" i="9" s="1"/>
  <c r="U68" i="9"/>
  <c r="V68" i="9"/>
  <c r="U69" i="9"/>
  <c r="U70" i="9"/>
  <c r="V70" i="9"/>
  <c r="U71" i="9"/>
  <c r="V71" i="9" s="1"/>
  <c r="U72" i="9"/>
  <c r="V72" i="9"/>
  <c r="U24" i="9"/>
  <c r="V24" i="9" s="1"/>
  <c r="U25" i="9"/>
  <c r="U26" i="9"/>
  <c r="V26" i="9"/>
  <c r="U27" i="9"/>
  <c r="U35" i="9"/>
  <c r="V35" i="9" s="1"/>
  <c r="U37" i="9"/>
  <c r="V37" i="9"/>
  <c r="U38" i="9"/>
  <c r="U39" i="9"/>
  <c r="U40" i="9"/>
  <c r="U41" i="9"/>
  <c r="U42" i="9"/>
  <c r="V42" i="9" s="1"/>
  <c r="U43" i="9"/>
  <c r="V43" i="9"/>
  <c r="U44" i="9"/>
  <c r="V44" i="9" s="1"/>
  <c r="U45" i="9"/>
  <c r="V45" i="9"/>
  <c r="U46" i="9"/>
  <c r="V46" i="9" s="1"/>
  <c r="U47" i="9"/>
  <c r="U48" i="9"/>
  <c r="V48" i="9"/>
  <c r="U49" i="9"/>
  <c r="V49" i="9" s="1"/>
  <c r="U50" i="9"/>
  <c r="V50" i="9"/>
  <c r="L56" i="9"/>
  <c r="L58" i="9"/>
  <c r="L59" i="9"/>
  <c r="L60" i="9"/>
  <c r="L61" i="9"/>
  <c r="L62" i="9"/>
  <c r="L63" i="9"/>
  <c r="L64" i="9"/>
  <c r="O64" i="9" s="1"/>
  <c r="L65" i="9"/>
  <c r="L67" i="9"/>
  <c r="L68" i="9"/>
  <c r="L69" i="9"/>
  <c r="L70" i="9"/>
  <c r="L71" i="9"/>
  <c r="L72" i="9"/>
  <c r="L24" i="9"/>
  <c r="L25" i="9"/>
  <c r="L26" i="9"/>
  <c r="L27" i="9"/>
  <c r="O27" i="9" s="1"/>
  <c r="P27" i="9" s="1"/>
  <c r="L35" i="9"/>
  <c r="L37" i="9"/>
  <c r="L38" i="9"/>
  <c r="L39" i="9"/>
  <c r="L40" i="9"/>
  <c r="L41" i="9"/>
  <c r="L42" i="9"/>
  <c r="L43" i="9"/>
  <c r="L44" i="9"/>
  <c r="L45" i="9"/>
  <c r="L46" i="9"/>
  <c r="L47" i="9"/>
  <c r="O47" i="9" s="1"/>
  <c r="P47" i="9" s="1"/>
  <c r="L48" i="9"/>
  <c r="L49" i="9"/>
  <c r="L50" i="9"/>
  <c r="B4" i="22"/>
  <c r="B33" i="22"/>
  <c r="E36" i="3"/>
  <c r="H36" i="3"/>
  <c r="M36" i="3"/>
  <c r="E37" i="3"/>
  <c r="H37" i="3"/>
  <c r="E38" i="3"/>
  <c r="H38" i="3"/>
  <c r="E39" i="3"/>
  <c r="H39" i="3"/>
  <c r="E40" i="3"/>
  <c r="H40" i="3"/>
  <c r="E41" i="3"/>
  <c r="H41" i="3"/>
  <c r="E42" i="3"/>
  <c r="H42" i="3"/>
  <c r="E43" i="3"/>
  <c r="H43" i="3"/>
  <c r="H44" i="3"/>
  <c r="E45" i="3"/>
  <c r="H45" i="3"/>
  <c r="E46" i="3"/>
  <c r="H46" i="3"/>
  <c r="E47" i="3"/>
  <c r="H47" i="3"/>
  <c r="E48" i="3"/>
  <c r="H48" i="3"/>
  <c r="E49" i="3"/>
  <c r="H49" i="3"/>
  <c r="E50" i="3"/>
  <c r="H50" i="3"/>
  <c r="C59" i="19"/>
  <c r="E70" i="15"/>
  <c r="D46" i="20" s="1"/>
  <c r="A23" i="17"/>
  <c r="A22" i="17"/>
  <c r="A34" i="17"/>
  <c r="A33" i="17"/>
  <c r="E42" i="11"/>
  <c r="G34" i="24"/>
  <c r="G34" i="26"/>
  <c r="F38" i="26"/>
  <c r="F38" i="24"/>
  <c r="AC3" i="17"/>
  <c r="AC4" i="17"/>
  <c r="AC5" i="17"/>
  <c r="AC6" i="17"/>
  <c r="AC7" i="17"/>
  <c r="AC8" i="17"/>
  <c r="AC9" i="17"/>
  <c r="AC10" i="17"/>
  <c r="AC11" i="17"/>
  <c r="AC12" i="17"/>
  <c r="AC13" i="17"/>
  <c r="AC14" i="17"/>
  <c r="AC15" i="17"/>
  <c r="AC16" i="17"/>
  <c r="AC17" i="17"/>
  <c r="AC18" i="17"/>
  <c r="AC19" i="17"/>
  <c r="AC20" i="17"/>
  <c r="AC21" i="17"/>
  <c r="AC22" i="17"/>
  <c r="AC23" i="17"/>
  <c r="AC24" i="17"/>
  <c r="AC25" i="17"/>
  <c r="AC26" i="17"/>
  <c r="AC2" i="17"/>
  <c r="F77" i="9"/>
  <c r="I12" i="9"/>
  <c r="D10" i="9" s="1"/>
  <c r="B4" i="26"/>
  <c r="B4" i="24"/>
  <c r="D11" i="24"/>
  <c r="D11" i="26"/>
  <c r="F9" i="24"/>
  <c r="F9" i="26"/>
  <c r="D8" i="24"/>
  <c r="D8" i="26"/>
  <c r="D6" i="26"/>
  <c r="D6" i="24"/>
  <c r="A73" i="20"/>
  <c r="P69" i="15"/>
  <c r="R69" i="15"/>
  <c r="Q69" i="15"/>
  <c r="P68" i="15"/>
  <c r="R68" i="15" s="1"/>
  <c r="Q68" i="15"/>
  <c r="P67" i="15"/>
  <c r="R67" i="15" s="1"/>
  <c r="Q67" i="15"/>
  <c r="P66" i="15"/>
  <c r="R66" i="15"/>
  <c r="Q66" i="15"/>
  <c r="P65" i="15"/>
  <c r="R65" i="15"/>
  <c r="Q65" i="15"/>
  <c r="P64" i="15"/>
  <c r="R64" i="15" s="1"/>
  <c r="Q64" i="15"/>
  <c r="P63" i="15"/>
  <c r="R63" i="15" s="1"/>
  <c r="Q63" i="15"/>
  <c r="P62" i="15"/>
  <c r="R62" i="15"/>
  <c r="Q62" i="15"/>
  <c r="P61" i="15"/>
  <c r="R61" i="15"/>
  <c r="Q61" i="15"/>
  <c r="P60" i="15"/>
  <c r="R60" i="15"/>
  <c r="Q60" i="15"/>
  <c r="P59" i="15"/>
  <c r="R59" i="15" s="1"/>
  <c r="Q59" i="15"/>
  <c r="P58" i="15"/>
  <c r="R58" i="15"/>
  <c r="Q58" i="15"/>
  <c r="P57" i="15"/>
  <c r="R57" i="15"/>
  <c r="Q57" i="15"/>
  <c r="P56" i="15"/>
  <c r="R56" i="15"/>
  <c r="Q56" i="15"/>
  <c r="P55" i="15"/>
  <c r="R55" i="15" s="1"/>
  <c r="Q55" i="15"/>
  <c r="P54" i="15"/>
  <c r="R54" i="15"/>
  <c r="Q54" i="15"/>
  <c r="P53" i="15"/>
  <c r="R53" i="15"/>
  <c r="Q53" i="15"/>
  <c r="P52" i="15"/>
  <c r="R52" i="15"/>
  <c r="Q52" i="15"/>
  <c r="P51" i="15"/>
  <c r="R51" i="15" s="1"/>
  <c r="Q51" i="15"/>
  <c r="P50" i="15"/>
  <c r="R50" i="15"/>
  <c r="Q50" i="15"/>
  <c r="P49" i="15"/>
  <c r="R49" i="15" s="1"/>
  <c r="Q49" i="15"/>
  <c r="P48" i="15"/>
  <c r="R48" i="15"/>
  <c r="Q48" i="15"/>
  <c r="P47" i="15"/>
  <c r="R47" i="15" s="1"/>
  <c r="Q47" i="15"/>
  <c r="P46" i="15"/>
  <c r="R46" i="15"/>
  <c r="Q46" i="15"/>
  <c r="P45" i="15"/>
  <c r="R45" i="15" s="1"/>
  <c r="Q45" i="15"/>
  <c r="P44" i="15"/>
  <c r="R44" i="15"/>
  <c r="Q44" i="15"/>
  <c r="P43" i="15"/>
  <c r="R43" i="15" s="1"/>
  <c r="Q43" i="15"/>
  <c r="P42" i="15"/>
  <c r="R42" i="15"/>
  <c r="Q42" i="15"/>
  <c r="P41" i="15"/>
  <c r="R41" i="15" s="1"/>
  <c r="Q41" i="15"/>
  <c r="P40" i="15"/>
  <c r="R40" i="15" s="1"/>
  <c r="Q40" i="15"/>
  <c r="P39" i="15"/>
  <c r="R39" i="15"/>
  <c r="Q39" i="15"/>
  <c r="P38" i="15"/>
  <c r="R38" i="15" s="1"/>
  <c r="Q38" i="15"/>
  <c r="P37" i="15"/>
  <c r="R37" i="15"/>
  <c r="Q37" i="15"/>
  <c r="P36" i="15"/>
  <c r="R36" i="15" s="1"/>
  <c r="Q36" i="15"/>
  <c r="P35" i="15"/>
  <c r="R35" i="15"/>
  <c r="Q35" i="15"/>
  <c r="P34" i="15"/>
  <c r="R34" i="15" s="1"/>
  <c r="Q34" i="15"/>
  <c r="P33" i="15"/>
  <c r="R33" i="15"/>
  <c r="Q33" i="15"/>
  <c r="P32" i="15"/>
  <c r="R32" i="15" s="1"/>
  <c r="Q32" i="15"/>
  <c r="P31" i="15"/>
  <c r="R31" i="15"/>
  <c r="Q31" i="15"/>
  <c r="P30" i="15"/>
  <c r="R30" i="15" s="1"/>
  <c r="Q30" i="15"/>
  <c r="P29" i="15"/>
  <c r="R29" i="15"/>
  <c r="Q29" i="15"/>
  <c r="P28" i="15"/>
  <c r="R28" i="15" s="1"/>
  <c r="Q28" i="15"/>
  <c r="P27" i="15"/>
  <c r="R27" i="15"/>
  <c r="Q27" i="15"/>
  <c r="P26" i="15"/>
  <c r="R26" i="15" s="1"/>
  <c r="Q26" i="15"/>
  <c r="P25" i="15"/>
  <c r="R25" i="15"/>
  <c r="Q25" i="15"/>
  <c r="P24" i="15"/>
  <c r="R24" i="15" s="1"/>
  <c r="Q24" i="15"/>
  <c r="P23" i="15"/>
  <c r="R23" i="15"/>
  <c r="Q23" i="15"/>
  <c r="P22" i="15"/>
  <c r="R22" i="15" s="1"/>
  <c r="Q22" i="15"/>
  <c r="P21" i="15"/>
  <c r="R21" i="15"/>
  <c r="Q21" i="15"/>
  <c r="P20" i="15"/>
  <c r="R20" i="15" s="1"/>
  <c r="Q20" i="15"/>
  <c r="P19" i="15"/>
  <c r="R19" i="15"/>
  <c r="Q19" i="15"/>
  <c r="P18" i="15"/>
  <c r="R18" i="15" s="1"/>
  <c r="Q18" i="15"/>
  <c r="P17" i="15"/>
  <c r="R17" i="15"/>
  <c r="Q17" i="15"/>
  <c r="P16" i="15"/>
  <c r="R16" i="15" s="1"/>
  <c r="Q16" i="15"/>
  <c r="P15" i="15"/>
  <c r="R15" i="15"/>
  <c r="Q15" i="15"/>
  <c r="P14" i="15"/>
  <c r="R14" i="15" s="1"/>
  <c r="Q14" i="15"/>
  <c r="P13" i="15"/>
  <c r="R13" i="15"/>
  <c r="Q13" i="15"/>
  <c r="P12" i="15"/>
  <c r="R12" i="15" s="1"/>
  <c r="Q12" i="15"/>
  <c r="I69" i="15"/>
  <c r="J69" i="15" s="1"/>
  <c r="I68" i="15"/>
  <c r="J68" i="15" s="1"/>
  <c r="L68" i="15"/>
  <c r="M68" i="15"/>
  <c r="N68" i="15" s="1"/>
  <c r="I67" i="15"/>
  <c r="J67" i="15" s="1"/>
  <c r="I66" i="15"/>
  <c r="J66" i="15" s="1"/>
  <c r="K66" i="15" s="1"/>
  <c r="L66" i="15"/>
  <c r="M66" i="15" s="1"/>
  <c r="N66" i="15" s="1"/>
  <c r="I65" i="15"/>
  <c r="J65" i="15"/>
  <c r="I64" i="15"/>
  <c r="J64" i="15" s="1"/>
  <c r="I63" i="15"/>
  <c r="J63" i="15" s="1"/>
  <c r="I62" i="15"/>
  <c r="J62" i="15" s="1"/>
  <c r="I61" i="15"/>
  <c r="J61" i="15"/>
  <c r="I60" i="15"/>
  <c r="J60" i="15" s="1"/>
  <c r="I59" i="15"/>
  <c r="J59" i="15" s="1"/>
  <c r="I58" i="15"/>
  <c r="J58" i="15" s="1"/>
  <c r="I57" i="15"/>
  <c r="J57" i="15" s="1"/>
  <c r="L57" i="15"/>
  <c r="M57" i="15"/>
  <c r="N57" i="15" s="1"/>
  <c r="I56" i="15"/>
  <c r="J56" i="15" s="1"/>
  <c r="L56" i="15"/>
  <c r="M56" i="15" s="1"/>
  <c r="N56" i="15" s="1"/>
  <c r="I55" i="15"/>
  <c r="J55" i="15" s="1"/>
  <c r="I54" i="15"/>
  <c r="J54" i="15" s="1"/>
  <c r="I53" i="15"/>
  <c r="J53" i="15" s="1"/>
  <c r="I52" i="15"/>
  <c r="J52" i="15" s="1"/>
  <c r="I51" i="15"/>
  <c r="J51" i="15" s="1"/>
  <c r="K51" i="15" s="1"/>
  <c r="O51" i="15" s="1"/>
  <c r="L51" i="15"/>
  <c r="M51" i="15" s="1"/>
  <c r="N51" i="15" s="1"/>
  <c r="I50" i="15"/>
  <c r="J50" i="15" s="1"/>
  <c r="L50" i="15"/>
  <c r="M50" i="15"/>
  <c r="N50" i="15" s="1"/>
  <c r="I49" i="15"/>
  <c r="J49" i="15" s="1"/>
  <c r="K49" i="15" s="1"/>
  <c r="I48" i="15"/>
  <c r="J48" i="15" s="1"/>
  <c r="I47" i="15"/>
  <c r="J47" i="15" s="1"/>
  <c r="I46" i="15"/>
  <c r="J46" i="15" s="1"/>
  <c r="I45" i="15"/>
  <c r="J45" i="15" s="1"/>
  <c r="L45" i="15"/>
  <c r="M45" i="15" s="1"/>
  <c r="N45" i="15" s="1"/>
  <c r="I44" i="15"/>
  <c r="J44" i="15" s="1"/>
  <c r="I43" i="15"/>
  <c r="J43" i="15" s="1"/>
  <c r="K43" i="15" s="1"/>
  <c r="O43" i="15" s="1"/>
  <c r="I42" i="15"/>
  <c r="J42" i="15" s="1"/>
  <c r="S42" i="15" s="1"/>
  <c r="L42" i="15"/>
  <c r="M42" i="15"/>
  <c r="N42" i="15" s="1"/>
  <c r="I41" i="15"/>
  <c r="J41" i="15" s="1"/>
  <c r="I40" i="15"/>
  <c r="J40" i="15" s="1"/>
  <c r="I39" i="15"/>
  <c r="J39" i="15" s="1"/>
  <c r="I38" i="15"/>
  <c r="J38" i="15" s="1"/>
  <c r="L38" i="15"/>
  <c r="M38" i="15" s="1"/>
  <c r="N38" i="15"/>
  <c r="I37" i="15"/>
  <c r="J37" i="15" s="1"/>
  <c r="I36" i="15"/>
  <c r="J36" i="15" s="1"/>
  <c r="L36" i="15"/>
  <c r="M36" i="15"/>
  <c r="N36" i="15" s="1"/>
  <c r="I35" i="15"/>
  <c r="J35" i="15" s="1"/>
  <c r="L35" i="15"/>
  <c r="M35" i="15" s="1"/>
  <c r="N35" i="15" s="1"/>
  <c r="I34" i="15"/>
  <c r="J34" i="15" s="1"/>
  <c r="L34" i="15"/>
  <c r="M34" i="15"/>
  <c r="N34" i="15" s="1"/>
  <c r="I33" i="15"/>
  <c r="J33" i="15" s="1"/>
  <c r="L33" i="15"/>
  <c r="M33" i="15" s="1"/>
  <c r="N33" i="15" s="1"/>
  <c r="I32" i="15"/>
  <c r="J32" i="15" s="1"/>
  <c r="K32" i="15" s="1"/>
  <c r="O32" i="15" s="1"/>
  <c r="I31" i="15"/>
  <c r="J31" i="15" s="1"/>
  <c r="I30" i="15"/>
  <c r="J30" i="15" s="1"/>
  <c r="L30" i="15"/>
  <c r="M30" i="15" s="1"/>
  <c r="N30" i="15"/>
  <c r="I29" i="15"/>
  <c r="J29" i="15" s="1"/>
  <c r="I28" i="15"/>
  <c r="J28" i="15" s="1"/>
  <c r="I27" i="15"/>
  <c r="J27" i="15" s="1"/>
  <c r="I26" i="15"/>
  <c r="J26" i="15" s="1"/>
  <c r="I25" i="15"/>
  <c r="J25" i="15" s="1"/>
  <c r="I24" i="15"/>
  <c r="J24" i="15" s="1"/>
  <c r="L24" i="15"/>
  <c r="M24" i="15" s="1"/>
  <c r="N24" i="15"/>
  <c r="I23" i="15"/>
  <c r="J23" i="15" s="1"/>
  <c r="I22" i="15"/>
  <c r="J22" i="15" s="1"/>
  <c r="I21" i="15"/>
  <c r="J21" i="15" s="1"/>
  <c r="L21" i="15"/>
  <c r="M21" i="15"/>
  <c r="N21" i="15" s="1"/>
  <c r="I20" i="15"/>
  <c r="J20" i="15" s="1"/>
  <c r="K20" i="15" s="1"/>
  <c r="L20" i="15"/>
  <c r="M20" i="15"/>
  <c r="N20" i="15" s="1"/>
  <c r="I19" i="15"/>
  <c r="J19" i="15" s="1"/>
  <c r="K19" i="15" s="1"/>
  <c r="I18" i="15"/>
  <c r="J18" i="15" s="1"/>
  <c r="L18" i="15"/>
  <c r="M18" i="15" s="1"/>
  <c r="N18" i="15" s="1"/>
  <c r="I17" i="15"/>
  <c r="J17" i="15" s="1"/>
  <c r="I16" i="15"/>
  <c r="J16" i="15" s="1"/>
  <c r="S16" i="15" s="1"/>
  <c r="I15" i="15"/>
  <c r="J15" i="15" s="1"/>
  <c r="I14" i="15"/>
  <c r="J14" i="15" s="1"/>
  <c r="I13" i="15"/>
  <c r="J13" i="15" s="1"/>
  <c r="I12" i="15"/>
  <c r="J12" i="15" s="1"/>
  <c r="K12" i="15" s="1"/>
  <c r="O12" i="15" s="1"/>
  <c r="B64" i="11"/>
  <c r="J37" i="3"/>
  <c r="K37" i="3"/>
  <c r="J38" i="3"/>
  <c r="J39" i="3"/>
  <c r="F30" i="24"/>
  <c r="F17" i="24"/>
  <c r="F30" i="26"/>
  <c r="K48" i="3"/>
  <c r="J48" i="3"/>
  <c r="K50" i="3"/>
  <c r="J50" i="3"/>
  <c r="K47" i="3"/>
  <c r="J47" i="3"/>
  <c r="K49" i="3"/>
  <c r="J49" i="3"/>
  <c r="G74" i="11"/>
  <c r="F28" i="26"/>
  <c r="F27" i="26"/>
  <c r="F23" i="26"/>
  <c r="F19" i="26"/>
  <c r="F18" i="26"/>
  <c r="F17" i="26"/>
  <c r="F28" i="24"/>
  <c r="F27" i="24"/>
  <c r="F23" i="24"/>
  <c r="F19" i="24"/>
  <c r="F18" i="24"/>
  <c r="H64" i="11"/>
  <c r="G61" i="11" s="1"/>
  <c r="B66" i="11"/>
  <c r="C41" i="22"/>
  <c r="C42" i="22"/>
  <c r="C35" i="11"/>
  <c r="C34" i="11"/>
  <c r="C33" i="11"/>
  <c r="B60" i="11"/>
  <c r="F62" i="11"/>
  <c r="D60" i="3"/>
  <c r="D61" i="3"/>
  <c r="D62" i="3"/>
  <c r="B28" i="11"/>
  <c r="B43" i="11"/>
  <c r="F40" i="11"/>
  <c r="B47" i="11"/>
  <c r="B56" i="11"/>
  <c r="B55" i="11"/>
  <c r="B54" i="11"/>
  <c r="B53" i="11"/>
  <c r="B52" i="11"/>
  <c r="B51" i="11"/>
  <c r="B50" i="11"/>
  <c r="B49" i="11"/>
  <c r="B8" i="26"/>
  <c r="B8" i="24"/>
  <c r="B67" i="11"/>
  <c r="E40" i="11"/>
  <c r="F64" i="11"/>
  <c r="B63" i="11"/>
  <c r="B62" i="11"/>
  <c r="B61" i="11"/>
  <c r="B65" i="11"/>
  <c r="H43" i="11"/>
  <c r="G43" i="11"/>
  <c r="C68" i="11"/>
  <c r="C69" i="11"/>
  <c r="F63" i="11"/>
  <c r="B59" i="11"/>
  <c r="C42" i="11"/>
  <c r="E38" i="11"/>
  <c r="E35" i="11"/>
  <c r="C32" i="11"/>
  <c r="C37" i="11"/>
  <c r="C36" i="11"/>
  <c r="C38" i="11"/>
  <c r="C39" i="11"/>
  <c r="C40" i="11"/>
  <c r="C41" i="11"/>
  <c r="B27" i="11"/>
  <c r="G5" i="11"/>
  <c r="F25" i="11"/>
  <c r="F24" i="11"/>
  <c r="F22" i="11"/>
  <c r="H10" i="22"/>
  <c r="F20" i="11"/>
  <c r="F19" i="11"/>
  <c r="F18" i="11"/>
  <c r="F17" i="11"/>
  <c r="F16" i="11"/>
  <c r="F15" i="11"/>
  <c r="F14" i="11"/>
  <c r="F13" i="11"/>
  <c r="F12" i="11"/>
  <c r="F11" i="11"/>
  <c r="F10" i="11"/>
  <c r="F9" i="11"/>
  <c r="B25" i="11"/>
  <c r="B24" i="11"/>
  <c r="B23" i="11"/>
  <c r="B11" i="11"/>
  <c r="B10" i="11"/>
  <c r="B19" i="11"/>
  <c r="B17" i="11"/>
  <c r="B16" i="11"/>
  <c r="B15" i="11"/>
  <c r="B14" i="11"/>
  <c r="B13" i="11"/>
  <c r="B9" i="11"/>
  <c r="F30" i="20"/>
  <c r="B89" i="15"/>
  <c r="L22" i="15"/>
  <c r="M22" i="15"/>
  <c r="N22" i="15"/>
  <c r="L23" i="15"/>
  <c r="M23" i="15" s="1"/>
  <c r="N23" i="15" s="1"/>
  <c r="L25" i="15"/>
  <c r="M25" i="15" s="1"/>
  <c r="N25" i="15" s="1"/>
  <c r="L26" i="15"/>
  <c r="M26" i="15"/>
  <c r="N26" i="15" s="1"/>
  <c r="L27" i="15"/>
  <c r="M27" i="15"/>
  <c r="N27" i="15"/>
  <c r="L28" i="15"/>
  <c r="M28" i="15" s="1"/>
  <c r="N28" i="15" s="1"/>
  <c r="L29" i="15"/>
  <c r="M29" i="15" s="1"/>
  <c r="N29" i="15" s="1"/>
  <c r="L31" i="15"/>
  <c r="M31" i="15"/>
  <c r="N31" i="15" s="1"/>
  <c r="L32" i="15"/>
  <c r="M32" i="15"/>
  <c r="N32" i="15"/>
  <c r="L37" i="15"/>
  <c r="M37" i="15" s="1"/>
  <c r="N37" i="15" s="1"/>
  <c r="L39" i="15"/>
  <c r="M39" i="15" s="1"/>
  <c r="N39" i="15" s="1"/>
  <c r="L40" i="15"/>
  <c r="M40" i="15"/>
  <c r="N40" i="15" s="1"/>
  <c r="L41" i="15"/>
  <c r="M41" i="15"/>
  <c r="N41" i="15"/>
  <c r="L43" i="15"/>
  <c r="M43" i="15" s="1"/>
  <c r="N43" i="15" s="1"/>
  <c r="L44" i="15"/>
  <c r="M44" i="15" s="1"/>
  <c r="N44" i="15" s="1"/>
  <c r="L46" i="15"/>
  <c r="M46" i="15"/>
  <c r="N46" i="15" s="1"/>
  <c r="L47" i="15"/>
  <c r="M47" i="15"/>
  <c r="N47" i="15"/>
  <c r="L48" i="15"/>
  <c r="M48" i="15" s="1"/>
  <c r="N48" i="15" s="1"/>
  <c r="L49" i="15"/>
  <c r="M49" i="15" s="1"/>
  <c r="N49" i="15" s="1"/>
  <c r="L52" i="15"/>
  <c r="M52" i="15"/>
  <c r="N52" i="15" s="1"/>
  <c r="L53" i="15"/>
  <c r="M53" i="15"/>
  <c r="N53" i="15"/>
  <c r="L54" i="15"/>
  <c r="M54" i="15" s="1"/>
  <c r="N54" i="15" s="1"/>
  <c r="L55" i="15"/>
  <c r="M55" i="15" s="1"/>
  <c r="N55" i="15" s="1"/>
  <c r="L58" i="15"/>
  <c r="M58" i="15"/>
  <c r="N58" i="15" s="1"/>
  <c r="L59" i="15"/>
  <c r="M59" i="15"/>
  <c r="N59" i="15"/>
  <c r="L60" i="15"/>
  <c r="M60" i="15" s="1"/>
  <c r="N60" i="15" s="1"/>
  <c r="L61" i="15"/>
  <c r="M61" i="15" s="1"/>
  <c r="N61" i="15" s="1"/>
  <c r="L62" i="15"/>
  <c r="M62" i="15"/>
  <c r="N62" i="15" s="1"/>
  <c r="L63" i="15"/>
  <c r="M63" i="15"/>
  <c r="N63" i="15"/>
  <c r="L64" i="15"/>
  <c r="M64" i="15" s="1"/>
  <c r="N64" i="15" s="1"/>
  <c r="L65" i="15"/>
  <c r="M65" i="15" s="1"/>
  <c r="N65" i="15" s="1"/>
  <c r="L67" i="15"/>
  <c r="M67" i="15"/>
  <c r="N67" i="15" s="1"/>
  <c r="L69" i="15"/>
  <c r="M69" i="15"/>
  <c r="N69" i="15"/>
  <c r="L13" i="15"/>
  <c r="M13" i="15" s="1"/>
  <c r="N13" i="15" s="1"/>
  <c r="L14" i="15"/>
  <c r="M14" i="15" s="1"/>
  <c r="N14" i="15" s="1"/>
  <c r="L15" i="15"/>
  <c r="M15" i="15"/>
  <c r="N15" i="15" s="1"/>
  <c r="L16" i="15"/>
  <c r="M16" i="15"/>
  <c r="N16" i="15"/>
  <c r="L17" i="15"/>
  <c r="M17" i="15" s="1"/>
  <c r="N17" i="15" s="1"/>
  <c r="L19" i="15"/>
  <c r="M19" i="15" s="1"/>
  <c r="N19" i="15" s="1"/>
  <c r="L12" i="15"/>
  <c r="M12" i="15"/>
  <c r="N12" i="15" s="1"/>
  <c r="B87" i="15"/>
  <c r="B88" i="15"/>
  <c r="F70" i="15"/>
  <c r="E77" i="15" s="1"/>
  <c r="C12" i="15"/>
  <c r="H38" i="11"/>
  <c r="G39" i="11"/>
  <c r="F39" i="20"/>
  <c r="F38" i="20"/>
  <c r="F37" i="20"/>
  <c r="F36" i="20"/>
  <c r="F35" i="20"/>
  <c r="F34" i="20"/>
  <c r="F33" i="20"/>
  <c r="F32" i="20"/>
  <c r="F31" i="20"/>
  <c r="F29" i="20"/>
  <c r="F28" i="20"/>
  <c r="F27" i="20"/>
  <c r="F26" i="20"/>
  <c r="F25" i="20"/>
  <c r="F24" i="20"/>
  <c r="F23" i="20"/>
  <c r="X10" i="9"/>
  <c r="H11" i="22"/>
  <c r="E13" i="22"/>
  <c r="B8" i="22"/>
  <c r="B11" i="22"/>
  <c r="B13" i="22"/>
  <c r="C60" i="19"/>
  <c r="F58" i="19"/>
  <c r="E58" i="19" s="1"/>
  <c r="A62" i="19" s="1"/>
  <c r="D58" i="19"/>
  <c r="C58" i="19"/>
  <c r="C21" i="15"/>
  <c r="C19" i="15"/>
  <c r="C18" i="15"/>
  <c r="C17" i="15"/>
  <c r="C16" i="15"/>
  <c r="C15" i="15"/>
  <c r="C14" i="15"/>
  <c r="C13" i="15"/>
  <c r="F61" i="11"/>
  <c r="A5" i="20"/>
  <c r="F8" i="20"/>
  <c r="G53" i="19"/>
  <c r="D48" i="20" s="1"/>
  <c r="E48" i="20" s="1"/>
  <c r="O42" i="9"/>
  <c r="M42" i="9"/>
  <c r="P42" i="9"/>
  <c r="O44" i="9"/>
  <c r="M44" i="9"/>
  <c r="O45" i="9"/>
  <c r="M45" i="9" s="1"/>
  <c r="O46" i="9"/>
  <c r="P46" i="9"/>
  <c r="M46" i="9"/>
  <c r="AI46" i="9"/>
  <c r="M47" i="9"/>
  <c r="V47" i="9"/>
  <c r="O48" i="9"/>
  <c r="P48" i="9" s="1"/>
  <c r="O49" i="9"/>
  <c r="M49" i="9"/>
  <c r="O50" i="9"/>
  <c r="M50" i="9" s="1"/>
  <c r="V22" i="9"/>
  <c r="V25" i="9"/>
  <c r="V38" i="9"/>
  <c r="V39" i="9"/>
  <c r="V40" i="9"/>
  <c r="AI19" i="9"/>
  <c r="AI51" i="9" s="1"/>
  <c r="AI26" i="9"/>
  <c r="AV23" i="9"/>
  <c r="AV51" i="9" s="1"/>
  <c r="AV27" i="9"/>
  <c r="V56" i="9"/>
  <c r="V63" i="9"/>
  <c r="AI70" i="9"/>
  <c r="AI73" i="9" s="1"/>
  <c r="AI55" i="9"/>
  <c r="AV73" i="9"/>
  <c r="P44" i="9"/>
  <c r="P49" i="9"/>
  <c r="P50" i="9"/>
  <c r="O17" i="9"/>
  <c r="P17" i="9" s="1"/>
  <c r="O18" i="9"/>
  <c r="P18" i="9"/>
  <c r="O19" i="9"/>
  <c r="P19" i="9" s="1"/>
  <c r="O21" i="9"/>
  <c r="M21" i="9"/>
  <c r="P21" i="9"/>
  <c r="O22" i="9"/>
  <c r="P22" i="9"/>
  <c r="O23" i="9"/>
  <c r="P23" i="9" s="1"/>
  <c r="O24" i="9"/>
  <c r="P24" i="9"/>
  <c r="O25" i="9"/>
  <c r="M25" i="9" s="1"/>
  <c r="O26" i="9"/>
  <c r="P26" i="9"/>
  <c r="O28" i="9"/>
  <c r="M28" i="9" s="1"/>
  <c r="O30" i="9"/>
  <c r="P30" i="9" s="1"/>
  <c r="O34" i="9"/>
  <c r="M34" i="9"/>
  <c r="P34" i="9"/>
  <c r="O35" i="9"/>
  <c r="P35" i="9" s="1"/>
  <c r="O37" i="9"/>
  <c r="P37" i="9"/>
  <c r="O38" i="9"/>
  <c r="P38" i="9" s="1"/>
  <c r="O39" i="9"/>
  <c r="M39" i="9"/>
  <c r="P39" i="9"/>
  <c r="O40" i="9"/>
  <c r="P40" i="9"/>
  <c r="O58" i="9"/>
  <c r="P58" i="9" s="1"/>
  <c r="O68" i="9"/>
  <c r="M68" i="9"/>
  <c r="P68" i="9"/>
  <c r="O70" i="9"/>
  <c r="P70" i="9"/>
  <c r="O71" i="9"/>
  <c r="P71" i="9" s="1"/>
  <c r="O72" i="9"/>
  <c r="M72" i="9"/>
  <c r="P72" i="9"/>
  <c r="O55" i="9"/>
  <c r="P55" i="9" s="1"/>
  <c r="O56" i="9"/>
  <c r="P56" i="9"/>
  <c r="O57" i="9"/>
  <c r="M57" i="9" s="1"/>
  <c r="O59" i="9"/>
  <c r="P59" i="9"/>
  <c r="O60" i="9"/>
  <c r="P60" i="9" s="1"/>
  <c r="O61" i="9"/>
  <c r="P61" i="9"/>
  <c r="O62" i="9"/>
  <c r="M62" i="9" s="1"/>
  <c r="O63" i="9"/>
  <c r="P63" i="9"/>
  <c r="P64" i="9"/>
  <c r="O65" i="9"/>
  <c r="P65" i="9"/>
  <c r="O66" i="9"/>
  <c r="P66" i="9" s="1"/>
  <c r="M70" i="9"/>
  <c r="M16" i="9"/>
  <c r="M17" i="9"/>
  <c r="M18" i="9"/>
  <c r="M19" i="9"/>
  <c r="M22" i="9"/>
  <c r="M23" i="9"/>
  <c r="M24" i="9"/>
  <c r="M26" i="9"/>
  <c r="M27" i="9"/>
  <c r="M29" i="9"/>
  <c r="M31" i="9"/>
  <c r="M33" i="9"/>
  <c r="M35" i="9"/>
  <c r="M37" i="9"/>
  <c r="M38" i="9"/>
  <c r="M40" i="9"/>
  <c r="M56" i="9"/>
  <c r="M59" i="9"/>
  <c r="M61" i="9"/>
  <c r="M63" i="9"/>
  <c r="M64" i="9"/>
  <c r="M65" i="9"/>
  <c r="D68" i="19"/>
  <c r="E68" i="19"/>
  <c r="G70" i="19" s="1"/>
  <c r="D50" i="20" s="1"/>
  <c r="E50" i="20" s="1"/>
  <c r="D69" i="19"/>
  <c r="E69" i="19"/>
  <c r="E92" i="19"/>
  <c r="G92" i="19" s="1"/>
  <c r="E93" i="19"/>
  <c r="G93" i="19"/>
  <c r="E94" i="19"/>
  <c r="G94" i="19" s="1"/>
  <c r="E95" i="19"/>
  <c r="G95" i="19"/>
  <c r="E96" i="19"/>
  <c r="G96" i="19" s="1"/>
  <c r="E97" i="19"/>
  <c r="G97" i="19"/>
  <c r="E98" i="19"/>
  <c r="G98" i="19" s="1"/>
  <c r="E99" i="19"/>
  <c r="G99" i="19"/>
  <c r="E100" i="19"/>
  <c r="G100" i="19" s="1"/>
  <c r="E101" i="19"/>
  <c r="G101" i="19"/>
  <c r="E102" i="19"/>
  <c r="G102" i="19" s="1"/>
  <c r="E103" i="19"/>
  <c r="G103" i="19"/>
  <c r="E104" i="19"/>
  <c r="G104" i="19" s="1"/>
  <c r="E105" i="19"/>
  <c r="G105" i="19"/>
  <c r="E106" i="19"/>
  <c r="G106" i="19" s="1"/>
  <c r="E107" i="19"/>
  <c r="G107" i="19" s="1"/>
  <c r="E108" i="19"/>
  <c r="G108" i="19" s="1"/>
  <c r="E109" i="19"/>
  <c r="G109" i="19" s="1"/>
  <c r="E110" i="19"/>
  <c r="G110" i="19" s="1"/>
  <c r="E111" i="19"/>
  <c r="G111" i="19" s="1"/>
  <c r="B8" i="20"/>
  <c r="B19" i="20"/>
  <c r="B18" i="20"/>
  <c r="F9" i="20"/>
  <c r="F12" i="20"/>
  <c r="F13" i="20"/>
  <c r="D10" i="15"/>
  <c r="F12" i="19"/>
  <c r="G12" i="19"/>
  <c r="F51" i="3"/>
  <c r="F42" i="20"/>
  <c r="F11" i="20"/>
  <c r="F17" i="20"/>
  <c r="H12"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B70" i="15"/>
  <c r="F112" i="19"/>
  <c r="F83" i="19"/>
  <c r="F70" i="19"/>
  <c r="F61" i="19"/>
  <c r="F53" i="19"/>
  <c r="F38" i="19"/>
  <c r="A8" i="19"/>
  <c r="F73" i="9"/>
  <c r="F51" i="9"/>
  <c r="G75" i="11"/>
  <c r="C75" i="11"/>
  <c r="C74" i="11"/>
  <c r="A3" i="3"/>
  <c r="A4" i="15"/>
  <c r="A3" i="19"/>
  <c r="F13" i="19"/>
  <c r="G13" i="19" s="1"/>
  <c r="F14" i="19"/>
  <c r="G14" i="19"/>
  <c r="F15" i="19"/>
  <c r="G15" i="19" s="1"/>
  <c r="F16" i="19"/>
  <c r="G16" i="19"/>
  <c r="F17" i="19"/>
  <c r="G17" i="19" s="1"/>
  <c r="F18" i="19"/>
  <c r="G18" i="19"/>
  <c r="F19" i="19"/>
  <c r="G19" i="19" s="1"/>
  <c r="F20" i="19"/>
  <c r="G20" i="19"/>
  <c r="F31" i="19"/>
  <c r="G31" i="19" s="1"/>
  <c r="F21" i="19"/>
  <c r="G21" i="19"/>
  <c r="F22" i="19"/>
  <c r="G22" i="19" s="1"/>
  <c r="F23" i="19"/>
  <c r="G23" i="19"/>
  <c r="F24" i="19"/>
  <c r="G24" i="19" s="1"/>
  <c r="F25" i="19"/>
  <c r="G25" i="19"/>
  <c r="F26" i="19"/>
  <c r="G26" i="19" s="1"/>
  <c r="F27" i="19"/>
  <c r="G27" i="19"/>
  <c r="F28" i="19"/>
  <c r="G28" i="19" s="1"/>
  <c r="F29" i="19"/>
  <c r="G29" i="19"/>
  <c r="F30" i="19"/>
  <c r="G30" i="19" s="1"/>
  <c r="F32" i="19"/>
  <c r="G32" i="19"/>
  <c r="F33" i="19"/>
  <c r="G33" i="19" s="1"/>
  <c r="F34" i="19"/>
  <c r="G34" i="19"/>
  <c r="F35" i="19"/>
  <c r="G35" i="19" s="1"/>
  <c r="F36" i="19"/>
  <c r="G36" i="19"/>
  <c r="G83" i="19"/>
  <c r="D51" i="20" s="1"/>
  <c r="E51" i="20" s="1"/>
  <c r="G14" i="15"/>
  <c r="G13" i="15"/>
  <c r="G12"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C61" i="19"/>
  <c r="B9" i="20"/>
  <c r="F10" i="20"/>
  <c r="B12" i="20"/>
  <c r="B13" i="20"/>
  <c r="B14" i="20"/>
  <c r="B15" i="20"/>
  <c r="F15" i="20"/>
  <c r="F16" i="20"/>
  <c r="AG10" i="9"/>
  <c r="AF10" i="9"/>
  <c r="AE10" i="9"/>
  <c r="AD10" i="9"/>
  <c r="AC10" i="9"/>
  <c r="AB10" i="9"/>
  <c r="AA10" i="9"/>
  <c r="Z10" i="9"/>
  <c r="Y10" i="9"/>
  <c r="D7" i="15"/>
  <c r="A7" i="15"/>
  <c r="G6" i="3"/>
  <c r="A6" i="3"/>
  <c r="D6" i="19"/>
  <c r="A6" i="19"/>
  <c r="B8" i="9"/>
  <c r="E46" i="20"/>
  <c r="M37" i="3"/>
  <c r="K38" i="3"/>
  <c r="B53" i="9"/>
  <c r="E73" i="9"/>
  <c r="C17" i="22"/>
  <c r="C54" i="9"/>
  <c r="C10" i="9"/>
  <c r="J17" i="22"/>
  <c r="B31" i="22"/>
  <c r="B17" i="22"/>
  <c r="B15" i="22"/>
  <c r="B22" i="22"/>
  <c r="E10" i="22"/>
  <c r="E12" i="22"/>
  <c r="B21" i="22"/>
  <c r="B25" i="22"/>
  <c r="B26" i="22"/>
  <c r="B27" i="22"/>
  <c r="E17" i="22"/>
  <c r="B29" i="22"/>
  <c r="H17" i="22"/>
  <c r="F17" i="22"/>
  <c r="B12" i="22"/>
  <c r="B24" i="22"/>
  <c r="I17" i="22"/>
  <c r="B28" i="22"/>
  <c r="D17" i="22"/>
  <c r="B10" i="22"/>
  <c r="B23" i="22"/>
  <c r="B30" i="22"/>
  <c r="G17" i="22"/>
  <c r="B32" i="22"/>
  <c r="E77" i="9"/>
  <c r="B32" i="26" s="1"/>
  <c r="K41" i="15"/>
  <c r="O41" i="15" s="1"/>
  <c r="K16" i="15"/>
  <c r="O16" i="15" s="1"/>
  <c r="T16" i="15" s="1"/>
  <c r="U16" i="15" s="1"/>
  <c r="V16" i="15" s="1"/>
  <c r="S20" i="15"/>
  <c r="S66" i="15"/>
  <c r="K45" i="15"/>
  <c r="O45" i="15" s="1"/>
  <c r="S45" i="15"/>
  <c r="K46" i="15"/>
  <c r="O46" i="15" s="1"/>
  <c r="S46" i="15"/>
  <c r="S49" i="15"/>
  <c r="K14" i="15"/>
  <c r="O14" i="15" s="1"/>
  <c r="S14" i="15"/>
  <c r="S47" i="15"/>
  <c r="K47" i="15"/>
  <c r="O47" i="15" s="1"/>
  <c r="S19" i="15"/>
  <c r="B10" i="9"/>
  <c r="E10" i="9"/>
  <c r="F10" i="9"/>
  <c r="E51" i="9"/>
  <c r="B12" i="9"/>
  <c r="K38" i="15"/>
  <c r="O38" i="15" s="1"/>
  <c r="S38" i="15"/>
  <c r="K40" i="15"/>
  <c r="O40" i="15" s="1"/>
  <c r="T40" i="15" s="1"/>
  <c r="U40" i="15" s="1"/>
  <c r="V40" i="15" s="1"/>
  <c r="S40" i="15"/>
  <c r="K35" i="15"/>
  <c r="O35" i="15" s="1"/>
  <c r="S35" i="15"/>
  <c r="K39" i="15"/>
  <c r="O39" i="15" s="1"/>
  <c r="S39" i="15"/>
  <c r="K30" i="15"/>
  <c r="O30" i="15" s="1"/>
  <c r="S30" i="15"/>
  <c r="K33" i="15"/>
  <c r="O33" i="15" s="1"/>
  <c r="S33" i="15"/>
  <c r="S67" i="15"/>
  <c r="K67" i="15"/>
  <c r="O67" i="15" s="1"/>
  <c r="S31" i="15"/>
  <c r="K31" i="15"/>
  <c r="O31" i="15" s="1"/>
  <c r="K56" i="15"/>
  <c r="O56" i="15" s="1"/>
  <c r="S56" i="15"/>
  <c r="K61" i="15"/>
  <c r="O61" i="15" s="1"/>
  <c r="S61" i="15"/>
  <c r="S65" i="15"/>
  <c r="K65" i="15"/>
  <c r="O65" i="15" s="1"/>
  <c r="B32" i="24"/>
  <c r="M38" i="3"/>
  <c r="K39" i="3"/>
  <c r="M39" i="3"/>
  <c r="G38" i="19"/>
  <c r="D47" i="20"/>
  <c r="G112" i="19"/>
  <c r="D65" i="20"/>
  <c r="E65" i="20" s="1"/>
  <c r="K42" i="15"/>
  <c r="O42" i="15" s="1"/>
  <c r="N70" i="15"/>
  <c r="O49" i="15"/>
  <c r="T49" i="15" s="1"/>
  <c r="U49" i="15" s="1"/>
  <c r="V49" i="15" s="1"/>
  <c r="AI77" i="9"/>
  <c r="O20" i="15"/>
  <c r="T20" i="15" s="1"/>
  <c r="U20" i="15" s="1"/>
  <c r="V20" i="15" s="1"/>
  <c r="M60" i="9"/>
  <c r="M55" i="9"/>
  <c r="P62" i="9"/>
  <c r="P57" i="9"/>
  <c r="P36" i="9"/>
  <c r="M36" i="9"/>
  <c r="M32" i="9"/>
  <c r="P32" i="9"/>
  <c r="O43" i="9"/>
  <c r="M43" i="9" s="1"/>
  <c r="P43" i="9"/>
  <c r="V41" i="9"/>
  <c r="O41" i="9"/>
  <c r="V27" i="9"/>
  <c r="V51" i="9"/>
  <c r="P41" i="9"/>
  <c r="M41" i="9"/>
  <c r="E47" i="20"/>
  <c r="E63" i="11" l="1"/>
  <c r="E11" i="22"/>
  <c r="E62" i="11"/>
  <c r="D64" i="11" s="1"/>
  <c r="T30" i="15"/>
  <c r="U30" i="15" s="1"/>
  <c r="V30" i="15" s="1"/>
  <c r="T38" i="15"/>
  <c r="U38" i="15" s="1"/>
  <c r="V38" i="15" s="1"/>
  <c r="S52" i="15"/>
  <c r="K52" i="15"/>
  <c r="O52" i="15" s="1"/>
  <c r="K57" i="15"/>
  <c r="O57" i="15" s="1"/>
  <c r="S57" i="15"/>
  <c r="T56" i="15"/>
  <c r="U56" i="15" s="1"/>
  <c r="V56" i="15" s="1"/>
  <c r="T45" i="15"/>
  <c r="U45" i="15" s="1"/>
  <c r="V45" i="15" s="1"/>
  <c r="T42" i="15"/>
  <c r="U42" i="15" s="1"/>
  <c r="V42" i="15" s="1"/>
  <c r="T61" i="15"/>
  <c r="U61" i="15" s="1"/>
  <c r="V61" i="15" s="1"/>
  <c r="T33" i="15"/>
  <c r="U33" i="15" s="1"/>
  <c r="V33" i="15" s="1"/>
  <c r="K36" i="15"/>
  <c r="O36" i="15" s="1"/>
  <c r="S36" i="15"/>
  <c r="T36" i="15" s="1"/>
  <c r="U36" i="15" s="1"/>
  <c r="V36" i="15" s="1"/>
  <c r="S13" i="15"/>
  <c r="K13" i="15"/>
  <c r="O13" i="15" s="1"/>
  <c r="K44" i="15"/>
  <c r="O44" i="15" s="1"/>
  <c r="S44" i="15"/>
  <c r="K59" i="15"/>
  <c r="O59" i="15" s="1"/>
  <c r="S59" i="15"/>
  <c r="S63" i="15"/>
  <c r="K63" i="15"/>
  <c r="O63" i="15" s="1"/>
  <c r="S54" i="15"/>
  <c r="K54" i="15"/>
  <c r="O54" i="15" s="1"/>
  <c r="T65" i="15"/>
  <c r="U65" i="15" s="1"/>
  <c r="V65" i="15" s="1"/>
  <c r="T35" i="15"/>
  <c r="U35" i="15" s="1"/>
  <c r="V35" i="15" s="1"/>
  <c r="T14" i="15"/>
  <c r="U14" i="15" s="1"/>
  <c r="V14" i="15" s="1"/>
  <c r="K26" i="15"/>
  <c r="O26" i="15" s="1"/>
  <c r="S26" i="15"/>
  <c r="K53" i="15"/>
  <c r="O53" i="15" s="1"/>
  <c r="T53" i="15" s="1"/>
  <c r="U53" i="15" s="1"/>
  <c r="V53" i="15" s="1"/>
  <c r="S53" i="15"/>
  <c r="S62" i="15"/>
  <c r="K62" i="15"/>
  <c r="O62" i="15" s="1"/>
  <c r="K21" i="15"/>
  <c r="O21" i="15" s="1"/>
  <c r="T21" i="15" s="1"/>
  <c r="U21" i="15" s="1"/>
  <c r="V21" i="15" s="1"/>
  <c r="S21" i="15"/>
  <c r="K27" i="15"/>
  <c r="O27" i="15" s="1"/>
  <c r="S27" i="15"/>
  <c r="S37" i="15"/>
  <c r="K37" i="15"/>
  <c r="O37" i="15" s="1"/>
  <c r="S60" i="15"/>
  <c r="K60" i="15"/>
  <c r="O60" i="15" s="1"/>
  <c r="K22" i="15"/>
  <c r="O22" i="15" s="1"/>
  <c r="T22" i="15" s="1"/>
  <c r="U22" i="15" s="1"/>
  <c r="V22" i="15" s="1"/>
  <c r="S22" i="15"/>
  <c r="K24" i="15"/>
  <c r="O24" i="15" s="1"/>
  <c r="S24" i="15"/>
  <c r="S28" i="15"/>
  <c r="T28" i="15" s="1"/>
  <c r="U28" i="15" s="1"/>
  <c r="V28" i="15" s="1"/>
  <c r="K28" i="15"/>
  <c r="O28" i="15" s="1"/>
  <c r="K34" i="15"/>
  <c r="O34" i="15" s="1"/>
  <c r="S34" i="15"/>
  <c r="S58" i="15"/>
  <c r="K58" i="15"/>
  <c r="O58" i="15" s="1"/>
  <c r="S23" i="15"/>
  <c r="K23" i="15"/>
  <c r="O23" i="15" s="1"/>
  <c r="K25" i="15"/>
  <c r="O25" i="15" s="1"/>
  <c r="S25" i="15"/>
  <c r="K29" i="15"/>
  <c r="O29" i="15" s="1"/>
  <c r="T29" i="15" s="1"/>
  <c r="U29" i="15" s="1"/>
  <c r="V29" i="15" s="1"/>
  <c r="S29" i="15"/>
  <c r="K48" i="15"/>
  <c r="O48" i="15" s="1"/>
  <c r="T48" i="15" s="1"/>
  <c r="U48" i="15" s="1"/>
  <c r="V48" i="15" s="1"/>
  <c r="S48" i="15"/>
  <c r="K55" i="15"/>
  <c r="O55" i="15" s="1"/>
  <c r="T55" i="15" s="1"/>
  <c r="U55" i="15" s="1"/>
  <c r="V55" i="15" s="1"/>
  <c r="S55" i="15"/>
  <c r="K64" i="15"/>
  <c r="O64" i="15" s="1"/>
  <c r="T64" i="15" s="1"/>
  <c r="U64" i="15" s="1"/>
  <c r="V64" i="15" s="1"/>
  <c r="S64" i="15"/>
  <c r="K17" i="15"/>
  <c r="O17" i="15" s="1"/>
  <c r="S17" i="15"/>
  <c r="T31" i="15"/>
  <c r="U31" i="15" s="1"/>
  <c r="V31" i="15" s="1"/>
  <c r="T44" i="15"/>
  <c r="U44" i="15" s="1"/>
  <c r="V44" i="15" s="1"/>
  <c r="T47" i="15"/>
  <c r="U47" i="15" s="1"/>
  <c r="V47" i="15" s="1"/>
  <c r="T52" i="15"/>
  <c r="U52" i="15" s="1"/>
  <c r="V52" i="15" s="1"/>
  <c r="T63" i="15"/>
  <c r="U63" i="15" s="1"/>
  <c r="V63" i="15" s="1"/>
  <c r="T67" i="15"/>
  <c r="U67" i="15" s="1"/>
  <c r="V67" i="15" s="1"/>
  <c r="T39" i="15"/>
  <c r="U39" i="15" s="1"/>
  <c r="V39" i="15" s="1"/>
  <c r="T46" i="15"/>
  <c r="U46" i="15" s="1"/>
  <c r="V46" i="15" s="1"/>
  <c r="T41" i="15"/>
  <c r="U41" i="15" s="1"/>
  <c r="V41" i="15" s="1"/>
  <c r="K50" i="15"/>
  <c r="O50" i="15" s="1"/>
  <c r="S50" i="15"/>
  <c r="S69" i="15"/>
  <c r="K69" i="15"/>
  <c r="O69" i="15" s="1"/>
  <c r="T69" i="15" s="1"/>
  <c r="U69" i="15" s="1"/>
  <c r="V69" i="15" s="1"/>
  <c r="S15" i="15"/>
  <c r="K15" i="15"/>
  <c r="O15" i="15" s="1"/>
  <c r="T15" i="15" s="1"/>
  <c r="U15" i="15" s="1"/>
  <c r="V15" i="15" s="1"/>
  <c r="K68" i="15"/>
  <c r="O68" i="15" s="1"/>
  <c r="S68" i="15"/>
  <c r="T54" i="15"/>
  <c r="U54" i="15" s="1"/>
  <c r="V54" i="15" s="1"/>
  <c r="T24" i="15"/>
  <c r="U24" i="15" s="1"/>
  <c r="V24" i="15" s="1"/>
  <c r="S41" i="15"/>
  <c r="T17" i="15"/>
  <c r="U17" i="15" s="1"/>
  <c r="V17" i="15" s="1"/>
  <c r="T25" i="15"/>
  <c r="U25" i="15" s="1"/>
  <c r="V25" i="15" s="1"/>
  <c r="S51" i="15"/>
  <c r="T51" i="15" s="1"/>
  <c r="U51" i="15" s="1"/>
  <c r="V51" i="15" s="1"/>
  <c r="T13" i="15"/>
  <c r="U13" i="15" s="1"/>
  <c r="V13" i="15" s="1"/>
  <c r="AV77" i="9"/>
  <c r="J70" i="15"/>
  <c r="S12" i="15"/>
  <c r="O66" i="15"/>
  <c r="T66" i="15" s="1"/>
  <c r="U66" i="15" s="1"/>
  <c r="V66" i="15" s="1"/>
  <c r="T57" i="15"/>
  <c r="U57" i="15" s="1"/>
  <c r="V57" i="15" s="1"/>
  <c r="T59" i="15"/>
  <c r="U59" i="15" s="1"/>
  <c r="V59" i="15" s="1"/>
  <c r="K18" i="15"/>
  <c r="S18" i="15"/>
  <c r="O19" i="15"/>
  <c r="T19" i="15" s="1"/>
  <c r="U19" i="15" s="1"/>
  <c r="V19" i="15" s="1"/>
  <c r="P28" i="9"/>
  <c r="O20" i="9"/>
  <c r="M66" i="9"/>
  <c r="M71" i="9"/>
  <c r="M58" i="9"/>
  <c r="P25" i="9"/>
  <c r="P45" i="9"/>
  <c r="M48" i="9"/>
  <c r="O69" i="9"/>
  <c r="V69" i="9"/>
  <c r="V73" i="9" s="1"/>
  <c r="G73" i="9"/>
  <c r="M30" i="9"/>
  <c r="S32" i="15"/>
  <c r="T32" i="15" s="1"/>
  <c r="U32" i="15" s="1"/>
  <c r="V32" i="15" s="1"/>
  <c r="S43" i="15"/>
  <c r="T43" i="15" s="1"/>
  <c r="U43" i="15" s="1"/>
  <c r="V43" i="15" s="1"/>
  <c r="O67" i="9"/>
  <c r="G51" i="9"/>
  <c r="G77" i="9" s="1"/>
  <c r="T60" i="15" l="1"/>
  <c r="U60" i="15" s="1"/>
  <c r="V60" i="15" s="1"/>
  <c r="T27" i="15"/>
  <c r="U27" i="15" s="1"/>
  <c r="V27" i="15" s="1"/>
  <c r="T26" i="15"/>
  <c r="U26" i="15" s="1"/>
  <c r="V26" i="15" s="1"/>
  <c r="T58" i="15"/>
  <c r="U58" i="15" s="1"/>
  <c r="V58" i="15" s="1"/>
  <c r="T37" i="15"/>
  <c r="U37" i="15" s="1"/>
  <c r="V37" i="15" s="1"/>
  <c r="T23" i="15"/>
  <c r="U23" i="15" s="1"/>
  <c r="V23" i="15" s="1"/>
  <c r="T34" i="15"/>
  <c r="U34" i="15" s="1"/>
  <c r="V34" i="15" s="1"/>
  <c r="T62" i="15"/>
  <c r="U62" i="15" s="1"/>
  <c r="V62" i="15" s="1"/>
  <c r="T68" i="15"/>
  <c r="U68" i="15" s="1"/>
  <c r="V68" i="15" s="1"/>
  <c r="T50" i="15"/>
  <c r="U50" i="15" s="1"/>
  <c r="V50" i="15" s="1"/>
  <c r="P69" i="9"/>
  <c r="M69" i="9"/>
  <c r="V77" i="9"/>
  <c r="O18" i="15"/>
  <c r="K70" i="15"/>
  <c r="T12" i="15"/>
  <c r="S70" i="15"/>
  <c r="P67" i="9"/>
  <c r="P73" i="9" s="1"/>
  <c r="M67" i="9"/>
  <c r="P20" i="9"/>
  <c r="M20" i="9"/>
  <c r="T18" i="15" l="1"/>
  <c r="U18" i="15" s="1"/>
  <c r="V18" i="15" s="1"/>
  <c r="O70" i="15"/>
  <c r="M6" i="9"/>
  <c r="I5" i="9" s="1"/>
  <c r="C27" i="3"/>
  <c r="E23" i="3"/>
  <c r="D29" i="22" s="1"/>
  <c r="I29" i="22" s="1"/>
  <c r="D13" i="3"/>
  <c r="E26" i="3"/>
  <c r="D32" i="22" s="1"/>
  <c r="I32" i="22" s="1"/>
  <c r="B25" i="3"/>
  <c r="P51" i="9"/>
  <c r="B20" i="3" s="1"/>
  <c r="P77" i="9"/>
  <c r="D25" i="3" s="1"/>
  <c r="T70" i="15"/>
  <c r="U12" i="15"/>
  <c r="V12" i="15" s="1"/>
  <c r="D26" i="3" l="1"/>
  <c r="C26" i="3"/>
  <c r="B24" i="3"/>
  <c r="E24" i="3"/>
  <c r="C17" i="3"/>
  <c r="D14" i="3"/>
  <c r="E27" i="3"/>
  <c r="E18" i="3"/>
  <c r="E19" i="3"/>
  <c r="D25" i="22" s="1"/>
  <c r="I25" i="22" s="1"/>
  <c r="D19" i="3"/>
  <c r="E17" i="3"/>
  <c r="D23" i="22" s="1"/>
  <c r="I23" i="22" s="1"/>
  <c r="B21" i="3"/>
  <c r="D22" i="3"/>
  <c r="D23" i="3"/>
  <c r="C21" i="3"/>
  <c r="C25" i="3"/>
  <c r="C31" i="22" s="1"/>
  <c r="E13" i="3"/>
  <c r="E14" i="3"/>
  <c r="D15" i="3"/>
  <c r="B13" i="3"/>
  <c r="B19" i="3"/>
  <c r="B16" i="3"/>
  <c r="C20" i="3"/>
  <c r="B18" i="3"/>
  <c r="E22" i="3"/>
  <c r="D28" i="22" s="1"/>
  <c r="I28" i="22" s="1"/>
  <c r="D20" i="3"/>
  <c r="C24" i="3"/>
  <c r="B26" i="3"/>
  <c r="D24" i="3"/>
  <c r="C13" i="3"/>
  <c r="C16" i="3"/>
  <c r="B14" i="3"/>
  <c r="E15" i="3"/>
  <c r="D21" i="22" s="1"/>
  <c r="I21" i="22" s="1"/>
  <c r="E16" i="3"/>
  <c r="D22" i="22" s="1"/>
  <c r="I22" i="22" s="1"/>
  <c r="C14" i="3"/>
  <c r="E21" i="3"/>
  <c r="D27" i="22" s="1"/>
  <c r="I27" i="22" s="1"/>
  <c r="C15" i="3"/>
  <c r="B22" i="3"/>
  <c r="B23" i="3"/>
  <c r="B17" i="3"/>
  <c r="C19" i="3"/>
  <c r="E78" i="15"/>
  <c r="U70" i="15"/>
  <c r="C23" i="3"/>
  <c r="E20" i="3"/>
  <c r="D26" i="22" s="1"/>
  <c r="B15" i="3"/>
  <c r="D27" i="3"/>
  <c r="D21" i="3"/>
  <c r="D17" i="3"/>
  <c r="D18" i="3"/>
  <c r="C18" i="3"/>
  <c r="D16" i="3"/>
  <c r="B27" i="3"/>
  <c r="E25" i="3"/>
  <c r="C22" i="3"/>
  <c r="C26" i="22" l="1"/>
  <c r="G26" i="22" s="1"/>
  <c r="D28" i="3"/>
  <c r="G31" i="22"/>
  <c r="C33" i="22"/>
  <c r="F27" i="3"/>
  <c r="D21" i="24"/>
  <c r="I26" i="22"/>
  <c r="E21" i="24" s="1"/>
  <c r="F21" i="24" s="1"/>
  <c r="C30" i="22"/>
  <c r="F19" i="3"/>
  <c r="C25" i="22"/>
  <c r="D19" i="22"/>
  <c r="F71" i="15"/>
  <c r="E28" i="3"/>
  <c r="C28" i="3"/>
  <c r="F25" i="3"/>
  <c r="C23" i="22"/>
  <c r="F17" i="3"/>
  <c r="F14" i="3"/>
  <c r="C20" i="22"/>
  <c r="C32" i="22"/>
  <c r="F26" i="3"/>
  <c r="B28" i="3"/>
  <c r="C19" i="22"/>
  <c r="F13" i="3"/>
  <c r="C27" i="22"/>
  <c r="F21" i="3"/>
  <c r="F18" i="3"/>
  <c r="D24" i="22"/>
  <c r="I24" i="22" s="1"/>
  <c r="D30" i="22"/>
  <c r="I30" i="22" s="1"/>
  <c r="C29" i="22"/>
  <c r="F23" i="3"/>
  <c r="D33" i="22"/>
  <c r="I33" i="22" s="1"/>
  <c r="F24" i="3"/>
  <c r="F20" i="3"/>
  <c r="D31" i="22"/>
  <c r="I31" i="22" s="1"/>
  <c r="C24" i="22"/>
  <c r="F15" i="3"/>
  <c r="C21" i="22"/>
  <c r="E79" i="15"/>
  <c r="C80" i="15"/>
  <c r="A9" i="15" s="1"/>
  <c r="F46" i="20" s="1"/>
  <c r="F22" i="3"/>
  <c r="C28" i="22"/>
  <c r="F16" i="3"/>
  <c r="C22" i="22"/>
  <c r="D20" i="22"/>
  <c r="I20" i="22" s="1"/>
  <c r="D20" i="24" l="1"/>
  <c r="E26" i="22"/>
  <c r="D41" i="11"/>
  <c r="D32" i="20"/>
  <c r="E32" i="20" s="1"/>
  <c r="D32" i="11"/>
  <c r="D25" i="20"/>
  <c r="E25" i="20" s="1"/>
  <c r="D37" i="11"/>
  <c r="D30" i="20"/>
  <c r="E30" i="20" s="1"/>
  <c r="D40" i="11"/>
  <c r="D31" i="20"/>
  <c r="E31" i="20" s="1"/>
  <c r="E23" i="22"/>
  <c r="G23" i="22"/>
  <c r="J23" i="22" s="1"/>
  <c r="C73" i="15"/>
  <c r="E8" i="15" s="1"/>
  <c r="F72" i="15"/>
  <c r="G30" i="22"/>
  <c r="J30" i="22" s="1"/>
  <c r="E30" i="22"/>
  <c r="D25" i="24" s="1"/>
  <c r="D39" i="11"/>
  <c r="B39" i="11" s="1"/>
  <c r="D37" i="20"/>
  <c r="E37" i="20" s="1"/>
  <c r="G22" i="22"/>
  <c r="E22" i="22"/>
  <c r="D15" i="24" s="1"/>
  <c r="G24" i="22"/>
  <c r="J24" i="22" s="1"/>
  <c r="E24" i="22"/>
  <c r="D33" i="20"/>
  <c r="E33" i="20" s="1"/>
  <c r="G27" i="22"/>
  <c r="J27" i="22" s="1"/>
  <c r="E27" i="22"/>
  <c r="D24" i="24" s="1"/>
  <c r="G20" i="22"/>
  <c r="J20" i="22" s="1"/>
  <c r="E20" i="22"/>
  <c r="D35" i="20"/>
  <c r="E35" i="20" s="1"/>
  <c r="I19" i="22"/>
  <c r="D16" i="24"/>
  <c r="D34" i="22"/>
  <c r="G33" i="22"/>
  <c r="J33" i="22" s="1"/>
  <c r="E33" i="22"/>
  <c r="D26" i="20"/>
  <c r="E26" i="20" s="1"/>
  <c r="D33" i="11"/>
  <c r="D34" i="20"/>
  <c r="E34" i="20" s="1"/>
  <c r="G29" i="22"/>
  <c r="J29" i="22" s="1"/>
  <c r="E29" i="22"/>
  <c r="D30" i="11"/>
  <c r="D23" i="20"/>
  <c r="F28" i="3"/>
  <c r="D36" i="20"/>
  <c r="E36" i="20" s="1"/>
  <c r="D38" i="11"/>
  <c r="D24" i="20"/>
  <c r="E24" i="20" s="1"/>
  <c r="D31" i="11"/>
  <c r="E25" i="22"/>
  <c r="G25" i="22"/>
  <c r="J25" i="22" s="1"/>
  <c r="G21" i="24"/>
  <c r="E31" i="22"/>
  <c r="D29" i="24" s="1"/>
  <c r="E28" i="22"/>
  <c r="D31" i="24" s="1"/>
  <c r="G28" i="22"/>
  <c r="J28" i="22" s="1"/>
  <c r="G21" i="22"/>
  <c r="J21" i="22" s="1"/>
  <c r="E21" i="22"/>
  <c r="D28" i="20"/>
  <c r="E28" i="20" s="1"/>
  <c r="D35" i="11"/>
  <c r="C34" i="22"/>
  <c r="E19" i="22"/>
  <c r="G19" i="22"/>
  <c r="D14" i="24"/>
  <c r="G32" i="22"/>
  <c r="J32" i="22" s="1"/>
  <c r="E32" i="22"/>
  <c r="D22" i="24" s="1"/>
  <c r="D34" i="11"/>
  <c r="D27" i="20"/>
  <c r="E27" i="20" s="1"/>
  <c r="D29" i="20"/>
  <c r="E29" i="20" s="1"/>
  <c r="D36" i="11"/>
  <c r="J26" i="22"/>
  <c r="E20" i="24"/>
  <c r="F20" i="24" s="1"/>
  <c r="J31" i="22"/>
  <c r="G27" i="3" l="1"/>
  <c r="K33" i="22"/>
  <c r="L33" i="22" s="1"/>
  <c r="E34" i="22"/>
  <c r="E23" i="20"/>
  <c r="D38" i="20"/>
  <c r="I34" i="22"/>
  <c r="E16" i="24"/>
  <c r="F16" i="24" s="1"/>
  <c r="G14" i="3"/>
  <c r="K20" i="22"/>
  <c r="E15" i="24"/>
  <c r="F15" i="24" s="1"/>
  <c r="J22" i="22"/>
  <c r="K26" i="22"/>
  <c r="G20" i="3"/>
  <c r="E22" i="24"/>
  <c r="G26" i="3"/>
  <c r="K32" i="22"/>
  <c r="D42" i="11"/>
  <c r="G20" i="24"/>
  <c r="G17" i="3"/>
  <c r="K23" i="22"/>
  <c r="K21" i="22"/>
  <c r="G15" i="3"/>
  <c r="D26" i="24"/>
  <c r="K27" i="22"/>
  <c r="E24" i="24"/>
  <c r="F24" i="24" s="1"/>
  <c r="G21" i="3"/>
  <c r="G18" i="3"/>
  <c r="K24" i="22"/>
  <c r="G24" i="3"/>
  <c r="K30" i="22"/>
  <c r="L30" i="22" s="1"/>
  <c r="E25" i="24"/>
  <c r="F25" i="24" s="1"/>
  <c r="G25" i="3"/>
  <c r="E29" i="24"/>
  <c r="F29" i="24" s="1"/>
  <c r="K31" i="22"/>
  <c r="L31" i="22" s="1"/>
  <c r="J19" i="22"/>
  <c r="E14" i="24"/>
  <c r="G34" i="22"/>
  <c r="G22" i="3"/>
  <c r="E31" i="24"/>
  <c r="F31" i="24" s="1"/>
  <c r="K28" i="22"/>
  <c r="K25" i="22"/>
  <c r="G19" i="3"/>
  <c r="B29" i="3"/>
  <c r="A20" i="20" s="1"/>
  <c r="D41" i="24"/>
  <c r="E26" i="24"/>
  <c r="F26" i="24" s="1"/>
  <c r="K29" i="22"/>
  <c r="L29" i="22" s="1"/>
  <c r="G23" i="3"/>
  <c r="G15" i="24" l="1"/>
  <c r="G16" i="24"/>
  <c r="B36" i="11"/>
  <c r="L25" i="22"/>
  <c r="H24" i="3"/>
  <c r="I24" i="3"/>
  <c r="B32" i="11"/>
  <c r="L21" i="22"/>
  <c r="H17" i="3"/>
  <c r="I17" i="3"/>
  <c r="E30" i="11"/>
  <c r="F22" i="24"/>
  <c r="E45" i="24"/>
  <c r="L28" i="22"/>
  <c r="B41" i="11"/>
  <c r="E32" i="24"/>
  <c r="F14" i="24"/>
  <c r="E44" i="24"/>
  <c r="H25" i="3"/>
  <c r="I25" i="3"/>
  <c r="B35" i="11"/>
  <c r="L24" i="22"/>
  <c r="B40" i="11"/>
  <c r="L27" i="22"/>
  <c r="G14" i="24"/>
  <c r="G25" i="24"/>
  <c r="G29" i="24"/>
  <c r="H20" i="3"/>
  <c r="I20" i="3"/>
  <c r="L20" i="22"/>
  <c r="B31" i="11"/>
  <c r="D57" i="20"/>
  <c r="E38" i="20"/>
  <c r="G22" i="24"/>
  <c r="H23" i="3"/>
  <c r="I23" i="3"/>
  <c r="K19" i="22"/>
  <c r="J34" i="22"/>
  <c r="G13" i="3"/>
  <c r="H18" i="3"/>
  <c r="I18" i="3"/>
  <c r="G26" i="24"/>
  <c r="D32" i="24"/>
  <c r="L32" i="22"/>
  <c r="B38" i="11"/>
  <c r="L26" i="22"/>
  <c r="B37" i="11"/>
  <c r="H14" i="3"/>
  <c r="I14" i="3"/>
  <c r="H19" i="3"/>
  <c r="I19" i="3"/>
  <c r="H22" i="3"/>
  <c r="I22" i="3"/>
  <c r="H21" i="3"/>
  <c r="I21" i="3"/>
  <c r="H15" i="3"/>
  <c r="I15" i="3"/>
  <c r="B34" i="11"/>
  <c r="L23" i="22"/>
  <c r="G24" i="24"/>
  <c r="H26" i="3"/>
  <c r="I26" i="3"/>
  <c r="G16" i="3"/>
  <c r="K22" i="22"/>
  <c r="G31" i="24"/>
  <c r="H27" i="3"/>
  <c r="I27" i="3"/>
  <c r="E46" i="24" l="1"/>
  <c r="L22" i="22"/>
  <c r="B33" i="11"/>
  <c r="C38" i="3"/>
  <c r="B38" i="3"/>
  <c r="C45" i="3"/>
  <c r="M45" i="3" s="1"/>
  <c r="B45" i="3"/>
  <c r="C37" i="3"/>
  <c r="B37" i="3"/>
  <c r="C41" i="3"/>
  <c r="M41" i="3" s="1"/>
  <c r="B41" i="3"/>
  <c r="B69" i="3"/>
  <c r="E69" i="3" s="1"/>
  <c r="J23" i="3"/>
  <c r="B66" i="3"/>
  <c r="E66" i="3" s="1"/>
  <c r="J20" i="3"/>
  <c r="G32" i="24"/>
  <c r="B63" i="3"/>
  <c r="E63" i="3" s="1"/>
  <c r="J17" i="3"/>
  <c r="J24" i="3"/>
  <c r="B70" i="3"/>
  <c r="E70" i="3" s="1"/>
  <c r="J27" i="3"/>
  <c r="B73" i="3"/>
  <c r="E73" i="3" s="1"/>
  <c r="H16" i="3"/>
  <c r="I16" i="3"/>
  <c r="J21" i="3"/>
  <c r="B67" i="3"/>
  <c r="E67" i="3" s="1"/>
  <c r="B65" i="3"/>
  <c r="E65" i="3" s="1"/>
  <c r="J19" i="3"/>
  <c r="G35" i="24"/>
  <c r="D42" i="24"/>
  <c r="B42" i="24" s="1"/>
  <c r="I13" i="3"/>
  <c r="H13" i="3"/>
  <c r="G28" i="3"/>
  <c r="H28" i="3" s="1"/>
  <c r="C46" i="3"/>
  <c r="M46" i="3" s="1"/>
  <c r="B46" i="3"/>
  <c r="C43" i="3"/>
  <c r="B43" i="3"/>
  <c r="J25" i="3"/>
  <c r="B71" i="3"/>
  <c r="E71" i="3" s="1"/>
  <c r="G36" i="24"/>
  <c r="F32" i="24"/>
  <c r="B40" i="3"/>
  <c r="C40" i="3"/>
  <c r="M40" i="3" s="1"/>
  <c r="B47" i="3"/>
  <c r="C47" i="3"/>
  <c r="M47" i="3" s="1"/>
  <c r="B50" i="3"/>
  <c r="C50" i="3"/>
  <c r="M50" i="3" s="1"/>
  <c r="J26" i="3"/>
  <c r="B72" i="3"/>
  <c r="E72" i="3" s="1"/>
  <c r="C44" i="3"/>
  <c r="M44" i="3" s="1"/>
  <c r="B44" i="3"/>
  <c r="C42" i="3"/>
  <c r="M42" i="3" s="1"/>
  <c r="B42" i="3"/>
  <c r="K34" i="22"/>
  <c r="G31" i="11"/>
  <c r="E41" i="24"/>
  <c r="G41" i="24" s="1"/>
  <c r="D39" i="20"/>
  <c r="B48" i="3"/>
  <c r="C48" i="3"/>
  <c r="M48" i="3" s="1"/>
  <c r="C49" i="3"/>
  <c r="M49" i="3" s="1"/>
  <c r="B49" i="3"/>
  <c r="J15" i="3"/>
  <c r="B61" i="3"/>
  <c r="E61" i="3" s="1"/>
  <c r="B68" i="3"/>
  <c r="E68" i="3" s="1"/>
  <c r="J22" i="3"/>
  <c r="B60" i="3"/>
  <c r="E60" i="3" s="1"/>
  <c r="J14" i="3"/>
  <c r="B64" i="3"/>
  <c r="E64" i="3" s="1"/>
  <c r="J18" i="3"/>
  <c r="B30" i="11"/>
  <c r="L19" i="22"/>
  <c r="G37" i="24" l="1"/>
  <c r="G38" i="24" s="1"/>
  <c r="G39" i="24" s="1"/>
  <c r="E16" i="26"/>
  <c r="F16" i="26" s="1"/>
  <c r="D47" i="3"/>
  <c r="D25" i="26" s="1"/>
  <c r="I47" i="3"/>
  <c r="N47" i="3" s="1"/>
  <c r="E25" i="26" s="1"/>
  <c r="F25" i="26" s="1"/>
  <c r="I43" i="3"/>
  <c r="D20" i="26"/>
  <c r="D43" i="3"/>
  <c r="I37" i="3"/>
  <c r="N37" i="3" s="1"/>
  <c r="D37" i="3"/>
  <c r="I38" i="3"/>
  <c r="N38" i="3" s="1"/>
  <c r="D38" i="3"/>
  <c r="B29" i="11"/>
  <c r="E31" i="11"/>
  <c r="G33" i="11"/>
  <c r="D44" i="3"/>
  <c r="D24" i="26" s="1"/>
  <c r="I44" i="3"/>
  <c r="N44" i="3" s="1"/>
  <c r="E24" i="26" s="1"/>
  <c r="F24" i="26" s="1"/>
  <c r="M43" i="3"/>
  <c r="E21" i="26" s="1"/>
  <c r="F21" i="26" s="1"/>
  <c r="D21" i="26"/>
  <c r="B36" i="3"/>
  <c r="C36" i="3"/>
  <c r="J16" i="3"/>
  <c r="B62" i="3"/>
  <c r="E62" i="3" s="1"/>
  <c r="G42" i="24"/>
  <c r="D48" i="3"/>
  <c r="D29" i="26" s="1"/>
  <c r="I48" i="3"/>
  <c r="N48" i="3" s="1"/>
  <c r="E29" i="26" s="1"/>
  <c r="F29" i="26" s="1"/>
  <c r="D50" i="3"/>
  <c r="I50" i="3"/>
  <c r="N50" i="3" s="1"/>
  <c r="D40" i="3"/>
  <c r="I40" i="3"/>
  <c r="N40" i="3" s="1"/>
  <c r="I46" i="3"/>
  <c r="N46" i="3" s="1"/>
  <c r="D46" i="3"/>
  <c r="B59" i="3"/>
  <c r="I28" i="3"/>
  <c r="J13" i="3"/>
  <c r="C39" i="3"/>
  <c r="B39" i="3"/>
  <c r="D41" i="3"/>
  <c r="I41" i="3"/>
  <c r="N41" i="3" s="1"/>
  <c r="D45" i="3"/>
  <c r="D31" i="26" s="1"/>
  <c r="I45" i="3"/>
  <c r="N45" i="3" s="1"/>
  <c r="E31" i="26" s="1"/>
  <c r="F31" i="26" s="1"/>
  <c r="I49" i="3"/>
  <c r="N49" i="3" s="1"/>
  <c r="E22" i="26" s="1"/>
  <c r="D49" i="3"/>
  <c r="D22" i="26" s="1"/>
  <c r="E39" i="20"/>
  <c r="D40" i="20"/>
  <c r="E40" i="20" s="1"/>
  <c r="I42" i="3"/>
  <c r="N42" i="3" s="1"/>
  <c r="D42" i="3"/>
  <c r="E42" i="24"/>
  <c r="G31" i="26" l="1"/>
  <c r="D26" i="26"/>
  <c r="F22" i="26"/>
  <c r="I29" i="3"/>
  <c r="E20" i="20" s="1"/>
  <c r="J28" i="3"/>
  <c r="G35" i="11"/>
  <c r="G38" i="11" s="1"/>
  <c r="D60" i="19"/>
  <c r="E60" i="19" s="1"/>
  <c r="D59" i="19"/>
  <c r="D15" i="26"/>
  <c r="D39" i="3"/>
  <c r="I39" i="3"/>
  <c r="E59" i="3"/>
  <c r="E74" i="3" s="1"/>
  <c r="D43" i="20" s="1"/>
  <c r="E43" i="20" s="1"/>
  <c r="B74" i="3"/>
  <c r="G29" i="26"/>
  <c r="C51" i="3"/>
  <c r="D16" i="26"/>
  <c r="G16" i="26" s="1"/>
  <c r="M51" i="3"/>
  <c r="N43" i="3"/>
  <c r="E20" i="26"/>
  <c r="F20" i="26" s="1"/>
  <c r="B51" i="3"/>
  <c r="I36" i="3"/>
  <c r="D14" i="26"/>
  <c r="D36" i="3"/>
  <c r="D51" i="3" s="1"/>
  <c r="D41" i="26" s="1"/>
  <c r="G22" i="26"/>
  <c r="E26" i="26"/>
  <c r="F26" i="26" s="1"/>
  <c r="G21" i="26"/>
  <c r="G24" i="26"/>
  <c r="G25" i="26"/>
  <c r="D32" i="26" l="1"/>
  <c r="E15" i="26"/>
  <c r="F15" i="26" s="1"/>
  <c r="N39" i="3"/>
  <c r="E61" i="19"/>
  <c r="E59" i="19"/>
  <c r="N36" i="3"/>
  <c r="E14" i="26"/>
  <c r="I51" i="3"/>
  <c r="E61" i="11"/>
  <c r="G42" i="11"/>
  <c r="C66" i="19"/>
  <c r="E45" i="26"/>
  <c r="G26" i="26"/>
  <c r="G20" i="26"/>
  <c r="N51" i="3" l="1"/>
  <c r="E41" i="26" s="1"/>
  <c r="G41" i="26" s="1"/>
  <c r="F14" i="26"/>
  <c r="E44" i="26"/>
  <c r="E46" i="26" s="1"/>
  <c r="E32" i="26"/>
  <c r="D42" i="20"/>
  <c r="G15" i="26"/>
  <c r="G61" i="19"/>
  <c r="D49" i="20" s="1"/>
  <c r="G14" i="26"/>
  <c r="G35" i="26"/>
  <c r="D42" i="26"/>
  <c r="B42" i="26" s="1"/>
  <c r="O51" i="3" l="1"/>
  <c r="E49" i="20"/>
  <c r="D53" i="20"/>
  <c r="E53" i="20" s="1"/>
  <c r="E42" i="20"/>
  <c r="D44" i="20"/>
  <c r="F32" i="26"/>
  <c r="E42" i="26"/>
  <c r="G36" i="26"/>
  <c r="G37" i="26" s="1"/>
  <c r="G38" i="26" s="1"/>
  <c r="G39" i="26" s="1"/>
  <c r="G32" i="26"/>
  <c r="G42" i="26" s="1"/>
  <c r="D55" i="20" l="1"/>
  <c r="E44" i="20"/>
  <c r="D59" i="20" l="1"/>
  <c r="D66" i="20"/>
  <c r="E66" i="20" s="1"/>
  <c r="D68" i="20"/>
  <c r="E55" i="20"/>
  <c r="E68" i="20" l="1"/>
  <c r="E69" i="20" s="1"/>
  <c r="D69" i="20"/>
  <c r="E59" i="20"/>
  <c r="E63" i="20" s="1"/>
  <c r="A63" i="20" s="1"/>
  <c r="C3" i="2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rbarrera</author>
  </authors>
  <commentList>
    <comment ref="F62" authorId="0" shapeId="0" xr:uid="{00000000-0006-0000-0100-000001000000}">
      <text>
        <r>
          <rPr>
            <sz val="8"/>
            <color indexed="81"/>
            <rFont val="Tahoma"/>
            <family val="2"/>
          </rPr>
          <t>Es la referencia que maneja CxC para los depositos de clientes.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rbarrera</author>
  </authors>
  <commentList>
    <comment ref="X9" authorId="0" shapeId="0" xr:uid="{00000000-0006-0000-0200-000001000000}">
      <text>
        <r>
          <rPr>
            <sz val="6"/>
            <color indexed="81"/>
            <rFont val="Tahoma"/>
            <family val="2"/>
          </rPr>
          <t>Debe cololcar el número de location.</t>
        </r>
      </text>
    </comment>
    <comment ref="D54" authorId="0" shapeId="0" xr:uid="{00000000-0006-0000-0200-000002000000}">
      <text>
        <r>
          <rPr>
            <sz val="6"/>
            <color indexed="81"/>
            <rFont val="Tahoma"/>
            <family val="2"/>
          </rPr>
          <t>Cambiar a Horas o Dias según sea el caso.</t>
        </r>
      </text>
    </comment>
  </commentList>
</comments>
</file>

<file path=xl/sharedStrings.xml><?xml version="1.0" encoding="utf-8"?>
<sst xmlns="http://schemas.openxmlformats.org/spreadsheetml/2006/main" count="2107" uniqueCount="982">
  <si>
    <t>Niveles de Aprobación - Descuento %</t>
  </si>
  <si>
    <t>Autorización DET + (VP o DR) + DF</t>
  </si>
  <si>
    <t>Autorización DET + (VP o DR) + DF + DG</t>
  </si>
  <si>
    <t>Niveles de Aprobación - Porcentaje %EP</t>
  </si>
  <si>
    <t>% de Descuento</t>
  </si>
  <si>
    <t>Comisión</t>
  </si>
  <si>
    <t>Pago Directo a PSAV</t>
  </si>
  <si>
    <t>Cliente Corporativo</t>
  </si>
  <si>
    <t xml:space="preserve">     REVENUE</t>
  </si>
  <si>
    <t>40010  Ventas en Renta de Equipo</t>
  </si>
  <si>
    <t>Equipo Audiovisual propia de la empresa</t>
  </si>
  <si>
    <t>40015  Ventas  de Iluminación</t>
  </si>
  <si>
    <t>Equipo de Iluminación de la empresa</t>
  </si>
  <si>
    <t>40020  Ventas por Subrenta</t>
  </si>
  <si>
    <t>Equipo Audiovisual rentado a un proveedor</t>
  </si>
  <si>
    <t>40040   Descuentos sobre Ventas</t>
  </si>
  <si>
    <t>MONTAJE y DESMONTAJE</t>
  </si>
  <si>
    <t>RIGGING MO</t>
  </si>
  <si>
    <t>Concepto</t>
  </si>
  <si>
    <t>Descuento sobre rentas de equipo audivisual (No incluye Mano de Obra)</t>
  </si>
  <si>
    <t>40050  Venta por Puntos de Rigging (PSAV)</t>
  </si>
  <si>
    <t xml:space="preserve">Incluye el material que se utilice para realizar el punto (hanging point), shackles, eslingas, ect. Solo hasta el punto </t>
  </si>
  <si>
    <t>40060  Venta por Puntos de Rigging (Subrentado)</t>
  </si>
  <si>
    <t>40070  Venta por Renta de Equipo de Rigging (PSAV)</t>
  </si>
  <si>
    <t xml:space="preserve">Motores, eslingas, shackles, etc. Del punto hacia la carga </t>
  </si>
  <si>
    <t>40080  Venta por Renta de Equipo de Rigging (Subrentado)</t>
  </si>
  <si>
    <t>40090  Venta por Mano de Obra de Rigging (PSAV)</t>
  </si>
  <si>
    <t xml:space="preserve">Riggers, operadores de grúa, etc </t>
  </si>
  <si>
    <t>40100  Venta por Mano de Obra de Rigging (Freelances)</t>
  </si>
  <si>
    <t>41116   Venta de Consumibles</t>
  </si>
  <si>
    <t>Plumones, hojas de rotafolios</t>
  </si>
  <si>
    <t>41120   Ventas por Montaje y Desmontaje</t>
  </si>
  <si>
    <t>Instalación de equipo, iluminación, escenografía</t>
  </si>
  <si>
    <t>41125   Ventas por Mano de Obra</t>
  </si>
  <si>
    <t>Servicio técnico en el transcurso de un evento.</t>
  </si>
  <si>
    <t>41130   Venta por Equipo en Comodato</t>
  </si>
  <si>
    <t>Facturación de equipo del Hotel</t>
  </si>
  <si>
    <t>41132   Facturación de Mano de Obra (Salarios PSR)</t>
  </si>
  <si>
    <t>Factuarción de la nómina más Mark Up</t>
  </si>
  <si>
    <t>41134   Venta por Service Charge</t>
  </si>
  <si>
    <t>Facturación de cargo por servicio.</t>
  </si>
  <si>
    <t>41137   Descuentos sobre Mano de Obra</t>
  </si>
  <si>
    <t>Descuento sobre  Mano de Obra</t>
  </si>
  <si>
    <t>41180   Ventas por Ingresos Externos varios</t>
  </si>
  <si>
    <t>Miscellaneous (Ingresos por Viaticos)</t>
  </si>
  <si>
    <t>4b - Venta-Comision F-28</t>
  </si>
  <si>
    <t xml:space="preserve">     Debe ser siempre Cero</t>
  </si>
  <si>
    <t>Autorización (VP o DR)</t>
  </si>
  <si>
    <t>Autorización DC</t>
  </si>
  <si>
    <t>Autorización DG</t>
  </si>
  <si>
    <t>Por % EP</t>
  </si>
  <si>
    <t>Firma</t>
  </si>
  <si>
    <t>Correo</t>
  </si>
  <si>
    <t>Fecha de Recepción de Autorización</t>
  </si>
  <si>
    <t>$ Desc</t>
  </si>
  <si>
    <t>% Desc</t>
  </si>
  <si>
    <t>PSAV Mexico</t>
  </si>
  <si>
    <t>DESCRIPCIÓN</t>
  </si>
  <si>
    <t># Cotización:</t>
  </si>
  <si>
    <t>Ventas en Renta de Equipo</t>
  </si>
  <si>
    <t>40010</t>
  </si>
  <si>
    <t>40015</t>
  </si>
  <si>
    <t>40020</t>
  </si>
  <si>
    <t>40040</t>
  </si>
  <si>
    <t>40050</t>
  </si>
  <si>
    <t>40060</t>
  </si>
  <si>
    <t>40070</t>
  </si>
  <si>
    <t>40080</t>
  </si>
  <si>
    <t>40090</t>
  </si>
  <si>
    <t>40100</t>
  </si>
  <si>
    <t>41116</t>
  </si>
  <si>
    <t>Comisión sobre Ventas</t>
  </si>
  <si>
    <t>Comisión sobre Mano de Obra</t>
  </si>
  <si>
    <t>41120</t>
  </si>
  <si>
    <t>41125</t>
  </si>
  <si>
    <t>41130</t>
  </si>
  <si>
    <t>41132</t>
  </si>
  <si>
    <t>41134</t>
  </si>
  <si>
    <t>41137</t>
  </si>
  <si>
    <t>41180</t>
  </si>
  <si>
    <t>Ventas  de Iluminación</t>
  </si>
  <si>
    <t>Ventas por Subrenta</t>
  </si>
  <si>
    <t>Descuentos sobre Ventas</t>
  </si>
  <si>
    <t>Venta por Puntos de Rigging (PSAV)</t>
  </si>
  <si>
    <t>Venta por Puntos de Rigging (Subrentado)</t>
  </si>
  <si>
    <t>Venta por Renta de Equipo de Rigging (Subrentado)</t>
  </si>
  <si>
    <t>Venta por Mano de Obra de Rigging (PSAV)</t>
  </si>
  <si>
    <t>Venta por Mano de Obra de Rigging (Freelances)</t>
  </si>
  <si>
    <t>Venta por Renta de Equipo de Rigging (PSAV)</t>
  </si>
  <si>
    <t>Ventas por Montaje y Desmontaje</t>
  </si>
  <si>
    <t>Ventas por Mano de Obra</t>
  </si>
  <si>
    <t>Venta por Equipo en Comodato</t>
  </si>
  <si>
    <t>Facturación de Mano de Obra (Salarios PSR)</t>
  </si>
  <si>
    <t>Venta por Service Charge</t>
  </si>
  <si>
    <t>Descuentos sobre Mano de Obra</t>
  </si>
  <si>
    <t>CLAVE</t>
  </si>
  <si>
    <t>Forma de Recepción de Autorización</t>
  </si>
  <si>
    <t>CONTROL INTERNO</t>
  </si>
  <si>
    <t>Nombre Proveedor</t>
  </si>
  <si>
    <t># Cotizacion o Factura-Proveedor</t>
  </si>
  <si>
    <t>Solicitar autorización a:</t>
  </si>
  <si>
    <t>% Utilidad</t>
  </si>
  <si>
    <t>Niveles de Aprobación -  % de Utilidad</t>
  </si>
  <si>
    <t>CALCULO DE COMISIONES A OPERADORA, MEETING PLANNER and DMC's</t>
  </si>
  <si>
    <t>Aplica Tabla de Starwood</t>
  </si>
  <si>
    <t>Rigging Equipo</t>
  </si>
  <si>
    <t>Idioma</t>
  </si>
  <si>
    <t>Español</t>
  </si>
  <si>
    <t>E-mail:</t>
  </si>
  <si>
    <t>MX Pesos</t>
  </si>
  <si>
    <t>US Dollars</t>
  </si>
  <si>
    <t>HOURS</t>
  </si>
  <si>
    <t>DAYS</t>
  </si>
  <si>
    <t>Direct Bill</t>
  </si>
  <si>
    <t>Master Account</t>
  </si>
  <si>
    <t>Corporate Customer</t>
  </si>
  <si>
    <t>YES</t>
  </si>
  <si>
    <t>2. This agreement shall be effective only if the client approves and signs this quotation and pays the percentage set forth as downpayment before the date established as the DUE DATE. If the downpayment is not paid and this document is not signed in agreement, Presentation Services, S.A. de C.V. shall have no obligation to render the services. The balance shall be paid before the installation begins. If the balance is not paid, this quotation shall not be executed. The quoted prices do not include VAT. Unpaid balance, if any, shall bear default interest at a rate of 5%, calculated on a monthly basis on all unpaid balance if it is not paid at PRESENTATION SERVICES domicile.</t>
  </si>
  <si>
    <t>3. Payments shall be made to Presentation Services, S.A. de C.V. and shall be made at its domicile. The quoted labor costs are an estimate and shall be adjusted and calculated once the quoted service is finished.</t>
  </si>
  <si>
    <t>9. I Authorize irrevocably and exclusively for the world and in perpetuity and with no charges to Presentation Services SA DE CV and / or its related entities, to use material, photographs, videos, recordings, images, appereance, voice, and / or other data similar in relation to production, assembly or exhibition of the event, in whole or in part, by any method and communication media, without notice or compensation to the customer.                                                                                                                                                                                       I Agree_____________                          I Disagree________________</t>
  </si>
  <si>
    <t>9. Autorizo irrevocable y exclusivamente, para todo el mundo y de forma perpetua y gratuita a PRESENTATION SERVICES S.A. DE C.V. y/o sus entidades relacionadas, a utilizar material, fotografías, videos, grabaciones, imagen, apariencia, voz, y/o cualquier otro dato semejante, en relación con la producción, montaje o exhibición del evento, en su totalidad o en parte, por cualquier método y medios de comunicación, sin aviso o compensación para el cliente.                                                                                                                               Acepto___________                      No Acepto___________</t>
  </si>
  <si>
    <t>6. Cancellations shall be made in writing (with acknowledgement of receipt requested) by means of a 48 business hours notice. All cancellations made within the aforementioned period of time shall be charged a 100% fee of the total amount of the quotation. Regardless of whether the client pays any kind of monetary expense incurred in to execute this quotation, which shall be duly evidenced to the client (sic). In case of cancellation, Presentation Services may use the downpayments made by the Client to satisfy said expenses, issuing the relevant invoice that covers the amount set forth. All additional services or equipment for the event shall be documented in charges or sundry expenses records, which shall be an integral part hereof. The client shall be responsible for the equipment upon reception and shall fully protect its integrity and security. If it is not returned once the quoted service has been finished, it shall accrue a pro rata charge for each day of delay . This quotation may be confirmed by fax, but always in the terms of these conditions. Cancellations in scenery and stagging, must be 7 days in advance with a writing letter with a return receipt. Any cancellation made within 7 days prior to the date of the event will generate a charge of 100% of the total quote.</t>
  </si>
  <si>
    <t>6. En caso de cancelación, deberá hacerse por escrito con acuse de recibo con 48 horas hábiles de anticipación, toda cancelación realizada en ese término,  generará un cargo del 100%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Todo servicio o equipo adicional para el evento se documentará en hojas de cargo o miscelaneo que formará parte de este instrumento. El cliente será responsable del equipo cuando lo reciba y cuidará de su total integridad y seguridad. En caso de no reintegrarlo despues de terminado el servicio cotizado, generara un cobro proporcional por día de retraso. Se puede confirmar esta cotizacion vía fax, pero siempre en los terminos de estas condiciones.En caso de cancelación en escenografías, deberá hacerse por escrito con acuse de recibo con 7 días hábiles de anticipación. Toda cancelación realizada dentro de los 7 días anteriores a la fecha del evento,  generará un cargo del 100% del total de la cotización.</t>
  </si>
  <si>
    <t>4. The client shall procure and pay any and all licenses or permits, including union fees. The quoted technician-hours shall be calculated and paid for each technician employed. The charges for each of them shall be equivalent to at least four hours.</t>
  </si>
  <si>
    <t>5. In the event of any technical failure of the equipment or any part thereof, Presentation Services, S.A. de C.V. shall deduct a proportional part for the non-functioning equipment and said circumstance shall not be a cause for the client not to fully pay the event or service. In case a disagreement arises, the client shall notify it in writing at the conclusion of the event and, if said notification is not made (with acknowledgment of receipt requested), the event shall be deemed to meet the agreed quality. Presentation Services, S.A. de C.V. shall not be liable in case of an act of God or force majeure.</t>
  </si>
  <si>
    <t>Venta</t>
  </si>
  <si>
    <t>Total Factura MN</t>
  </si>
  <si>
    <t>8. The payment of the downpayment or the execution of the quotation constitutes the confirmation of the event.</t>
  </si>
  <si>
    <t>GUIA</t>
  </si>
  <si>
    <t>AUTORIZACIONES PSAV</t>
  </si>
  <si>
    <t>CR Aca</t>
  </si>
  <si>
    <t>Mundo Imperial</t>
  </si>
  <si>
    <t>Fiesta INN Fundidora</t>
  </si>
  <si>
    <t>Marriot Reforma</t>
  </si>
  <si>
    <t xml:space="preserve">3. Cualquier pago que se efectúe, deberá ser a favor de Presentation Services, S.A. de C.V. y deberá ser realizado en su domicilio. La mano de obra cotizada es una estimado, se ajustará y calculará al terminar el servicio cotizado. </t>
  </si>
  <si>
    <t>4. El cliente tramitará y pagará, cualquier tipo de licencia o permiso, incluyendo aportación sindical. La hora técnico cotizada, se calculará y pagará por cada uno de los técnicos utilizados, por cada uno de ellos el cargo deberá de ser mínimo de cuatro horas.</t>
  </si>
  <si>
    <t>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 Presentation Services, S.A. de C.V. no será responsable ante el caso fortuito o fuerza mayor.</t>
  </si>
  <si>
    <t>RIGGING</t>
  </si>
  <si>
    <t>Mapping of old Aspel Cost Centers to EPICOR Locations, Departments and Prod Lines</t>
  </si>
  <si>
    <t>Old CC COI</t>
  </si>
  <si>
    <t xml:space="preserve"> Description</t>
  </si>
  <si>
    <t>New Location</t>
  </si>
  <si>
    <t>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R.F.C. PSE-931116-PLA,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t>
  </si>
  <si>
    <t>1. This quotation shall become a Service Rendering Agreement once approved by means of the signature by CLIENT, who shall be the individual or legal person to which this document is addressed and who is mentioned in the first part hereof. The CLIENT shall execute this document in agreement either through his/her/its Legal Representative or officers or agents. The CLIENT represents that he/she/it has the authority to execute this document and that his/her/its domicile is the place to which this quotation was sent. Presentation Services, S.A. de C.V. RFC PSE-931116-PLA represents that it is a Mexican corporation, that its representative has the authority to execute this document and that it shall hereinafter be referred to as PRESENTATION SERVICES, with domicile located at Prolongación 5 de Mayo No. 25 Int 1, Col. Parque Industrial Naucalpan, Municipio Naucalpan de Juárez, Estado de México  C.P. 53489 Mexico City, Mexico. The prices referred to herein are quoted on a daily basis. Any purpose change, moving of equipment once it has been installed (Presentation Services shall not be liable for delays derived from changes) or out-of-pocket expenses shall result in a revision of the quoted price and times.</t>
  </si>
  <si>
    <t>New Department</t>
  </si>
  <si>
    <t>New Prod Line</t>
  </si>
  <si>
    <t>New Location Name</t>
  </si>
  <si>
    <t>New Department Name</t>
  </si>
  <si>
    <t>New Prod Line Name</t>
  </si>
  <si>
    <t>SG&amp;A - DF</t>
  </si>
  <si>
    <t>VENTAS HOTELES</t>
  </si>
  <si>
    <t>0300</t>
  </si>
  <si>
    <t>Corporate - DF</t>
  </si>
  <si>
    <t>Sales - New Hotel</t>
  </si>
  <si>
    <t>Corporate</t>
  </si>
  <si>
    <t>Business Develoment</t>
  </si>
  <si>
    <t>MERCADOTECNIA</t>
  </si>
  <si>
    <t>Marketing</t>
  </si>
  <si>
    <t>DIRECCION COMERCIAL</t>
  </si>
  <si>
    <t>Direccion Comercial</t>
  </si>
  <si>
    <t>COMPRAS</t>
  </si>
  <si>
    <t>Procurement</t>
  </si>
  <si>
    <t>0100</t>
  </si>
  <si>
    <t>Finance</t>
  </si>
  <si>
    <t>DIRECCION FINANZAS</t>
  </si>
  <si>
    <t>DIRECCION FINANZAS-CONTRALORIA</t>
  </si>
  <si>
    <t>DIRECCION FINANZAS-TESORERIA</t>
  </si>
  <si>
    <t>DIRECCION FINANZAS-CREDITO Y COBRANZA</t>
  </si>
  <si>
    <t>AUDITORIA INTERNA</t>
  </si>
  <si>
    <t>CALIDAD</t>
  </si>
  <si>
    <t>Calidad</t>
  </si>
  <si>
    <t>RECURSOS HUMANOS</t>
  </si>
  <si>
    <t>Human Resources</t>
  </si>
  <si>
    <t>SISTEMAS</t>
  </si>
  <si>
    <t>Information Technology</t>
  </si>
  <si>
    <t>TRAINING - CAPACITACION</t>
  </si>
  <si>
    <t>Training</t>
  </si>
  <si>
    <t>DIRECCION GENERAL</t>
  </si>
  <si>
    <t>General Managment</t>
  </si>
  <si>
    <t>new</t>
  </si>
  <si>
    <t>NEW - PREVIOUSLY IN DEPT 3</t>
  </si>
  <si>
    <t>Legal - on-going</t>
  </si>
  <si>
    <t>PYR</t>
  </si>
  <si>
    <t>Legal - prior admin lawsuit</t>
  </si>
  <si>
    <t>CORPORATIVO SGA</t>
  </si>
  <si>
    <t>Facilities</t>
  </si>
  <si>
    <t>SG&amp;A - Cancun</t>
  </si>
  <si>
    <t>VENTAS HOTELES RESORTS</t>
  </si>
  <si>
    <t>Corporate - Cancun (for sales staff only)</t>
  </si>
  <si>
    <t>COST OF SALES</t>
  </si>
  <si>
    <t>Special Accounting</t>
  </si>
  <si>
    <t>CONTABILIDAD - COSTO</t>
  </si>
  <si>
    <t>Costs of Sales - record AFDA, lost gear, other</t>
  </si>
  <si>
    <t>Costs of Sales</t>
  </si>
  <si>
    <t>RESERVA P/ EQUIPO PERDIDO y CTAS INCOB</t>
  </si>
  <si>
    <t>R VP and R Dir</t>
  </si>
  <si>
    <t>VICEPRESIDENTE RESORTS</t>
  </si>
  <si>
    <t>R VP - Resorts</t>
  </si>
  <si>
    <t>Regional SG&amp;A</t>
  </si>
  <si>
    <t>VICEPRESIDENTE DE OPERACIONES</t>
  </si>
  <si>
    <t>R VP - City</t>
  </si>
  <si>
    <t>DIRECTOR REGIONAL DE OPERACIONES</t>
  </si>
  <si>
    <t>Director Regional de Operaciones</t>
  </si>
  <si>
    <t>City Directors</t>
  </si>
  <si>
    <t>DIRECTOR DE CIUDAD MEXICO</t>
  </si>
  <si>
    <t>Estas son guías de datos de eventos, modificables en función a las necesidades. Debes pegarlas en la columna "B" de la hoja 3-Item List</t>
  </si>
  <si>
    <t>City Director - DF</t>
  </si>
  <si>
    <t>DIRECTOR DE CIUDAD MONTERREY</t>
  </si>
  <si>
    <t>City Director - Monterrey</t>
  </si>
  <si>
    <t>DIRECTOR DE CIUDAD GUADALAJARA</t>
  </si>
  <si>
    <t>City Director - Guadalajara</t>
  </si>
  <si>
    <t>DIRECTOR DE CIUDAD VILLAHERMOSA</t>
  </si>
  <si>
    <t>City Director - Villahermosa</t>
  </si>
  <si>
    <t>DIRECTOR DE CIUDAD VERACRUZ</t>
  </si>
  <si>
    <t>City Director - Veracruz</t>
  </si>
  <si>
    <t>DIRECTOR DE CIUDAD CANCUN</t>
  </si>
  <si>
    <t>City Director - Cancun</t>
  </si>
  <si>
    <t>DIRECTOR DE CIUDAD LOS CABOS</t>
  </si>
  <si>
    <t>City Director - Los Cabos</t>
  </si>
  <si>
    <t>DIRECTOR DE CIUDAD ACA-HUAT-IXT</t>
  </si>
  <si>
    <t>City Director - Acapulco</t>
  </si>
  <si>
    <t>DIRECTOR DE CIUDAD PUERTO VALLARTA</t>
  </si>
  <si>
    <t>City Director - Puerto Vallarta</t>
  </si>
  <si>
    <t>DIRECTOR DE CIUDAD RIVIERA MAYA</t>
  </si>
  <si>
    <t>City Director - Riviera Maya</t>
  </si>
  <si>
    <t>DIRECTOR DE CIUDAD</t>
  </si>
  <si>
    <t>City Director - Hoteles Posadas</t>
  </si>
  <si>
    <t>Event Sales</t>
  </si>
  <si>
    <t>VENTAS CORPORATIVO / National Sales Force</t>
  </si>
  <si>
    <t>National Sales</t>
  </si>
  <si>
    <t>VENTAS RESORTS / RESORTS SALES FORCE</t>
  </si>
  <si>
    <t>Resort Sales</t>
  </si>
  <si>
    <t>VENTAS INTERNACIONALES</t>
  </si>
  <si>
    <t>International Sales</t>
  </si>
  <si>
    <t>ESD - DF</t>
  </si>
  <si>
    <t>EVENT SERVICES MEXICO AUDIOVISUAL</t>
  </si>
  <si>
    <t>0400</t>
  </si>
  <si>
    <t>RENTAL SERVICES-Distrito Federal</t>
  </si>
  <si>
    <t>Events Services (rental services)</t>
  </si>
  <si>
    <t>LOGISTICA</t>
  </si>
  <si>
    <t>0600</t>
  </si>
  <si>
    <t>LOGISITCA-Distrito Federal</t>
  </si>
  <si>
    <t>EVENT SERVICES MEXICO VIDEOPRODUCCION</t>
  </si>
  <si>
    <t>0500</t>
  </si>
  <si>
    <t>VIDEOPRODUCCION-Distrito Federal</t>
  </si>
  <si>
    <t>Creative Services</t>
  </si>
  <si>
    <t>EVENT SERVICES MEXICO ESCENOGRAFIA</t>
  </si>
  <si>
    <t>0700</t>
  </si>
  <si>
    <t>ESCENOGRAFIA-Distrito Federal</t>
  </si>
  <si>
    <t>ESD - Resorts</t>
  </si>
  <si>
    <t>EVENT SERVICES CANCUN</t>
  </si>
  <si>
    <t>EVENT SERVICES CANCUN - HOTEL EXCELLENCE</t>
  </si>
  <si>
    <t>EVENT SERVICES LOS CABOS</t>
  </si>
  <si>
    <t>Mexico City</t>
  </si>
  <si>
    <t>Depto:</t>
  </si>
  <si>
    <t>Product Line</t>
  </si>
  <si>
    <t>Facturar a:</t>
  </si>
  <si>
    <t>N° de Vendedor:</t>
  </si>
  <si>
    <t>N° Orden de Compra:</t>
  </si>
  <si>
    <t>Nombre del Evento:</t>
  </si>
  <si>
    <t>Lugar del Evento:</t>
  </si>
  <si>
    <t>Fecha del Evento:</t>
  </si>
  <si>
    <t>Nombre del Contacto:</t>
  </si>
  <si>
    <t>RADISSON PERISUR</t>
  </si>
  <si>
    <t>Hotel Services</t>
  </si>
  <si>
    <t>ROYAL PEDREGAL</t>
  </si>
  <si>
    <t xml:space="preserve">ROYAL PEDREGAL </t>
  </si>
  <si>
    <t>PEDREGAL PALACE</t>
  </si>
  <si>
    <t>NH CENTRO HISTORICO</t>
  </si>
  <si>
    <t>GRAN HOTEL CD DE MEXICO</t>
  </si>
  <si>
    <t>GRAN HOTEL CIUDAD DE MEXICO</t>
  </si>
  <si>
    <t>FIESTA AMERICANA STA FE</t>
  </si>
  <si>
    <t xml:space="preserve">FIESTA AMERICANA STA FE </t>
  </si>
  <si>
    <t>SHERATON CENTRO HISTORICO</t>
  </si>
  <si>
    <t xml:space="preserve">SHERATON CENTRO HISTORICO </t>
  </si>
  <si>
    <t>PRESIDENTE INTERCONTINENTAL MEXICO</t>
  </si>
  <si>
    <t xml:space="preserve">Montaje: </t>
  </si>
  <si>
    <t>FIESTA AMERICANA REFORMA</t>
  </si>
  <si>
    <t xml:space="preserve">FIESTA AMERICANA REFORMA </t>
  </si>
  <si>
    <t>SHERATON MA. ISABEL</t>
  </si>
  <si>
    <t xml:space="preserve">SHERATON MARIA ISABEL </t>
  </si>
  <si>
    <t>SHERATON SUITES STA FE</t>
  </si>
  <si>
    <t xml:space="preserve">SHERATON SUITES STA FE </t>
  </si>
  <si>
    <t>MELIA REFORMA</t>
  </si>
  <si>
    <t xml:space="preserve">MELIA REFORMA </t>
  </si>
  <si>
    <t>NH MEXICO</t>
  </si>
  <si>
    <t>HOTEL W</t>
  </si>
  <si>
    <t>FIESTA AMERICANA GRAND CHAPULTEPEC</t>
  </si>
  <si>
    <t>FIESTA INN VIADUCTO</t>
  </si>
  <si>
    <t>FIESTA INN VIADUCTO  INSURGENTES</t>
  </si>
  <si>
    <t>CROWN PLAZA TLALNEPANTLA</t>
  </si>
  <si>
    <t>NH SANTA FE</t>
  </si>
  <si>
    <t>SEVILLA PALACE</t>
  </si>
  <si>
    <t>FIESTA INN AEROPUERTO DF</t>
  </si>
  <si>
    <t>FIESTA INN NAUCALPAN</t>
  </si>
  <si>
    <t>FIESTA INN PERIFERICO SUR</t>
  </si>
  <si>
    <t>FIESTA INN PERINORTE</t>
  </si>
  <si>
    <t>FIESTA INN CENTRO HISTORICO DF</t>
  </si>
  <si>
    <t>FIESTA INN CUAUTITLAN</t>
  </si>
  <si>
    <t>FIESTA INN TLALNEPANTLA</t>
  </si>
  <si>
    <t>Toluca</t>
  </si>
  <si>
    <t>MARRIOT TOLUCA</t>
  </si>
  <si>
    <t xml:space="preserve">MARRIOT TOLUCA </t>
  </si>
  <si>
    <t xml:space="preserve">CROWNE PLAZA TOLUCA </t>
  </si>
  <si>
    <t xml:space="preserve">CROWN PLAZA TOLUCA </t>
  </si>
  <si>
    <t xml:space="preserve">HOLIDAY INN TOLUCA </t>
  </si>
  <si>
    <t>MARRIOT IXTAPAN DE LA SAL</t>
  </si>
  <si>
    <t>FIESTA INN TOLUCA</t>
  </si>
  <si>
    <t>Monterrey</t>
  </si>
  <si>
    <t>FOUR POINTS MONTERREY</t>
  </si>
  <si>
    <t>FIESTA AMERICANA CENTRO MONTERREY</t>
  </si>
  <si>
    <t xml:space="preserve">FIESTA AMERICANA CENTRO MONTERREY </t>
  </si>
  <si>
    <t>HOWARD JONSON MONTERREY</t>
  </si>
  <si>
    <t>HOWARD JOHNSON  MONTERREY</t>
  </si>
  <si>
    <t>SHERATON AMBASSADOR MONTERREY</t>
  </si>
  <si>
    <t xml:space="preserve">SHERATON AMBASSADOR MONTERREY </t>
  </si>
  <si>
    <t>HILTON GARDEN MONTERREY</t>
  </si>
  <si>
    <t>IVAN SORIA</t>
  </si>
  <si>
    <t>FIESTA INN MONTERREY CENTRO</t>
  </si>
  <si>
    <t>FIESTA INN MONTERREY VALLE</t>
  </si>
  <si>
    <t>FIESTA INN MONTERREY LA FE AEROPUERTO</t>
  </si>
  <si>
    <t>FIESTA INN MONTERREY NORTE</t>
  </si>
  <si>
    <t>NH MONTERREY</t>
  </si>
  <si>
    <t>EVENTOS FUERA MONTERREY</t>
  </si>
  <si>
    <t>Guadalajara</t>
  </si>
  <si>
    <t>HILTON GUADALAJARA</t>
  </si>
  <si>
    <t>FIESTA AMERICANA GUADALAJARA</t>
  </si>
  <si>
    <t>PRESIDENTE INTERCONTINENTAL GDL</t>
  </si>
  <si>
    <t>PRESIDENTE INTERCONTINENTAL GUADALAJARA</t>
  </si>
  <si>
    <t>FIESTA AMERICANA GRAND GUADALAJARA</t>
  </si>
  <si>
    <t>FIESTA INN GUADALAJARA</t>
  </si>
  <si>
    <t>EVENTOS FUERA GUADALAJARA</t>
  </si>
  <si>
    <t>Villahermosa</t>
  </si>
  <si>
    <t>HILTON VILLAHERMOSA</t>
  </si>
  <si>
    <t>HYATT VILLA HERMOSA</t>
  </si>
  <si>
    <t xml:space="preserve">HYATT VILLAHERMOSA </t>
  </si>
  <si>
    <t>HYATT VILLAHERMOSA - BUSSINES CENTER</t>
  </si>
  <si>
    <t>0200</t>
  </si>
  <si>
    <t>EVENTOS FUERA VILLAHERMOSA</t>
  </si>
  <si>
    <t xml:space="preserve">EVENTOS FUERA VILLAHERMOSA </t>
  </si>
  <si>
    <t>CAMINO REAL VILLAHERMOSA</t>
  </si>
  <si>
    <t xml:space="preserve">CAMINO REAL VILLAHERMOSA </t>
  </si>
  <si>
    <t>QUINTA REAL VILLAHERMOSA</t>
  </si>
  <si>
    <t xml:space="preserve">QUINTA REAL VILLAHERMOSA </t>
  </si>
  <si>
    <t>CROWN PLAZA VILLAHERMOSA</t>
  </si>
  <si>
    <t xml:space="preserve">CROWN PLAZA VILLAHERMOSA </t>
  </si>
  <si>
    <t>FIESTA INN VILLAHERMOSA</t>
  </si>
  <si>
    <t>Veracruz</t>
  </si>
  <si>
    <t>NH VERACRUZ</t>
  </si>
  <si>
    <t>ERICK MIGUEL GONZALEZ RAMOS</t>
  </si>
  <si>
    <t>WTC VERACRUZ</t>
  </si>
  <si>
    <t>CAMINO REAL VERACRUZ</t>
  </si>
  <si>
    <t>EVENTOS FUERA VERACRUZ</t>
  </si>
  <si>
    <t>Merida</t>
  </si>
  <si>
    <t>FIESTA AMERICANA MERIDA</t>
  </si>
  <si>
    <t xml:space="preserve">FIESTA AMERICANA MERIDA </t>
  </si>
  <si>
    <t>EVENTOS FUERA MERIDA</t>
  </si>
  <si>
    <t>HOLIDAY INN MERIDA</t>
  </si>
  <si>
    <t>Tuxtla</t>
  </si>
  <si>
    <t>CAMINO REAL TUXTLA GUTIERREZ</t>
  </si>
  <si>
    <t>CAMINO REAL TUXTLA</t>
  </si>
  <si>
    <t>Tijuana</t>
  </si>
  <si>
    <t>MARRIOT TIJUANA</t>
  </si>
  <si>
    <t>FIESTA INN TIJUANA RIO</t>
  </si>
  <si>
    <t>FIESTA INN TIJUANA OTAY AEROPUERTO</t>
  </si>
  <si>
    <t>EVENTOS FUERA TIJUANA</t>
  </si>
  <si>
    <t>Aguascalientes</t>
  </si>
  <si>
    <t>FIESTA AMERICANA AGUASCALIENTES</t>
  </si>
  <si>
    <t>FIESTA INN AGUASCALIENTES</t>
  </si>
  <si>
    <t>Hermosillo</t>
  </si>
  <si>
    <t>FIESTA AMERICANA HERMOSILLO</t>
  </si>
  <si>
    <t>FIESTA INN HERMOSILLO</t>
  </si>
  <si>
    <t>Leon</t>
  </si>
  <si>
    <t>FIESTA INN LEON</t>
  </si>
  <si>
    <t>EVENTOS FUERA LEON</t>
  </si>
  <si>
    <t>Puebla</t>
  </si>
  <si>
    <t>FIESTA INN PUEBLA LAS ANIMAS</t>
  </si>
  <si>
    <t>FIESTA AMERICANA PUEBLA</t>
  </si>
  <si>
    <t>FIESTA INN PUEBLA FINSA</t>
  </si>
  <si>
    <t>Queretaro</t>
  </si>
  <si>
    <t>FIESTA AMERICANA HACIENDA GALINDO</t>
  </si>
  <si>
    <t>FIESTA AMERICANA QUERETARO</t>
  </si>
  <si>
    <t>FIESTA INN QUERETARO</t>
  </si>
  <si>
    <t>Saltillo</t>
  </si>
  <si>
    <t>FIESTA INN SALTILLO</t>
  </si>
  <si>
    <t>San Luis Potosi</t>
  </si>
  <si>
    <t>FIESTA INN SAN LUIS POTOSI ORIENTE</t>
  </si>
  <si>
    <t>Autorización DET + (VP o DR) + DG</t>
  </si>
  <si>
    <t>Fecha de Cotización:</t>
  </si>
  <si>
    <t>V.5</t>
  </si>
  <si>
    <t>FIESTA INN SAN LUIS POTOSI GLORIETA</t>
  </si>
  <si>
    <t>Torreon</t>
  </si>
  <si>
    <t>FIESTA INN TORREON PLAZA LA ROSITA</t>
  </si>
  <si>
    <t>FIESTA INN TORREON GALERIAS</t>
  </si>
  <si>
    <t>Importe</t>
  </si>
  <si>
    <t>CARGOS INTERNOS</t>
  </si>
  <si>
    <t>Comisión Tarjeta de Credito</t>
  </si>
  <si>
    <t>UTILIDAD DEL EVENTO</t>
  </si>
  <si>
    <t>Consumibles y Otros Gastos</t>
  </si>
  <si>
    <t>New Business - City 2008</t>
  </si>
  <si>
    <t xml:space="preserve">New Business Budget - City </t>
  </si>
  <si>
    <t>Cancun and Riviera Maya</t>
  </si>
  <si>
    <t>CANCUN CENTER</t>
  </si>
  <si>
    <t xml:space="preserve">CANCUN CENTER </t>
  </si>
  <si>
    <t>FIESTA AMERICANA CONDESA CANCUN</t>
  </si>
  <si>
    <t>WESTIN REGINA CANCUN</t>
  </si>
  <si>
    <t xml:space="preserve">WESTIN CANCUN </t>
  </si>
  <si>
    <t>LE BLANC</t>
  </si>
  <si>
    <t xml:space="preserve">LE BLANC </t>
  </si>
  <si>
    <t>FIESTA AMERICANA GRAND CORAL BEACH</t>
  </si>
  <si>
    <t xml:space="preserve">FIESTA AMERICANA GRAND CORAL BEACH </t>
  </si>
  <si>
    <t>AVENTURA PALACE</t>
  </si>
  <si>
    <t xml:space="preserve">AVENTURA PALACE </t>
  </si>
  <si>
    <t>EVENTOS FUERA RIVIERA MAYA</t>
  </si>
  <si>
    <t>MOON PALACE</t>
  </si>
  <si>
    <t>BEACH PALACE CANCUN</t>
  </si>
  <si>
    <t>FIESTA AMERICANA AQUA CANCUN</t>
  </si>
  <si>
    <t>Los Cabos</t>
  </si>
  <si>
    <t xml:space="preserve">HILTON LOS CABOS </t>
  </si>
  <si>
    <t>ONE &amp; ONLY PALMILLA</t>
  </si>
  <si>
    <t xml:space="preserve">ONER &amp; ONLY PALMILLA </t>
  </si>
  <si>
    <t>SHERATON DEL MAR</t>
  </si>
  <si>
    <t>SHERATON HACIENDA DEL MAR</t>
  </si>
  <si>
    <t>SHERATON DEL MAR-BUSSINES CENTER</t>
  </si>
  <si>
    <t>WESTIN REGINA LOS CABOS</t>
  </si>
  <si>
    <t xml:space="preserve">WESTIN REGINA CABOS </t>
  </si>
  <si>
    <t>MELIA LOS CABOS</t>
  </si>
  <si>
    <t>FIESTA AMERICANA GRAND LOS CABOS</t>
  </si>
  <si>
    <t>Acapulco</t>
  </si>
  <si>
    <t>HYATT ACAPULCO</t>
  </si>
  <si>
    <t>HYATT ACAPULCO - BUSSINES CENTER</t>
  </si>
  <si>
    <t>HYATT ACAPULCO - CAMINO REAL ACAPULCO</t>
  </si>
  <si>
    <t>CROWN PLAZA ACAPULCO</t>
  </si>
  <si>
    <t>CROWNE PLAZA ACAPULCO</t>
  </si>
  <si>
    <t>PIERRE MARQUEZ</t>
  </si>
  <si>
    <t xml:space="preserve">PIERRE MARQUEZ </t>
  </si>
  <si>
    <t>PRINCESS ACAPULCO</t>
  </si>
  <si>
    <t xml:space="preserve">CENTRO INTERNACIONAL ACAPULCO </t>
  </si>
  <si>
    <t>CENTRO INTERNACIONAL ACAPULCO</t>
  </si>
  <si>
    <t>FIESTA INN ACAPULCO</t>
  </si>
  <si>
    <t>Huatulco</t>
  </si>
  <si>
    <t>LAS BRISAS HUATULCO</t>
  </si>
  <si>
    <t xml:space="preserve">BRISAS HUATULCO </t>
  </si>
  <si>
    <t>EVENTOS FUERA - CAMINO REAL HUATULCO</t>
  </si>
  <si>
    <t>Puerto Vallarta</t>
  </si>
  <si>
    <t>FIESTA AMERICANA PUERTO VALLARTA</t>
  </si>
  <si>
    <t xml:space="preserve">FIESTA AMERICANA PUERTO VALLARTA  </t>
  </si>
  <si>
    <t>SHERATON PUERTO VALLARTA</t>
  </si>
  <si>
    <t xml:space="preserve">SHERATON PUERTO VALLARTA </t>
  </si>
  <si>
    <t>WESTIN REGINA PTO VALLARTA</t>
  </si>
  <si>
    <t>WESTIN  BRISAS PUERTO VALLARTA</t>
  </si>
  <si>
    <t>VALLARTA PALACE</t>
  </si>
  <si>
    <t xml:space="preserve">VALLARTA PALACE </t>
  </si>
  <si>
    <t>FOUR SEASONS PUNTA MITA RESORT</t>
  </si>
  <si>
    <t xml:space="preserve">FOUR SEASONS PUNTA MITA </t>
  </si>
  <si>
    <t>NH KRISTAL VALLARTA</t>
  </si>
  <si>
    <t>EVENTOS FUERA PUERTO VALLARTA</t>
  </si>
  <si>
    <t xml:space="preserve">EVENTOS FUERA PUERTA VALLARTA </t>
  </si>
  <si>
    <t>Ixtapa</t>
  </si>
  <si>
    <t>MELIA IXTAPA</t>
  </si>
  <si>
    <t xml:space="preserve">MELIA IXTAPA </t>
  </si>
  <si>
    <t>MELIA IXTAPA - BUSSINES CENTER</t>
  </si>
  <si>
    <t>NH IXTAPA</t>
  </si>
  <si>
    <t xml:space="preserve">NH IXTAPA </t>
  </si>
  <si>
    <t>EVENTOS FUERA IXTAPA</t>
  </si>
  <si>
    <t>LAS BRISAS IXTAPA</t>
  </si>
  <si>
    <t>LAS BRISAS IXTAPA - BUSSINES CENTER</t>
  </si>
  <si>
    <t>Manzanillo</t>
  </si>
  <si>
    <t>KARMINA MANZANILLO</t>
  </si>
  <si>
    <t xml:space="preserve">KARMINA MANZANILLO </t>
  </si>
  <si>
    <t>GRAN BAY MANZANILLO</t>
  </si>
  <si>
    <t xml:space="preserve">GRAN BAY </t>
  </si>
  <si>
    <t>Cozumel</t>
  </si>
  <si>
    <t>FIESTA AMERICANA DIVE RESORT</t>
  </si>
  <si>
    <t>New Business - Resorts 2008</t>
  </si>
  <si>
    <t>New Business Budget - Resort 2008</t>
  </si>
  <si>
    <t>Inter-Cost Center Charge</t>
  </si>
  <si>
    <t>CONTABILIDAD - CARGOS INTERNOS</t>
  </si>
  <si>
    <t>Intercost Center Cancelation</t>
  </si>
  <si>
    <t>Short Name</t>
  </si>
  <si>
    <t>Coral Beach</t>
  </si>
  <si>
    <t>ESD -DF</t>
  </si>
  <si>
    <t>ESD -Cancun</t>
  </si>
  <si>
    <t>ESD -Cabo</t>
  </si>
  <si>
    <t>Radisson Sur</t>
  </si>
  <si>
    <t>Sheraton Centro H</t>
  </si>
  <si>
    <t>PIC Mex</t>
  </si>
  <si>
    <t>FA Reforma</t>
  </si>
  <si>
    <t>Sheraton Ma Isabel</t>
  </si>
  <si>
    <t>SS Santa Fe</t>
  </si>
  <si>
    <t>Melia Reforma</t>
  </si>
  <si>
    <t>NH Mex</t>
  </si>
  <si>
    <t>Total</t>
  </si>
  <si>
    <t>Equipo Faltante</t>
  </si>
  <si>
    <t>Venta por Subrenta</t>
  </si>
  <si>
    <t>Subrentas</t>
  </si>
  <si>
    <t>Moneda</t>
  </si>
  <si>
    <t>COMPUTO</t>
  </si>
  <si>
    <t>PROPIO</t>
  </si>
  <si>
    <t>Description</t>
  </si>
  <si>
    <t>Profit Before Commissions</t>
  </si>
  <si>
    <t>External Subrentals - SubTotal</t>
  </si>
  <si>
    <t>Categoria</t>
  </si>
  <si>
    <t>Proveedor</t>
  </si>
  <si>
    <t>Comision Subrenta</t>
  </si>
  <si>
    <t>SI</t>
  </si>
  <si>
    <t>NO</t>
  </si>
  <si>
    <t>IVA</t>
  </si>
  <si>
    <t>SI-NO</t>
  </si>
  <si>
    <t>Presentation Services SA de CV</t>
  </si>
  <si>
    <t>Ventas Netas Despues de Comisiones</t>
  </si>
  <si>
    <t>Costos Fijos Estimados</t>
  </si>
  <si>
    <t>% GOP-Budget</t>
  </si>
  <si>
    <t>OTROS</t>
  </si>
  <si>
    <t>HORAS</t>
  </si>
  <si>
    <t>Cancun</t>
  </si>
  <si>
    <t>Cabos</t>
  </si>
  <si>
    <t>Cancun Center</t>
  </si>
  <si>
    <t>FA Con Cancun</t>
  </si>
  <si>
    <t>Wes Cancun</t>
  </si>
  <si>
    <t>Le Blanc</t>
  </si>
  <si>
    <t>Compañía:</t>
  </si>
  <si>
    <t>Puesto:</t>
  </si>
  <si>
    <t>Fax:</t>
  </si>
  <si>
    <t>Ext.</t>
  </si>
  <si>
    <t>Nombre:</t>
  </si>
  <si>
    <t>Fecha de Inicio:</t>
  </si>
  <si>
    <t>Fecha de Termino:</t>
  </si>
  <si>
    <t>Lugar:</t>
  </si>
  <si>
    <t>Fecha de Montaje</t>
  </si>
  <si>
    <t>Contacto en Evento:</t>
  </si>
  <si>
    <t>ADA MONTIEL HERNANDEZ</t>
  </si>
  <si>
    <t>CLIENTE:</t>
  </si>
  <si>
    <t>Celular #</t>
  </si>
  <si>
    <t>Domicilio:</t>
  </si>
  <si>
    <t>Descuento</t>
  </si>
  <si>
    <t>Categoria Gross Revenue</t>
  </si>
  <si>
    <t># 1</t>
  </si>
  <si>
    <t># 2</t>
  </si>
  <si>
    <t># 3</t>
  </si>
  <si>
    <t># 4</t>
  </si>
  <si>
    <t># 5</t>
  </si>
  <si>
    <t>Nomina PSAV</t>
  </si>
  <si>
    <t>Freelances</t>
  </si>
  <si>
    <t>Nombre</t>
  </si>
  <si>
    <t>Puesto</t>
  </si>
  <si>
    <t># de Dias</t>
  </si>
  <si>
    <t>Clausulado-Boda</t>
  </si>
  <si>
    <t>Clausulado-Normal</t>
  </si>
  <si>
    <t xml:space="preserve">2. Este contrato sólo surtirá efectos, si se confirma esta cotización firmando de aceptado el cliente y además hace el pago del porcentaje indicado como anticipo, antes del día fijado como FECHA LIMITE DE PAGO. El saldo deberá ser liquidado previo al inicio de la instalación. Sin el pago del saldo no se ejecutará esta cotización. En su caso cualquier saldo no pagado generará un 5% de interés por mora, calculados en forma mensual sobre saldos insolutos si no es pagado en el domicilio de PRESENTATION SERVICES. </t>
  </si>
  <si>
    <t>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t>
  </si>
  <si>
    <t xml:space="preserve">3. Cualquier pago deberá realizarse en el domicilio del acreedor. La mano de obra cotizada es una estimado, se ajustará y calculará al terminar el servicio cotizado. </t>
  </si>
  <si>
    <t>3.Payments shall be made to domicile of the creditor. The quoted labor costs are an estimate and shall be adjusted and calculated once the quoted service is finished.</t>
  </si>
  <si>
    <t>2. This agreement shall be effective only if the client approves and signs this quotation and pays the percentage set forth as downpayment before the date established as the DUE DATE. The balance shall be paid before the installation begins. If the balance is not paid, this quotation shall not be executed. Unpaid balance, if any, shall bear default interest at a rate of 5%, calculated on a monthly basis on all unpaid balance if it is not paid at PRESENTATION SERVICES domicile.</t>
  </si>
  <si>
    <t>5. In the event of any technical failure of the equipment or any part thereof, Presentation Services, S.A. de C.V. shall deduct a proportional part for the non-functioning equipment and said circumstance shall not be a cause for the client not to fully pay the event or service. In case a disagreement arises, the client shall notify it in writing at the conclusion of the event and, if said notification is not made (with acknowledgment of receipt requested), the event shall be deemed to meet the agreed quality.</t>
  </si>
  <si>
    <t>6. En caso de cancelación, deberá hacerse por escrito con acuse de recibo con 48 horas hábiles de anticipación, toda cancelación realizada en ese término,  generará un cargo del 60%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Si la cancelación es recibida con menos de 48 horas antes del evento se cargará 100% del total. Todo servicio o equipo adicional para el evento se documentará en hojas de cargo o miscelaneo que formará parte de este instrumento. En caso de no reintegrarlo despues de terminado el servicio cotizado, generara un cobro proporcional por día de retrazo. Se puede confirmar esta cotizacion vía fax, pero siempre en los terminos de estas condiciones.</t>
  </si>
  <si>
    <t>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t>
  </si>
  <si>
    <t>1. This quotation shall become a Service Rendering Agreement once approved by means of the signature by CLIENT, who shall be the individual or legal person to which this document is addressed and who is mentioned in the first part hereof. The CLIENT shall execute this document in agreement either through his/her/its Legal Representative or officers or agents. The CLIENT represents that he/she/it has the authority to execute this document and that his/her/its domicile is the place to which this quotation was sent. Presentation Services, S.A. de C.V. represents that it is a Mexican corporation, that its representative has the authority to execute this document and that it shall hereinafter be referred to as PRESENTATION SERVICES, with domicile located at Prolongación 5 de Mayo No. 25 Int 1, Col. Parque Industrial Naucalpan, Municipio Naucalpan de Juárez, Estado de México  C.P. 53489 Mexico City, Mexico.. The prices referred to herein are quoted on a daily basis. Any purpose change, moving of equipment once it has been installed (Presentation Services shall not be liable for delays derived from changes) or out-of-pocket expenses shall result in a revision of the quoted price and times.</t>
  </si>
  <si>
    <t>6. Cancellations shall be made in writing (with acknowledgement of receipt requested) by means of a 48 business hours notice. All cancellations made within the aforementioned period of time shall be charged a 60% fee of the total amount of the quotation. Regardless of whether the client pays any kind of monetary expense incurred in to execute this quotation, which shall be duly evidenced to the client (sic). In case of cancellation, Presentation Services may use the downpayments made by the Client to satisfy said expenses, issuing the relevant invoice that covers the amount set forth. If cancellation is received less than 48 hours before the event, the full amount shall be charged. All additional services or equipment for the event shall be documented in charges or sundry expenses records, which shall be an integral part hereof. If it is not returned once the quoted service has been finished, it shall accrue a pro rata charge for each day of delay . This quotation may be confirmed by fax, but always in the terms of these conditions.</t>
  </si>
  <si>
    <t>Por disposición oficial, es oblitatorio cumplir los siguientes requisitos para facturar a IVA tasa 0%: Cotización firmada por el cliente, copia pasaporte, documento migratorio, registro del huesped en donde haya quedado inscrito el nombre del turista extranjero y su firma, pago mediante cheque o transferencia expedidos en el extranjero.</t>
  </si>
  <si>
    <t>According to mexican low it is obligatory fulfill the following requirements in order to apply 0% tax policy: Quote signed by the client, copies of contac's passport, migration document hotel's registration form and payment needs to be done with check or wire transfer from an outside bank.</t>
  </si>
  <si>
    <t>Condiciones del Contrato</t>
  </si>
  <si>
    <t>Honorarios-Factura</t>
  </si>
  <si>
    <t># 6</t>
  </si>
  <si>
    <t># 7</t>
  </si>
  <si>
    <t># 8</t>
  </si>
  <si>
    <t># 9</t>
  </si>
  <si>
    <t># 10</t>
  </si>
  <si>
    <t># 11</t>
  </si>
  <si>
    <t># 12</t>
  </si>
  <si>
    <t># 13</t>
  </si>
  <si>
    <t># 14</t>
  </si>
  <si>
    <t># 15</t>
  </si>
  <si>
    <t># 16</t>
  </si>
  <si>
    <t># 17</t>
  </si>
  <si>
    <t># 18</t>
  </si>
  <si>
    <t># 19</t>
  </si>
  <si>
    <t># 20</t>
  </si>
  <si>
    <t># 21</t>
  </si>
  <si>
    <t># 22</t>
  </si>
  <si>
    <t># 23</t>
  </si>
  <si>
    <t># 24</t>
  </si>
  <si>
    <t># 25</t>
  </si>
  <si>
    <t>Costo Total</t>
  </si>
  <si>
    <t>VIATICOS</t>
  </si>
  <si>
    <t>Nombre del Beneficiario</t>
  </si>
  <si>
    <t>Total Solicitado</t>
  </si>
  <si>
    <t>GASTOS FINANCIEROS</t>
  </si>
  <si>
    <t>TC</t>
  </si>
  <si>
    <t>American Express</t>
  </si>
  <si>
    <t>Visa-Master Card</t>
  </si>
  <si>
    <t>Comision Tarjeta de Credito</t>
  </si>
  <si>
    <t>Importe Cobrado</t>
  </si>
  <si>
    <t>%</t>
  </si>
  <si>
    <t>Comisión Hotel</t>
  </si>
  <si>
    <t>Descuento S/Venta</t>
  </si>
  <si>
    <t>Comisión Meeting Planner</t>
  </si>
  <si>
    <t>Cargos Internos</t>
  </si>
  <si>
    <t>NSF</t>
  </si>
  <si>
    <t>Posicion VTS</t>
  </si>
  <si>
    <t>% Comision</t>
  </si>
  <si>
    <t>Viáticos</t>
  </si>
  <si>
    <t>Costo</t>
  </si>
  <si>
    <t>DESCUENTO CLIENTE</t>
  </si>
  <si>
    <t>Comision $</t>
  </si>
  <si>
    <t>Condicion Subrenta</t>
  </si>
  <si>
    <t>ANALISIS DE SUBRENTAS</t>
  </si>
  <si>
    <t>COMISION HOTEL</t>
  </si>
  <si>
    <t>NUMERO Y NOMBRE LOCATION</t>
  </si>
  <si>
    <t>INFORMACION DEL EVENTO:</t>
  </si>
  <si>
    <t>e-mail:</t>
  </si>
  <si>
    <t>DIAS</t>
  </si>
  <si>
    <t>TOTAL</t>
  </si>
  <si>
    <t>GASTOS</t>
  </si>
  <si>
    <t>Royal Pedregal</t>
  </si>
  <si>
    <t>AUDIO</t>
  </si>
  <si>
    <t>ESCENOGRAFIA</t>
  </si>
  <si>
    <t>Mex</t>
  </si>
  <si>
    <t>Can</t>
  </si>
  <si>
    <t>Cab</t>
  </si>
  <si>
    <t>CALCULO DE COMISIONES AL HOTEL</t>
  </si>
  <si>
    <t>INTEGRACION DE LA VENTA</t>
  </si>
  <si>
    <t>VIDEO</t>
  </si>
  <si>
    <t>Importe Comisión MP</t>
  </si>
  <si>
    <t>Venta Bruta</t>
  </si>
  <si>
    <t>Venta Neta</t>
  </si>
  <si>
    <t>Descuento $</t>
  </si>
  <si>
    <t>Descuento %</t>
  </si>
  <si>
    <t>Base Comision</t>
  </si>
  <si>
    <t>Comisión a Vendedores</t>
  </si>
  <si>
    <t>Categorias</t>
  </si>
  <si>
    <t>Venta Totales</t>
  </si>
  <si>
    <t>Celular:</t>
  </si>
  <si>
    <t>Location:</t>
  </si>
  <si>
    <t>Total de Unidades</t>
  </si>
  <si>
    <t>ESD</t>
  </si>
  <si>
    <t>REPRESENTANTE DE VENTAS PSAV</t>
  </si>
  <si>
    <t>PSAV PRODUCTION MANAGER</t>
  </si>
  <si>
    <t>Anticipo</t>
  </si>
  <si>
    <t>MANO DE OBRA</t>
  </si>
  <si>
    <t>VIDEO PRODUCCION</t>
  </si>
  <si>
    <t>Categorias - Labor</t>
  </si>
  <si>
    <t>Rigging</t>
  </si>
  <si>
    <t xml:space="preserve"> </t>
  </si>
  <si>
    <t>% of Sales</t>
  </si>
  <si>
    <t>Position</t>
  </si>
  <si>
    <t>Importe Comisión
Total</t>
  </si>
  <si>
    <t>SI-NO2</t>
  </si>
  <si>
    <t>Profit (Loss) Before Hotel Commission</t>
  </si>
  <si>
    <t>Profit (Loss) After Commissions</t>
  </si>
  <si>
    <t>COMISION OPERADORA y/o MP</t>
  </si>
  <si>
    <t>Costo con Carga Fiscal</t>
  </si>
  <si>
    <t>TOTAL ADDITIONAL LABOR</t>
  </si>
  <si>
    <t>Salary-Freelances</t>
  </si>
  <si>
    <t>Sales Manager</t>
  </si>
  <si>
    <t>Commission</t>
  </si>
  <si>
    <t>CONSUMIBLES, FLETES Y OTROS GASTOS VARIABLES</t>
  </si>
  <si>
    <t># de Cotizacion</t>
  </si>
  <si>
    <t>Total Gastos - sin Commission</t>
  </si>
  <si>
    <t>Venta PSAV</t>
  </si>
  <si>
    <t>Sueldo Diario
(antes de carga fiscal)</t>
  </si>
  <si>
    <t>ILUMINACION</t>
  </si>
  <si>
    <t>CARGO POR SERVICIO</t>
  </si>
  <si>
    <t>MONTAJE-DESMONTAJE</t>
  </si>
  <si>
    <t>OPERADOR</t>
  </si>
  <si>
    <t>-</t>
  </si>
  <si>
    <t>Categorias - Traduccion</t>
  </si>
  <si>
    <t>Audio</t>
  </si>
  <si>
    <t>Categoria1</t>
  </si>
  <si>
    <t>Equipo</t>
  </si>
  <si>
    <t>Tipo de Propiedad</t>
  </si>
  <si>
    <t>CombinacionesCI</t>
  </si>
  <si>
    <t>ESD-ESD</t>
  </si>
  <si>
    <t>ESD-HFP</t>
  </si>
  <si>
    <t>HP-HP</t>
  </si>
  <si>
    <t>HP-HFP</t>
  </si>
  <si>
    <t>HP-ESD</t>
  </si>
  <si>
    <t>NA</t>
  </si>
  <si>
    <t>ESD vs Hotel Fuera de Plaza</t>
  </si>
  <si>
    <t>Event Services vs Event Services</t>
  </si>
  <si>
    <t xml:space="preserve">Simbología: </t>
  </si>
  <si>
    <t>% Cargo Interno</t>
  </si>
  <si>
    <t>$ Cargo Interno</t>
  </si>
  <si>
    <t>Hotel en Plaza vs Hotel en Plaza</t>
  </si>
  <si>
    <t>Hotel en Plaza vs Hotel Fuera de Plaza</t>
  </si>
  <si>
    <t>Hotel en Plaza vs ESD</t>
  </si>
  <si>
    <t>Ventas por Ingresos Externos-Otros</t>
  </si>
  <si>
    <t>Venta de Consumibles, Viáticos (Gastos)</t>
  </si>
  <si>
    <t>Información área de Finanzas</t>
  </si>
  <si>
    <t xml:space="preserve">Ballroom: </t>
  </si>
  <si>
    <t>RC-01</t>
  </si>
  <si>
    <t xml:space="preserve"># of Atendees: </t>
  </si>
  <si>
    <t xml:space="preserve">Set up: </t>
  </si>
  <si>
    <t xml:space="preserve">Strike: </t>
  </si>
  <si>
    <t>% Desc. Total</t>
  </si>
  <si>
    <t>Fuction:</t>
  </si>
  <si>
    <t>Rehearsal:</t>
  </si>
  <si>
    <t>Event Date &amp; Hour:</t>
  </si>
  <si>
    <t>Función/Evento:</t>
  </si>
  <si>
    <t>Salón:</t>
  </si>
  <si>
    <t># de Asistentes:</t>
  </si>
  <si>
    <t>Montaje:</t>
  </si>
  <si>
    <t>Ensayo:</t>
  </si>
  <si>
    <t>Horario de Evento:</t>
  </si>
  <si>
    <t>Desmontaje:</t>
  </si>
  <si>
    <t>% de Comision STARWOOD</t>
  </si>
  <si>
    <t>Total Comision</t>
  </si>
  <si>
    <t>Nombre de la persona.</t>
  </si>
  <si>
    <t>Video</t>
  </si>
  <si>
    <t>Iluminación</t>
  </si>
  <si>
    <t>Video Producción</t>
  </si>
  <si>
    <t>Escenografía</t>
  </si>
  <si>
    <t>Computo</t>
  </si>
  <si>
    <t>Operador</t>
  </si>
  <si>
    <t>Montaje-Desmontaje</t>
  </si>
  <si>
    <t>Cargo por Servicio</t>
  </si>
  <si>
    <t>Gastos</t>
  </si>
  <si>
    <t>Otros</t>
  </si>
  <si>
    <t>Otro % de Comisión / Subrentas</t>
  </si>
  <si>
    <t>COMISION VENTAS</t>
  </si>
  <si>
    <t>Fianza por Garantia</t>
  </si>
  <si>
    <t>¿Aprobación escrita del Hotel?</t>
  </si>
  <si>
    <t>Karmina</t>
  </si>
  <si>
    <t>Gran Bay</t>
  </si>
  <si>
    <t>Aventura Palace</t>
  </si>
  <si>
    <t>EF Rivera Maya</t>
  </si>
  <si>
    <t>Moon Palace</t>
  </si>
  <si>
    <t>Beach Palace</t>
  </si>
  <si>
    <t>FA Aqua Cancun</t>
  </si>
  <si>
    <t>Hilton Cabo</t>
  </si>
  <si>
    <t>O&amp;O Palmilla</t>
  </si>
  <si>
    <t>Sheraton Cabo</t>
  </si>
  <si>
    <t>Westin Cabo</t>
  </si>
  <si>
    <t>Melia Cabo</t>
  </si>
  <si>
    <t>FA Grand Cabo</t>
  </si>
  <si>
    <t>Hyatt Acapulco</t>
  </si>
  <si>
    <t>Camino Real Aca</t>
  </si>
  <si>
    <t>Crowne Aca</t>
  </si>
  <si>
    <t>Pierre Marquez</t>
  </si>
  <si>
    <t>Princess Aca</t>
  </si>
  <si>
    <t>CIA</t>
  </si>
  <si>
    <t>Fiesta INN Aca</t>
  </si>
  <si>
    <t>Brisas Huatulco</t>
  </si>
  <si>
    <t>FA Pto Vallarta</t>
  </si>
  <si>
    <t>Sheraton Vallarta</t>
  </si>
  <si>
    <t>Westin Vallarta</t>
  </si>
  <si>
    <t>Vallarta Palace</t>
  </si>
  <si>
    <t>Punta Mita</t>
  </si>
  <si>
    <t>Kristal Vallarta</t>
  </si>
  <si>
    <t>EF Vallarta</t>
  </si>
  <si>
    <t>Melia Ixtapa</t>
  </si>
  <si>
    <t>NH Ixtapa</t>
  </si>
  <si>
    <t>EF Ixtapa</t>
  </si>
  <si>
    <t>Las Brisas Ixtapa</t>
  </si>
  <si>
    <t>Fiesta INN Torreon PLR</t>
  </si>
  <si>
    <t>Fiesta INN Torreon Galerias</t>
  </si>
  <si>
    <t>Pedregal Palace</t>
  </si>
  <si>
    <t>NH Centro H</t>
  </si>
  <si>
    <t>Gran Hotel Cd Mexico</t>
  </si>
  <si>
    <t>FA Sta Fe</t>
  </si>
  <si>
    <t>Hotel W</t>
  </si>
  <si>
    <t>FA Grand Chapu</t>
  </si>
  <si>
    <t>Fiesta INN Viaducto</t>
  </si>
  <si>
    <t>Crown Tlalne</t>
  </si>
  <si>
    <t>NH Sta Fe</t>
  </si>
  <si>
    <t>Sevilla Palace</t>
  </si>
  <si>
    <t>Fiesta INN Aeropuerto</t>
  </si>
  <si>
    <t>Fiesta INN Naucalpan</t>
  </si>
  <si>
    <t>Fiesta INN Perisur</t>
  </si>
  <si>
    <t>Fiesta INN Perinorte</t>
  </si>
  <si>
    <t>Fiesta INN Vcentro H DF</t>
  </si>
  <si>
    <t>Fiesta INN Cuautitlan</t>
  </si>
  <si>
    <t>Fiesta INN Tlalne</t>
  </si>
  <si>
    <t>Marriot Toluna</t>
  </si>
  <si>
    <t>Crown Toluca</t>
  </si>
  <si>
    <t>Holiday Toluca</t>
  </si>
  <si>
    <t>Marriot Ixtapa</t>
  </si>
  <si>
    <t>Fiesta INN Toluca</t>
  </si>
  <si>
    <t>Four Points Mty</t>
  </si>
  <si>
    <t>FA Ctro Mty</t>
  </si>
  <si>
    <t>Howard J Mty</t>
  </si>
  <si>
    <t>Sheraton Amb Mty</t>
  </si>
  <si>
    <t>Hilton G Mty</t>
  </si>
  <si>
    <t>Fiesta INN Mty Valle</t>
  </si>
  <si>
    <t>Fiesta INN Mty Centro</t>
  </si>
  <si>
    <t>Fiesta INN Mty la Fe</t>
  </si>
  <si>
    <t>Fiesta INN Mty Norte</t>
  </si>
  <si>
    <t>NH Mty</t>
  </si>
  <si>
    <t>EF Mty</t>
  </si>
  <si>
    <t>Hilton GDL</t>
  </si>
  <si>
    <t>FA GDL</t>
  </si>
  <si>
    <t>PI GDL</t>
  </si>
  <si>
    <t>FA Grand GDL</t>
  </si>
  <si>
    <t>Fiesta INN GDL</t>
  </si>
  <si>
    <t>EF Gdl</t>
  </si>
  <si>
    <t>Hilton Villa</t>
  </si>
  <si>
    <t>Hyatt Villa</t>
  </si>
  <si>
    <t>EF Villa</t>
  </si>
  <si>
    <t>Camino Real Villa</t>
  </si>
  <si>
    <t>Quinta Real Villa</t>
  </si>
  <si>
    <t>Crown Plaza Villa</t>
  </si>
  <si>
    <t>Resumen Facturación-Cliente Directo</t>
  </si>
  <si>
    <t>% Comis</t>
  </si>
  <si>
    <t>Resumen Facturación-Hotel</t>
  </si>
  <si>
    <t>$ Comis</t>
  </si>
  <si>
    <t>7. In case of disagreement, the contracting parties submit themselves to the jurisdiction of the laws and by the courts of Mexico City, Federal District, waiving any present or future jurisdiction that may correspond to them by virtue of their respective domiciles.</t>
  </si>
  <si>
    <t>Ingles</t>
  </si>
  <si>
    <t>Fiesta INN Villa</t>
  </si>
  <si>
    <t>NH Ver</t>
  </si>
  <si>
    <t>WTC Ver</t>
  </si>
  <si>
    <t>Camino Real Ver</t>
  </si>
  <si>
    <t>EF Ver</t>
  </si>
  <si>
    <t>FA Merida</t>
  </si>
  <si>
    <t>EF Merida</t>
  </si>
  <si>
    <t>Holiday Inn Merida</t>
  </si>
  <si>
    <t>Camino Real Tuxtla</t>
  </si>
  <si>
    <t>Marriot Tijuana</t>
  </si>
  <si>
    <t>Fiesta INN Tijuana Rio</t>
  </si>
  <si>
    <t>Fiesta INN Tijuana Otay</t>
  </si>
  <si>
    <t>EF Tijuana</t>
  </si>
  <si>
    <t>FA Aguas</t>
  </si>
  <si>
    <t>Fiesta INN Aguas</t>
  </si>
  <si>
    <t>FA Hermosillo</t>
  </si>
  <si>
    <t>Fiesta INN Hermosillo</t>
  </si>
  <si>
    <t>Fiesta INN Leon</t>
  </si>
  <si>
    <t>EF Leon</t>
  </si>
  <si>
    <t>FA Puebla</t>
  </si>
  <si>
    <t>Fiesta INN Puebla FINSA</t>
  </si>
  <si>
    <t>Fiesta INN Las Animas</t>
  </si>
  <si>
    <t>FA Hacienda Galindo</t>
  </si>
  <si>
    <t>FA Qro</t>
  </si>
  <si>
    <t>Fiesta INN Qro</t>
  </si>
  <si>
    <t>Fiesta INN Saltillo</t>
  </si>
  <si>
    <t>Fiesta INN SLPO</t>
  </si>
  <si>
    <t>Fiesta INN SLP Glo</t>
  </si>
  <si>
    <t>Logistica DF</t>
  </si>
  <si>
    <t>Event Profit (EP)</t>
  </si>
  <si>
    <t>EP con Cargos Internos</t>
  </si>
  <si>
    <t>EP sobre Venta - antes del descuento</t>
  </si>
  <si>
    <t>EP Perdido a causa del descuento</t>
  </si>
  <si>
    <t>A</t>
  </si>
  <si>
    <t>B</t>
  </si>
  <si>
    <t>C = A-B</t>
  </si>
  <si>
    <t>D</t>
  </si>
  <si>
    <t>Medio de Cobro</t>
  </si>
  <si>
    <t>Cuenta Maestra</t>
  </si>
  <si>
    <t>8. El pago del anticipo o firma de la cotización, es la confirmación del evento.</t>
  </si>
  <si>
    <r>
      <t xml:space="preserve">CATEGORIA 
</t>
    </r>
    <r>
      <rPr>
        <b/>
        <sz val="8"/>
        <color indexed="10"/>
        <rFont val="Arial"/>
        <family val="2"/>
      </rPr>
      <t>(Campo Obligatorio)</t>
    </r>
  </si>
  <si>
    <t>Horas o Días</t>
  </si>
  <si>
    <t>ACCESORIOS</t>
  </si>
  <si>
    <t>Informativo (Venta con IVA)</t>
  </si>
  <si>
    <t>Total AUDIO</t>
  </si>
  <si>
    <t>Total VIDEO</t>
  </si>
  <si>
    <t>Accesorios</t>
  </si>
  <si>
    <t>"La tarjeta de crédito, unicamente puede aplicacar para el cobro de extras"</t>
  </si>
  <si>
    <t>Comision Operadora</t>
  </si>
  <si>
    <t>Gasto por Subrenta</t>
  </si>
  <si>
    <t>%Sub-Vta / %Sub-Gto</t>
  </si>
  <si>
    <t>SUBTOTAL</t>
  </si>
  <si>
    <t>Cargo Internmo</t>
  </si>
  <si>
    <t>Precio de Lista Location</t>
  </si>
  <si>
    <t>% Cargo Interno equipo</t>
  </si>
  <si>
    <t>Observaciones</t>
  </si>
  <si>
    <t>No capturar nada en estas columnas (L,M), son formulas.</t>
  </si>
  <si>
    <t>GOP</t>
  </si>
  <si>
    <t>NOMBRE PROVEEDOR</t>
  </si>
  <si>
    <t>Total Udis</t>
  </si>
  <si>
    <t>Total
$</t>
  </si>
  <si>
    <t>No capturar nada en estas columnas (O,P), son formulas.</t>
  </si>
  <si>
    <t>FREELANCES Y OUTSIDE LABOR (DJ, EDECANES, INTERPRETES, ETC.)</t>
  </si>
  <si>
    <t>OUTSIDE LABOR (Interprete, Edecan, DJ)</t>
  </si>
  <si>
    <t>Outside Labor</t>
  </si>
  <si>
    <t>No capturar en estas columnas</t>
  </si>
  <si>
    <r>
      <t>El equipo de traducción es "</t>
    </r>
    <r>
      <rPr>
        <b/>
        <u/>
        <sz val="8"/>
        <color indexed="10"/>
        <rFont val="Arial"/>
        <family val="2"/>
      </rPr>
      <t>Audio</t>
    </r>
    <r>
      <rPr>
        <sz val="8"/>
        <color indexed="10"/>
        <rFont val="Arial"/>
        <family val="2"/>
      </rPr>
      <t>" e Interprete es "</t>
    </r>
    <r>
      <rPr>
        <b/>
        <sz val="8"/>
        <color indexed="10"/>
        <rFont val="Arial"/>
        <family val="2"/>
      </rPr>
      <t>Outside Labor</t>
    </r>
    <r>
      <rPr>
        <sz val="8"/>
        <color indexed="10"/>
        <rFont val="Arial"/>
        <family val="2"/>
      </rPr>
      <t>"</t>
    </r>
  </si>
  <si>
    <t>Colocar el gasto total, no por unidad.</t>
  </si>
  <si>
    <t>Tipo de Operación</t>
  </si>
  <si>
    <t>Total de Unidades-Propias</t>
  </si>
  <si>
    <t>EQUIPO DE ESD</t>
  </si>
  <si>
    <t>Venta por Subrentas / Outside Labor</t>
  </si>
  <si>
    <t xml:space="preserve">2. Este contrato sólo surtirá efectos, si se confirma esta cotización firmando de aceptado el cliente y además hace el pago del porcentaje indicado como anticipo, antes del día fijado como FECHA LIMITE DE PAGO, sin el pago del anticipo y firma de aceptado de este documento Presentation Services, S.A. de C.V., no tendrá ninguna obligación para prestar el servicio. El saldo deberá ser liquidado previo al inicio de la instalación. Sin el pago del saldo no se ejecutará esta cotización, los precios cotizados no incluyen I.V.A. En su caso cualquier saldo no pagado generará un 5% de interés por mora, calculados en forma mensual sobre saldos insolutos si no es pagado en el domicilio de PRESENTATION SERVICES. </t>
  </si>
  <si>
    <t>Auditoria Interna USA</t>
  </si>
  <si>
    <t>Director Adjunto de Operaciones</t>
  </si>
  <si>
    <t>Francisco Javier Abdalá Cervantes</t>
  </si>
  <si>
    <t>Vendedor</t>
  </si>
  <si>
    <t>Ada Livyer Montiel Hernandez</t>
  </si>
  <si>
    <t>Karina Barrientos Velazquez</t>
  </si>
  <si>
    <t>Alejandra Lara Castillo</t>
  </si>
  <si>
    <t>Dieter Burgoa Garces</t>
  </si>
  <si>
    <t>Carlos Martin Macias</t>
  </si>
  <si>
    <t>Ingrid Mimiya Gonzalez Niño</t>
  </si>
  <si>
    <t>Luis Fernando Olvera Chanfreau</t>
  </si>
  <si>
    <t>Claudia Veronica Pineda Rodriguez</t>
  </si>
  <si>
    <t>Carolina Gabriela Kuri Rojas</t>
  </si>
  <si>
    <t>Ricardo Chi Escalante</t>
  </si>
  <si>
    <t>Miroslava Arriaga Haro</t>
  </si>
  <si>
    <t>Maria Dolores Villordo Pineda</t>
  </si>
  <si>
    <t>Maria Dolores Alvarez Zavaleta</t>
  </si>
  <si>
    <t>Cecilia Blancarte Porras</t>
  </si>
  <si>
    <t>Iñaki Arizaleta Barquin</t>
  </si>
  <si>
    <t>Ernesto De La Cadena Hernandez</t>
  </si>
  <si>
    <t>Cedric Roger Kaelin Bergeret</t>
  </si>
  <si>
    <t>Laura Sodi Barrera</t>
  </si>
  <si>
    <t>Erick Merlin Sabagh Sepulveda</t>
  </si>
  <si>
    <t xml:space="preserve">Federico Azuara Galdeano </t>
  </si>
  <si>
    <t xml:space="preserve">Fernando Rivera Vasconcelos </t>
  </si>
  <si>
    <t xml:space="preserve">Alvaro Antono Urdiales Bonfiglioli </t>
  </si>
  <si>
    <t xml:space="preserve">Rosalinda Cid Soria </t>
  </si>
  <si>
    <t xml:space="preserve">Maria Amanecer Sierra Diaz </t>
  </si>
  <si>
    <t>Vendedor:</t>
  </si>
  <si>
    <t>LOGISITCA-Cancun</t>
  </si>
  <si>
    <t>ST REGIS MEXICO</t>
  </si>
  <si>
    <t>WORLD TRADE CENTER CIUDAD DE MEXICO</t>
  </si>
  <si>
    <t>NH TERMINAL 2</t>
  </si>
  <si>
    <t>St Regis Mex</t>
  </si>
  <si>
    <t>WTC Cd Mex</t>
  </si>
  <si>
    <t>NH T2</t>
  </si>
  <si>
    <t>FOUR POINTS LINDA VISTA</t>
  </si>
  <si>
    <t>F Points LV</t>
  </si>
  <si>
    <t>EDGAR RICARDO SUAREZ GUTIERREZ</t>
  </si>
  <si>
    <t>NH GUADALAJARA</t>
  </si>
  <si>
    <t>NH Gdl</t>
  </si>
  <si>
    <t>FIESTA AMERICANA VERACRUZ</t>
  </si>
  <si>
    <t>FA Ver</t>
  </si>
  <si>
    <t>FIESTA INN CUERNAVACA</t>
  </si>
  <si>
    <t>NH KRYSTAL CANCUN</t>
  </si>
  <si>
    <t>Finn Cuerna</t>
  </si>
  <si>
    <t>NH K Cancun</t>
  </si>
  <si>
    <t>CUAUHTEMOC HERNANDEZ TACUBA</t>
  </si>
  <si>
    <t>CLOSED</t>
  </si>
  <si>
    <t>Mundo Imp</t>
  </si>
  <si>
    <t>ANGEL NAJERA GARCIA</t>
  </si>
  <si>
    <t>ST. REGIS PUNTA MITA RESORT</t>
  </si>
  <si>
    <t>St Reg PM</t>
  </si>
  <si>
    <t>Nota: Para registrar descuentos de MP, se utiliza la cuenta "50005".</t>
  </si>
  <si>
    <t>Total Cotizado MN</t>
  </si>
  <si>
    <t>Descuento 1 MN</t>
  </si>
  <si>
    <t>Subtotal MN</t>
  </si>
  <si>
    <t>Tipo de Cambio MN</t>
  </si>
  <si>
    <t>MARRIOT MEXICO CITY REFORMA</t>
  </si>
  <si>
    <t>FIESTA INN FUNDIDORA</t>
  </si>
  <si>
    <t>CAMINO REAL ACAPULCO</t>
  </si>
  <si>
    <t>MUNDO IMPERIAL ACAPULCO</t>
  </si>
  <si>
    <t>Ajuste comisión
(Unicamente con aprobación escrita del hotel)</t>
  </si>
  <si>
    <t>Comisión 
(Sin-subrenta)</t>
  </si>
  <si>
    <t>¿Existe otro % de Comisión / Subrentas?</t>
  </si>
  <si>
    <t>% de Comision vs Contrato del Hotel</t>
  </si>
  <si>
    <t>% de Comision vs Contrato / Subrentas %</t>
  </si>
  <si>
    <t>Venta sin Subrentas</t>
  </si>
  <si>
    <t>Total de Venta Neta</t>
  </si>
  <si>
    <t>OTROS HOTELES PS</t>
  </si>
  <si>
    <t>¿Se comisiona la Subrenta y Outside Labor?</t>
  </si>
  <si>
    <t>Comisión / 
subrenta y Outside Labor</t>
  </si>
  <si>
    <t>Nombre(s) y 1er Apellido</t>
  </si>
  <si>
    <t>7. Las partes contratantes en caso de desacuerdo, se someten conforme a las leyes y tribunales de la Ciudad de México, Distrito Federal, renunciando al fuero presente o futuro que pudiere corresponderles en razón de su domicilio.</t>
  </si>
  <si>
    <t>Explicación del Descuento:</t>
  </si>
  <si>
    <t>Explicar la situación de la competencia en el evento y otros comentarios:</t>
  </si>
  <si>
    <t>DC = Director de Ciudad, DR = Director Regional, VP = Vicepresidente, DF = Director de Finanzas, DG=Director General.</t>
  </si>
  <si>
    <t>% de Descuento 
sobre equipo nuestro</t>
  </si>
  <si>
    <t>Diferencia entre Venta por Subrenta del Item List y Celda (F70)</t>
  </si>
  <si>
    <t>EP DE SUBRENTAS</t>
  </si>
  <si>
    <r>
      <t>Profit (</t>
    </r>
    <r>
      <rPr>
        <sz val="10"/>
        <color indexed="10"/>
        <rFont val="Arial"/>
        <family val="2"/>
      </rPr>
      <t>Loss</t>
    </r>
    <r>
      <rPr>
        <sz val="10"/>
        <rFont val="Arial"/>
        <family val="2"/>
      </rPr>
      <t>) After Commissions (Celda T70)</t>
    </r>
  </si>
  <si>
    <r>
      <t>% Profit (</t>
    </r>
    <r>
      <rPr>
        <sz val="10"/>
        <color indexed="10"/>
        <rFont val="Arial"/>
        <family val="2"/>
      </rPr>
      <t>Loss</t>
    </r>
    <r>
      <rPr>
        <sz val="10"/>
        <rFont val="Arial"/>
        <family val="2"/>
      </rPr>
      <t>) After Commissions</t>
    </r>
  </si>
  <si>
    <t>Venta por Subrenta Item List proveedores (AK-AV 356)</t>
  </si>
  <si>
    <t>RC-02</t>
  </si>
  <si>
    <t>RC-03</t>
  </si>
  <si>
    <t>RC-04</t>
  </si>
  <si>
    <t>RC-05</t>
  </si>
  <si>
    <t>RC-06</t>
  </si>
  <si>
    <t>RC-07</t>
  </si>
  <si>
    <t>RC-08</t>
  </si>
  <si>
    <t>RC-09</t>
  </si>
  <si>
    <t>RC-10</t>
  </si>
  <si>
    <t>Gross Revenue Markup %</t>
  </si>
  <si>
    <t>¿Hay Comision en Subrentas y Outside Labor?</t>
  </si>
  <si>
    <t>RIGGING EQUIPO</t>
  </si>
  <si>
    <t>Descripción</t>
  </si>
  <si>
    <t>Autorización DET</t>
  </si>
  <si>
    <t>Autorización DET + DC</t>
  </si>
  <si>
    <t>Autorización DET + (VP o DR)</t>
  </si>
  <si>
    <t>EVENTO:</t>
  </si>
  <si>
    <t>Salón / Area:</t>
  </si>
  <si>
    <t>PSAV México utilizará sus datos personales según lo establecido en el Aviso de Privacidad que puede consultarse en http://mexico.psav.com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</si>
</sst>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quot;$&quot;* #,##0.00_-;\-&quot;$&quot;* #,##0.00_-;_-&quot;$&quot;* &quot;-&quot;??_-;_-@_-"/>
    <numFmt numFmtId="43" formatCode="_-* #,##0.00_-;\-* #,##0.00_-;_-* &quot;-&quot;??_-;_-@_-"/>
    <numFmt numFmtId="164" formatCode="&quot;$&quot;#,##0_);\(&quot;$&quot;#,##0\)"/>
    <numFmt numFmtId="165" formatCode="&quot;$&quot;#,##0.00_);[Red]\(&quot;$&quot;#,##0.00\)"/>
    <numFmt numFmtId="166" formatCode="_(* #,##0_);_(* \(#,##0\);_(* &quot;-&quot;_);_(@_)"/>
    <numFmt numFmtId="167" formatCode="_(* #,##0.00_);_(* \(#,##0.00\);_(* &quot;-&quot;??_);_(@_)"/>
    <numFmt numFmtId="168" formatCode="_(* #,##0_);_(* \(#,##0\);_(* &quot;-&quot;??_);_(@_)"/>
    <numFmt numFmtId="169" formatCode="mmm\ d\,\ yyyy"/>
    <numFmt numFmtId="170" formatCode="0.0%"/>
    <numFmt numFmtId="171" formatCode="mm/dd/yy"/>
    <numFmt numFmtId="172" formatCode="#,##0.00;\(#,##0.00\)"/>
    <numFmt numFmtId="173" formatCode="#,##0.00&quot; $&quot;;\-#,##0.00&quot; $&quot;"/>
    <numFmt numFmtId="174" formatCode="0.000000000"/>
    <numFmt numFmtId="175" formatCode="_(&quot;£&quot;* #,##0.00_);_(&quot;£&quot;* \(#,##0.00\);_(&quot;£&quot;* &quot;-&quot;??_);_(@_)"/>
    <numFmt numFmtId="176" formatCode="_-[$€-2]* #,##0.00_-;\-[$€-2]* #,##0.00_-;_-[$€-2]* &quot;-&quot;??_-"/>
    <numFmt numFmtId="177" formatCode="#,##0_ ;[Red]\-#,##0\ "/>
    <numFmt numFmtId="178" formatCode="_-* #,##0_-;\-* #,##0_-;_-* &quot;-&quot;??_-;_-@_-"/>
    <numFmt numFmtId="179" formatCode="h:mm;@"/>
    <numFmt numFmtId="180" formatCode="_-* #,##0.0000_-;\-* #,##0.0000_-;_-* &quot;-&quot;??_-;_-@_-"/>
    <numFmt numFmtId="181" formatCode="_-* #,##0.00000_-;\-* #,##0.00000_-;_-* &quot;-&quot;??_-;_-@_-"/>
    <numFmt numFmtId="182" formatCode="000"/>
  </numFmts>
  <fonts count="88">
    <font>
      <sz val="10"/>
      <name val="Arial"/>
    </font>
    <font>
      <sz val="10"/>
      <name val="Arial"/>
    </font>
    <font>
      <sz val="10"/>
      <name val="Verdana"/>
      <family val="2"/>
    </font>
    <font>
      <sz val="8"/>
      <name val="Arial"/>
      <family val="2"/>
    </font>
    <font>
      <sz val="9"/>
      <name val="Arial"/>
      <family val="2"/>
    </font>
    <font>
      <b/>
      <sz val="10"/>
      <name val="Arial"/>
      <family val="2"/>
    </font>
    <font>
      <sz val="10"/>
      <name val="Arial"/>
      <family val="2"/>
    </font>
    <font>
      <sz val="8"/>
      <name val="Arial"/>
      <family val="2"/>
    </font>
    <font>
      <u/>
      <sz val="6"/>
      <color indexed="12"/>
      <name val="Palatino"/>
    </font>
    <font>
      <sz val="10"/>
      <name val="Palatino"/>
    </font>
    <font>
      <b/>
      <sz val="14"/>
      <name val="Arial"/>
      <family val="2"/>
    </font>
    <font>
      <sz val="12"/>
      <name val="Arial"/>
      <family val="2"/>
    </font>
    <font>
      <b/>
      <sz val="12"/>
      <name val="Arial"/>
      <family val="2"/>
    </font>
    <font>
      <b/>
      <sz val="8"/>
      <name val="Arial"/>
      <family val="2"/>
    </font>
    <font>
      <sz val="9"/>
      <name val="Arial"/>
      <family val="2"/>
    </font>
    <font>
      <b/>
      <sz val="10"/>
      <name val="Arial"/>
      <family val="2"/>
    </font>
    <font>
      <b/>
      <sz val="8"/>
      <name val="Arial"/>
      <family val="2"/>
    </font>
    <font>
      <b/>
      <sz val="10"/>
      <color indexed="9"/>
      <name val="Arial"/>
      <family val="2"/>
    </font>
    <font>
      <sz val="10"/>
      <name val="Arial"/>
      <family val="2"/>
    </font>
    <font>
      <b/>
      <sz val="12"/>
      <name val="Arial"/>
      <family val="2"/>
    </font>
    <font>
      <sz val="9"/>
      <name val="Arial Narrow"/>
      <family val="2"/>
    </font>
    <font>
      <sz val="10"/>
      <color indexed="8"/>
      <name val="Arial"/>
      <family val="2"/>
    </font>
    <font>
      <b/>
      <i/>
      <sz val="10"/>
      <color indexed="8"/>
      <name val="Arial"/>
      <family val="2"/>
    </font>
    <font>
      <b/>
      <sz val="10"/>
      <color indexed="18"/>
      <name val="Arial"/>
      <family val="2"/>
    </font>
    <font>
      <b/>
      <sz val="22"/>
      <color indexed="18"/>
      <name val="Times New Roman"/>
      <family val="1"/>
    </font>
    <font>
      <sz val="10"/>
      <name val="MS Sans Serif"/>
      <family val="2"/>
    </font>
    <font>
      <sz val="12"/>
      <name val="Tms Rmn"/>
    </font>
    <font>
      <sz val="10"/>
      <name val="MS Serif"/>
      <family val="1"/>
    </font>
    <font>
      <sz val="10"/>
      <color indexed="16"/>
      <name val="MS Serif"/>
      <family val="1"/>
    </font>
    <font>
      <sz val="12"/>
      <name val="Times New Roman"/>
      <family val="1"/>
    </font>
    <font>
      <u/>
      <sz val="10"/>
      <color indexed="14"/>
      <name val="MS Sans Serif"/>
      <family val="2"/>
    </font>
    <font>
      <sz val="10"/>
      <color indexed="0"/>
      <name val="Arial"/>
      <family val="2"/>
    </font>
    <font>
      <b/>
      <u/>
      <sz val="11"/>
      <color indexed="37"/>
      <name val="Arial"/>
      <family val="2"/>
    </font>
    <font>
      <b/>
      <sz val="18"/>
      <name val="Arial"/>
      <family val="2"/>
    </font>
    <font>
      <sz val="10"/>
      <color indexed="12"/>
      <name val="Arial"/>
      <family val="2"/>
    </font>
    <font>
      <u/>
      <sz val="10"/>
      <color indexed="12"/>
      <name val="MS Sans Serif"/>
      <family val="2"/>
    </font>
    <font>
      <sz val="7"/>
      <name val="Small Fonts"/>
      <family val="2"/>
    </font>
    <font>
      <sz val="8"/>
      <name val="Helv"/>
    </font>
    <font>
      <b/>
      <sz val="8"/>
      <color indexed="8"/>
      <name val="Helv"/>
    </font>
    <font>
      <sz val="8"/>
      <color indexed="12"/>
      <name val="Arial"/>
      <family val="2"/>
    </font>
    <font>
      <sz val="7"/>
      <name val="Arial"/>
      <family val="2"/>
    </font>
    <font>
      <sz val="12"/>
      <name val="Arial"/>
      <family val="2"/>
    </font>
    <font>
      <b/>
      <sz val="10"/>
      <color indexed="12"/>
      <name val="Arial"/>
      <family val="2"/>
    </font>
    <font>
      <sz val="12"/>
      <name val="Arial Narrow"/>
      <family val="2"/>
    </font>
    <font>
      <sz val="10"/>
      <color indexed="9"/>
      <name val="Arial"/>
      <family val="2"/>
    </font>
    <font>
      <i/>
      <sz val="10"/>
      <name val="Arial"/>
      <family val="2"/>
    </font>
    <font>
      <b/>
      <i/>
      <sz val="10"/>
      <name val="Arial"/>
      <family val="2"/>
    </font>
    <font>
      <b/>
      <sz val="10"/>
      <color indexed="10"/>
      <name val="Arial"/>
      <family val="2"/>
    </font>
    <font>
      <sz val="10"/>
      <color indexed="9"/>
      <name val="Arial"/>
      <family val="2"/>
    </font>
    <font>
      <sz val="8"/>
      <color indexed="81"/>
      <name val="Tahoma"/>
      <family val="2"/>
    </font>
    <font>
      <b/>
      <sz val="8"/>
      <color indexed="10"/>
      <name val="Arial"/>
      <family val="2"/>
    </font>
    <font>
      <b/>
      <sz val="8"/>
      <color indexed="12"/>
      <name val="Arial"/>
      <family val="2"/>
    </font>
    <font>
      <b/>
      <sz val="10"/>
      <color indexed="57"/>
      <name val="Arial"/>
      <family val="2"/>
    </font>
    <font>
      <sz val="6"/>
      <color indexed="81"/>
      <name val="Tahoma"/>
      <family val="2"/>
    </font>
    <font>
      <b/>
      <i/>
      <sz val="8"/>
      <name val="Arial"/>
      <family val="2"/>
    </font>
    <font>
      <i/>
      <sz val="8"/>
      <name val="Arial"/>
      <family val="2"/>
    </font>
    <font>
      <u/>
      <sz val="8"/>
      <color indexed="12"/>
      <name val="Palatino"/>
    </font>
    <font>
      <b/>
      <u val="singleAccounting"/>
      <sz val="8"/>
      <name val="Arial"/>
      <family val="2"/>
    </font>
    <font>
      <u val="singleAccounting"/>
      <sz val="8"/>
      <name val="Arial"/>
      <family val="2"/>
    </font>
    <font>
      <sz val="6"/>
      <color indexed="12"/>
      <name val="Arial"/>
      <family val="2"/>
    </font>
    <font>
      <b/>
      <u/>
      <sz val="10"/>
      <color indexed="10"/>
      <name val="Arial"/>
      <family val="2"/>
    </font>
    <font>
      <sz val="8"/>
      <color indexed="9"/>
      <name val="Arial"/>
      <family val="2"/>
    </font>
    <font>
      <u/>
      <sz val="10"/>
      <color indexed="48"/>
      <name val="Arial"/>
      <family val="2"/>
    </font>
    <font>
      <sz val="8"/>
      <color indexed="10"/>
      <name val="Arial"/>
      <family val="2"/>
    </font>
    <font>
      <b/>
      <u/>
      <sz val="8"/>
      <color indexed="10"/>
      <name val="Arial"/>
      <family val="2"/>
    </font>
    <font>
      <sz val="8"/>
      <color indexed="10"/>
      <name val="Arial"/>
      <family val="2"/>
    </font>
    <font>
      <sz val="6"/>
      <name val="Arial"/>
      <family val="2"/>
    </font>
    <font>
      <b/>
      <sz val="6"/>
      <name val="Arial"/>
      <family val="2"/>
    </font>
    <font>
      <b/>
      <sz val="6"/>
      <color indexed="12"/>
      <name val="Arial"/>
      <family val="2"/>
    </font>
    <font>
      <b/>
      <sz val="8"/>
      <color indexed="9"/>
      <name val="Arial"/>
      <family val="2"/>
    </font>
    <font>
      <sz val="8"/>
      <color indexed="12"/>
      <name val="Arial"/>
      <family val="2"/>
    </font>
    <font>
      <sz val="10"/>
      <color indexed="12"/>
      <name val="Arial"/>
      <family val="2"/>
    </font>
    <font>
      <b/>
      <u/>
      <sz val="8"/>
      <name val="Arial"/>
      <family val="2"/>
    </font>
    <font>
      <sz val="10"/>
      <color indexed="10"/>
      <name val="Arial"/>
      <family val="2"/>
    </font>
    <font>
      <b/>
      <i/>
      <sz val="8"/>
      <color indexed="12"/>
      <name val="Arial"/>
      <family val="2"/>
    </font>
    <font>
      <sz val="10"/>
      <color indexed="8"/>
      <name val="Arial"/>
      <family val="2"/>
    </font>
    <font>
      <sz val="18"/>
      <color indexed="8"/>
      <name val="Arial Black"/>
      <family val="2"/>
    </font>
    <font>
      <b/>
      <sz val="8"/>
      <color indexed="8"/>
      <name val="Arial"/>
      <family val="2"/>
    </font>
    <font>
      <b/>
      <sz val="10"/>
      <color indexed="8"/>
      <name val="Arial"/>
      <family val="2"/>
    </font>
    <font>
      <sz val="8"/>
      <color indexed="9"/>
      <name val="Arial"/>
      <family val="2"/>
    </font>
    <font>
      <sz val="8"/>
      <name val="Arial Narrow"/>
      <family val="2"/>
    </font>
    <font>
      <sz val="8"/>
      <color indexed="12"/>
      <name val="Arial Narrow"/>
      <family val="2"/>
    </font>
    <font>
      <b/>
      <sz val="8"/>
      <color indexed="10"/>
      <name val="Arial"/>
      <family val="2"/>
    </font>
    <font>
      <sz val="10"/>
      <color indexed="10"/>
      <name val="Verdana"/>
      <family val="2"/>
    </font>
    <font>
      <b/>
      <u/>
      <sz val="10"/>
      <name val="Arial"/>
      <family val="2"/>
    </font>
    <font>
      <b/>
      <sz val="6.5"/>
      <name val="Arial"/>
      <family val="2"/>
    </font>
    <font>
      <b/>
      <sz val="10"/>
      <name val="Berlin Sans FB"/>
      <family val="2"/>
    </font>
    <font>
      <sz val="10"/>
      <name val="Berlin Sans FB"/>
      <family val="2"/>
    </font>
  </fonts>
  <fills count="1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9"/>
        <bgColor indexed="64"/>
      </patternFill>
    </fill>
    <fill>
      <patternFill patternType="solid">
        <fgColor indexed="18"/>
        <bgColor indexed="64"/>
      </patternFill>
    </fill>
    <fill>
      <patternFill patternType="solid">
        <fgColor indexed="43"/>
        <bgColor indexed="64"/>
      </patternFill>
    </fill>
    <fill>
      <patternFill patternType="solid">
        <fgColor indexed="8"/>
        <bgColor indexed="64"/>
      </patternFill>
    </fill>
    <fill>
      <patternFill patternType="solid">
        <fgColor indexed="11"/>
        <bgColor indexed="64"/>
      </patternFill>
    </fill>
    <fill>
      <patternFill patternType="solid">
        <fgColor indexed="51"/>
        <bgColor indexed="64"/>
      </patternFill>
    </fill>
    <fill>
      <patternFill patternType="solid">
        <fgColor indexed="23"/>
        <bgColor indexed="64"/>
      </patternFill>
    </fill>
    <fill>
      <patternFill patternType="solid">
        <fgColor indexed="13"/>
        <bgColor indexed="64"/>
      </patternFill>
    </fill>
    <fill>
      <patternFill patternType="solid">
        <fgColor indexed="42"/>
        <bgColor indexed="64"/>
      </patternFill>
    </fill>
    <fill>
      <patternFill patternType="solid">
        <fgColor indexed="55"/>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s>
  <borders count="38">
    <border>
      <left/>
      <right/>
      <top/>
      <bottom/>
      <diagonal/>
    </border>
    <border>
      <left style="double">
        <color indexed="64"/>
      </left>
      <right/>
      <top/>
      <bottom style="hair">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double">
        <color indexed="8"/>
      </top>
      <bottom/>
      <diagonal/>
    </border>
    <border>
      <left style="thin">
        <color indexed="64"/>
      </left>
      <right/>
      <top/>
      <bottom/>
      <diagonal/>
    </border>
    <border>
      <left style="hair">
        <color indexed="64"/>
      </left>
      <right/>
      <top style="hair">
        <color indexed="64"/>
      </top>
      <bottom/>
      <diagonal/>
    </border>
    <border>
      <left/>
      <right/>
      <top style="hair">
        <color indexed="64"/>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hair">
        <color indexed="64"/>
      </left>
      <right style="hair">
        <color indexed="64"/>
      </right>
      <top/>
      <bottom/>
      <diagonal/>
    </border>
    <border>
      <left style="hair">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right style="hair">
        <color indexed="64"/>
      </right>
      <top style="hair">
        <color indexed="64"/>
      </top>
      <bottom/>
      <diagonal/>
    </border>
    <border>
      <left/>
      <right style="hair">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double">
        <color indexed="64"/>
      </left>
      <right style="double">
        <color indexed="64"/>
      </right>
      <top style="double">
        <color indexed="64"/>
      </top>
      <bottom/>
      <diagonal/>
    </border>
    <border>
      <left/>
      <right/>
      <top/>
      <bottom style="double">
        <color indexed="64"/>
      </bottom>
      <diagonal/>
    </border>
  </borders>
  <cellStyleXfs count="51">
    <xf numFmtId="0" fontId="0" fillId="0" borderId="0"/>
    <xf numFmtId="1" fontId="25" fillId="0" borderId="0"/>
    <xf numFmtId="0" fontId="1" fillId="2" borderId="1">
      <alignment horizontal="center" vertical="center"/>
    </xf>
    <xf numFmtId="0" fontId="26" fillId="0" borderId="0" applyNumberFormat="0" applyFill="0" applyBorder="0" applyAlignment="0" applyProtection="0"/>
    <xf numFmtId="0" fontId="21" fillId="0" borderId="0" applyFill="0" applyBorder="0" applyAlignment="0"/>
    <xf numFmtId="0" fontId="16" fillId="0" borderId="2">
      <alignment horizontal="center"/>
    </xf>
    <xf numFmtId="3" fontId="1" fillId="0" borderId="0" applyFont="0" applyFill="0" applyBorder="0" applyAlignment="0" applyProtection="0"/>
    <xf numFmtId="0" fontId="27" fillId="0" borderId="0" applyNumberFormat="0" applyAlignment="0">
      <alignment horizontal="left"/>
    </xf>
    <xf numFmtId="175" fontId="1" fillId="0" borderId="0" applyFont="0" applyFill="0" applyBorder="0" applyAlignment="0" applyProtection="0"/>
    <xf numFmtId="164" fontId="1" fillId="0" borderId="0" applyFont="0" applyFill="0" applyBorder="0" applyAlignment="0" applyProtection="0"/>
    <xf numFmtId="0" fontId="1" fillId="0" borderId="0" applyFont="0" applyFill="0" applyBorder="0" applyAlignment="0" applyProtection="0"/>
    <xf numFmtId="0" fontId="28" fillId="0" borderId="0" applyNumberFormat="0" applyAlignment="0">
      <alignment horizontal="left"/>
    </xf>
    <xf numFmtId="176" fontId="1" fillId="0" borderId="0" applyFont="0" applyFill="0" applyBorder="0" applyAlignment="0" applyProtection="0"/>
    <xf numFmtId="0" fontId="29" fillId="0" borderId="0" applyNumberFormat="0" applyFill="0" applyBorder="0" applyAlignment="0" applyProtection="0"/>
    <xf numFmtId="2" fontId="1" fillId="0" borderId="0" applyFont="0" applyFill="0" applyBorder="0" applyAlignment="0" applyProtection="0"/>
    <xf numFmtId="0" fontId="30" fillId="0" borderId="0" applyNumberFormat="0" applyFill="0" applyBorder="0" applyAlignment="0" applyProtection="0"/>
    <xf numFmtId="172" fontId="31" fillId="0" borderId="0"/>
    <xf numFmtId="38" fontId="7" fillId="3" borderId="0" applyNumberFormat="0" applyBorder="0" applyAlignment="0" applyProtection="0"/>
    <xf numFmtId="0" fontId="32" fillId="0" borderId="0" applyNumberFormat="0" applyFill="0" applyBorder="0" applyAlignment="0" applyProtection="0"/>
    <xf numFmtId="0" fontId="12" fillId="0" borderId="3" applyNumberFormat="0" applyAlignment="0" applyProtection="0">
      <alignment horizontal="left" vertical="center"/>
    </xf>
    <xf numFmtId="0" fontId="12" fillId="0" borderId="4">
      <alignment horizontal="left" vertical="center"/>
    </xf>
    <xf numFmtId="0" fontId="33" fillId="0" borderId="0" applyNumberFormat="0" applyFill="0" applyBorder="0" applyAlignment="0" applyProtection="0"/>
    <xf numFmtId="0" fontId="19" fillId="0" borderId="0" applyNumberFormat="0" applyFill="0" applyBorder="0" applyAlignment="0" applyProtection="0"/>
    <xf numFmtId="173" fontId="1" fillId="0" borderId="0">
      <protection locked="0"/>
    </xf>
    <xf numFmtId="173" fontId="1" fillId="0" borderId="0">
      <protection locked="0"/>
    </xf>
    <xf numFmtId="0" fontId="34" fillId="0" borderId="5" applyNumberFormat="0" applyFill="0" applyAlignment="0" applyProtection="0"/>
    <xf numFmtId="0" fontId="8" fillId="0" borderId="0" applyNumberFormat="0" applyFill="0" applyBorder="0" applyAlignment="0" applyProtection="0">
      <alignment vertical="top"/>
      <protection locked="0"/>
    </xf>
    <xf numFmtId="0" fontId="35" fillId="0" borderId="0" applyNumberFormat="0" applyFill="0" applyBorder="0" applyAlignment="0" applyProtection="0"/>
    <xf numFmtId="10" fontId="7" fillId="4" borderId="6"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37" fontId="36" fillId="0" borderId="0"/>
    <xf numFmtId="174" fontId="1" fillId="0" borderId="0"/>
    <xf numFmtId="0" fontId="9" fillId="0" borderId="0"/>
    <xf numFmtId="40" fontId="21" fillId="5" borderId="0">
      <alignment horizontal="right"/>
    </xf>
    <xf numFmtId="0" fontId="22" fillId="3" borderId="0">
      <alignment horizontal="right"/>
    </xf>
    <xf numFmtId="0" fontId="17" fillId="6" borderId="0"/>
    <xf numFmtId="0" fontId="23" fillId="0" borderId="0" applyBorder="0">
      <alignment horizontal="centerContinuous"/>
    </xf>
    <xf numFmtId="0" fontId="24" fillId="0" borderId="0" applyBorder="0">
      <alignment horizontal="centerContinuous"/>
    </xf>
    <xf numFmtId="10" fontId="1" fillId="0" borderId="0" applyFont="0" applyFill="0" applyBorder="0" applyAlignment="0" applyProtection="0"/>
    <xf numFmtId="9" fontId="1" fillId="0" borderId="0" applyFont="0" applyFill="0" applyBorder="0" applyAlignment="0" applyProtection="0"/>
    <xf numFmtId="171" fontId="37" fillId="0" borderId="0" applyNumberFormat="0" applyFill="0" applyBorder="0" applyAlignment="0" applyProtection="0">
      <alignment horizontal="left"/>
    </xf>
    <xf numFmtId="0" fontId="75" fillId="0" borderId="0" applyNumberFormat="0" applyBorder="0" applyAlignment="0"/>
    <xf numFmtId="0" fontId="76" fillId="0" borderId="0" applyNumberFormat="0" applyBorder="0" applyAlignment="0"/>
    <xf numFmtId="0" fontId="77" fillId="0" borderId="0" applyNumberFormat="0" applyBorder="0" applyAlignment="0"/>
    <xf numFmtId="0" fontId="78" fillId="0" borderId="0" applyNumberFormat="0" applyBorder="0" applyAlignment="0"/>
    <xf numFmtId="40" fontId="38" fillId="0" borderId="0" applyBorder="0">
      <alignment horizontal="right"/>
    </xf>
    <xf numFmtId="0" fontId="1" fillId="0" borderId="7" applyNumberFormat="0" applyFont="0" applyFill="0" applyAlignment="0" applyProtection="0"/>
    <xf numFmtId="37" fontId="7" fillId="7" borderId="0" applyNumberFormat="0" applyBorder="0" applyAlignment="0" applyProtection="0"/>
    <xf numFmtId="37" fontId="3" fillId="0" borderId="0"/>
    <xf numFmtId="3" fontId="39" fillId="0" borderId="5" applyProtection="0"/>
  </cellStyleXfs>
  <cellXfs count="854">
    <xf numFmtId="0" fontId="0" fillId="0" borderId="0" xfId="0"/>
    <xf numFmtId="0" fontId="6" fillId="0" borderId="0" xfId="0" applyFont="1" applyFill="1" applyAlignment="1">
      <alignment horizontal="left"/>
    </xf>
    <xf numFmtId="0" fontId="6" fillId="0" borderId="0" xfId="0" applyFont="1" applyFill="1"/>
    <xf numFmtId="0" fontId="6" fillId="0" borderId="0" xfId="0" applyFont="1" applyFill="1" applyBorder="1"/>
    <xf numFmtId="0" fontId="7" fillId="0" borderId="6" xfId="0" applyFont="1" applyFill="1" applyBorder="1" applyAlignment="1">
      <alignment horizontal="center" vertical="top" wrapText="1"/>
    </xf>
    <xf numFmtId="0" fontId="18" fillId="0" borderId="0" xfId="0" applyFont="1" applyFill="1"/>
    <xf numFmtId="0" fontId="11" fillId="0" borderId="8" xfId="0" applyFont="1" applyFill="1" applyBorder="1" applyAlignment="1">
      <alignment horizontal="center"/>
    </xf>
    <xf numFmtId="0" fontId="11" fillId="0" borderId="0" xfId="0" applyFont="1" applyFill="1" applyAlignment="1">
      <alignment horizontal="center"/>
    </xf>
    <xf numFmtId="0" fontId="2" fillId="0" borderId="0" xfId="0" applyFont="1" applyFill="1"/>
    <xf numFmtId="0" fontId="6" fillId="0" borderId="0" xfId="0" applyFont="1" applyFill="1" applyAlignment="1">
      <alignment horizontal="center"/>
    </xf>
    <xf numFmtId="0" fontId="11" fillId="0" borderId="0" xfId="0" applyFont="1" applyFill="1" applyBorder="1" applyAlignment="1">
      <alignment horizontal="center"/>
    </xf>
    <xf numFmtId="0" fontId="18" fillId="0" borderId="0" xfId="0" applyFont="1" applyFill="1" applyAlignment="1">
      <alignment horizontal="center"/>
    </xf>
    <xf numFmtId="0" fontId="18" fillId="0" borderId="0" xfId="0" quotePrefix="1" applyFont="1" applyFill="1" applyAlignment="1">
      <alignment horizontal="center"/>
    </xf>
    <xf numFmtId="0" fontId="18" fillId="0" borderId="0" xfId="0" applyFont="1" applyFill="1" applyAlignment="1">
      <alignment horizontal="left"/>
    </xf>
    <xf numFmtId="0" fontId="18" fillId="0" borderId="0" xfId="0" applyFont="1" applyFill="1" applyBorder="1"/>
    <xf numFmtId="0" fontId="43" fillId="0" borderId="0" xfId="0" applyFont="1" applyFill="1" applyAlignment="1">
      <alignment horizontal="center"/>
    </xf>
    <xf numFmtId="0" fontId="6" fillId="0" borderId="8" xfId="0" applyFont="1" applyFill="1" applyBorder="1" applyAlignment="1">
      <alignment horizontal="center"/>
    </xf>
    <xf numFmtId="0" fontId="11" fillId="0" borderId="0" xfId="0" applyFont="1" applyFill="1" applyAlignment="1">
      <alignment horizontal="left"/>
    </xf>
    <xf numFmtId="0" fontId="11" fillId="0" borderId="8" xfId="0" applyFont="1" applyFill="1" applyBorder="1" applyAlignment="1">
      <alignment horizontal="left"/>
    </xf>
    <xf numFmtId="0" fontId="11" fillId="0" borderId="8" xfId="0" applyNumberFormat="1" applyFont="1" applyFill="1" applyBorder="1" applyAlignment="1">
      <alignment horizontal="center"/>
    </xf>
    <xf numFmtId="0" fontId="11" fillId="0" borderId="0" xfId="0" quotePrefix="1" applyFont="1" applyFill="1" applyAlignment="1">
      <alignment horizontal="center"/>
    </xf>
    <xf numFmtId="0" fontId="11" fillId="0" borderId="0" xfId="0" applyFont="1" applyFill="1"/>
    <xf numFmtId="178" fontId="7" fillId="0" borderId="0" xfId="29" applyNumberFormat="1" applyFont="1" applyProtection="1">
      <protection hidden="1"/>
    </xf>
    <xf numFmtId="178" fontId="7" fillId="0" borderId="0" xfId="29" applyNumberFormat="1" applyFont="1" applyFill="1" applyProtection="1">
      <protection hidden="1"/>
    </xf>
    <xf numFmtId="170" fontId="1" fillId="0" borderId="0" xfId="40" applyNumberFormat="1" applyFill="1" applyBorder="1" applyAlignment="1" applyProtection="1">
      <alignment horizontal="center"/>
      <protection hidden="1"/>
    </xf>
    <xf numFmtId="0" fontId="5" fillId="5" borderId="0" xfId="0" applyFont="1" applyFill="1" applyAlignment="1" applyProtection="1">
      <alignment horizontal="center" vertical="top"/>
    </xf>
    <xf numFmtId="0" fontId="18" fillId="5" borderId="0" xfId="0" applyFont="1" applyFill="1" applyProtection="1"/>
    <xf numFmtId="0" fontId="5" fillId="5" borderId="0" xfId="0" applyFont="1" applyFill="1" applyAlignment="1" applyProtection="1">
      <alignment horizontal="left"/>
    </xf>
    <xf numFmtId="0" fontId="13" fillId="5" borderId="0" xfId="0" applyFont="1" applyFill="1" applyBorder="1" applyAlignment="1" applyProtection="1">
      <alignment horizontal="left"/>
    </xf>
    <xf numFmtId="178" fontId="13" fillId="5" borderId="0" xfId="29" applyNumberFormat="1" applyFont="1" applyFill="1" applyBorder="1" applyAlignment="1" applyProtection="1">
      <alignment horizontal="center" vertical="top"/>
    </xf>
    <xf numFmtId="0" fontId="18" fillId="0" borderId="0" xfId="0" applyFont="1" applyProtection="1"/>
    <xf numFmtId="0" fontId="5" fillId="0" borderId="0" xfId="0" applyFont="1" applyFill="1" applyBorder="1" applyAlignment="1" applyProtection="1">
      <alignment horizontal="left"/>
    </xf>
    <xf numFmtId="178" fontId="13" fillId="5" borderId="0" xfId="29" applyNumberFormat="1" applyFont="1" applyFill="1" applyBorder="1" applyAlignment="1" applyProtection="1">
      <alignment horizontal="left"/>
    </xf>
    <xf numFmtId="0" fontId="5" fillId="0" borderId="0" xfId="0" applyFont="1" applyProtection="1"/>
    <xf numFmtId="0" fontId="18" fillId="0" borderId="0" xfId="0" applyFont="1" applyFill="1" applyProtection="1"/>
    <xf numFmtId="178" fontId="7" fillId="5" borderId="0" xfId="29" applyNumberFormat="1" applyFont="1" applyFill="1" applyProtection="1"/>
    <xf numFmtId="0" fontId="7" fillId="5" borderId="0" xfId="0" applyFont="1" applyFill="1" applyProtection="1"/>
    <xf numFmtId="0" fontId="47" fillId="5" borderId="0" xfId="0" applyFont="1" applyFill="1" applyProtection="1"/>
    <xf numFmtId="0" fontId="48" fillId="0" borderId="0" xfId="0" applyFont="1" applyFill="1" applyAlignment="1" applyProtection="1">
      <alignment horizontal="center"/>
    </xf>
    <xf numFmtId="0" fontId="1" fillId="5" borderId="0" xfId="0" applyFont="1" applyFill="1" applyAlignment="1" applyProtection="1">
      <alignment horizontal="center"/>
    </xf>
    <xf numFmtId="0" fontId="5" fillId="8" borderId="0" xfId="0" applyFont="1" applyFill="1" applyBorder="1" applyAlignment="1" applyProtection="1">
      <alignment horizontal="left"/>
    </xf>
    <xf numFmtId="0" fontId="5" fillId="5" borderId="0" xfId="0" applyFont="1" applyFill="1" applyProtection="1"/>
    <xf numFmtId="0" fontId="1" fillId="5" borderId="0" xfId="0" applyFont="1" applyFill="1" applyProtection="1"/>
    <xf numFmtId="0" fontId="15" fillId="5" borderId="0" xfId="0" applyFont="1" applyFill="1" applyBorder="1" applyAlignment="1" applyProtection="1">
      <alignment horizontal="center"/>
    </xf>
    <xf numFmtId="4" fontId="5" fillId="5" borderId="0" xfId="0" applyNumberFormat="1" applyFont="1" applyFill="1" applyBorder="1" applyAlignment="1" applyProtection="1">
      <alignment horizontal="center" vertical="top"/>
    </xf>
    <xf numFmtId="0" fontId="13" fillId="8" borderId="0" xfId="0" applyFont="1" applyFill="1" applyBorder="1" applyAlignment="1" applyProtection="1">
      <alignment horizontal="center" vertical="top" wrapText="1"/>
    </xf>
    <xf numFmtId="0" fontId="6" fillId="5" borderId="0" xfId="0" applyFont="1" applyFill="1" applyProtection="1"/>
    <xf numFmtId="0" fontId="18" fillId="5" borderId="0" xfId="0" applyFont="1" applyFill="1" applyBorder="1" applyAlignment="1" applyProtection="1">
      <alignment horizontal="left" vertical="top"/>
    </xf>
    <xf numFmtId="0" fontId="18" fillId="0" borderId="0" xfId="0" applyFont="1" applyAlignment="1" applyProtection="1"/>
    <xf numFmtId="0" fontId="18" fillId="5" borderId="0" xfId="0" applyFont="1" applyFill="1" applyBorder="1" applyProtection="1"/>
    <xf numFmtId="0" fontId="19" fillId="0" borderId="0" xfId="0" applyFont="1" applyFill="1" applyBorder="1" applyAlignment="1" applyProtection="1">
      <alignment horizontal="center" vertical="center" wrapText="1"/>
    </xf>
    <xf numFmtId="0" fontId="41" fillId="5" borderId="0" xfId="0" applyFont="1" applyFill="1" applyProtection="1"/>
    <xf numFmtId="0" fontId="6" fillId="5" borderId="0" xfId="0" applyFont="1" applyFill="1" applyAlignment="1" applyProtection="1">
      <alignment horizontal="center" vertical="top"/>
    </xf>
    <xf numFmtId="0" fontId="18" fillId="5" borderId="0" xfId="0" applyFont="1" applyFill="1" applyAlignment="1" applyProtection="1">
      <alignment horizontal="center" vertical="top"/>
    </xf>
    <xf numFmtId="0" fontId="18" fillId="5" borderId="0" xfId="0" applyFont="1" applyFill="1" applyAlignment="1" applyProtection="1">
      <alignment horizontal="left" vertical="top" wrapText="1"/>
    </xf>
    <xf numFmtId="43" fontId="18" fillId="5" borderId="0" xfId="0" applyNumberFormat="1" applyFont="1" applyFill="1" applyAlignment="1" applyProtection="1">
      <alignment vertical="top"/>
    </xf>
    <xf numFmtId="0" fontId="5" fillId="8" borderId="0" xfId="0" applyFont="1" applyFill="1" applyBorder="1" applyAlignment="1" applyProtection="1">
      <alignment horizontal="center" vertical="top"/>
    </xf>
    <xf numFmtId="43" fontId="18" fillId="5" borderId="0" xfId="0" applyNumberFormat="1" applyFont="1" applyFill="1" applyBorder="1" applyAlignment="1" applyProtection="1">
      <alignment vertical="top"/>
    </xf>
    <xf numFmtId="0" fontId="18" fillId="5" borderId="0" xfId="0" applyFont="1" applyFill="1" applyBorder="1" applyAlignment="1" applyProtection="1">
      <alignment horizontal="left" vertical="top" wrapText="1"/>
    </xf>
    <xf numFmtId="0" fontId="18" fillId="5" borderId="0" xfId="0" applyFont="1" applyFill="1" applyAlignment="1" applyProtection="1">
      <alignment vertical="top" wrapText="1"/>
    </xf>
    <xf numFmtId="0" fontId="18" fillId="8" borderId="0" xfId="0" applyFont="1" applyFill="1" applyAlignment="1" applyProtection="1">
      <alignment horizontal="center" vertical="top"/>
    </xf>
    <xf numFmtId="0" fontId="18" fillId="8" borderId="0" xfId="0" applyFont="1" applyFill="1" applyAlignment="1" applyProtection="1">
      <alignment vertical="top" wrapText="1"/>
    </xf>
    <xf numFmtId="0" fontId="3" fillId="0" borderId="0" xfId="0" applyFont="1" applyProtection="1"/>
    <xf numFmtId="0" fontId="5" fillId="5" borderId="0" xfId="0" applyFont="1" applyFill="1" applyBorder="1" applyAlignment="1" applyProtection="1">
      <alignment horizontal="left"/>
    </xf>
    <xf numFmtId="0" fontId="0" fillId="0" borderId="0" xfId="0" applyFill="1" applyProtection="1">
      <protection hidden="1"/>
    </xf>
    <xf numFmtId="43" fontId="0" fillId="0" borderId="0" xfId="29" applyFont="1" applyFill="1" applyProtection="1">
      <protection hidden="1"/>
    </xf>
    <xf numFmtId="170" fontId="0" fillId="0" borderId="0" xfId="40" applyNumberFormat="1" applyFont="1" applyFill="1" applyProtection="1">
      <protection hidden="1"/>
    </xf>
    <xf numFmtId="0" fontId="1" fillId="5" borderId="0" xfId="0" applyFont="1" applyFill="1" applyProtection="1">
      <protection hidden="1"/>
    </xf>
    <xf numFmtId="0" fontId="15" fillId="5" borderId="0" xfId="0" applyFont="1" applyFill="1" applyProtection="1">
      <protection hidden="1"/>
    </xf>
    <xf numFmtId="0" fontId="18" fillId="5" borderId="0" xfId="0" applyFont="1" applyFill="1" applyProtection="1">
      <protection hidden="1"/>
    </xf>
    <xf numFmtId="0" fontId="15" fillId="5" borderId="0" xfId="33" applyFont="1" applyFill="1" applyBorder="1" applyAlignment="1" applyProtection="1">
      <alignment horizontal="left"/>
      <protection hidden="1"/>
    </xf>
    <xf numFmtId="0" fontId="1" fillId="5" borderId="0" xfId="0" applyFont="1" applyFill="1" applyAlignment="1" applyProtection="1">
      <protection hidden="1"/>
    </xf>
    <xf numFmtId="0" fontId="5" fillId="5" borderId="0" xfId="33" applyFont="1" applyFill="1" applyBorder="1" applyAlignment="1" applyProtection="1">
      <alignment horizontal="left"/>
      <protection hidden="1"/>
    </xf>
    <xf numFmtId="0" fontId="1" fillId="5" borderId="0" xfId="33" applyNumberFormat="1" applyFont="1" applyFill="1" applyBorder="1" applyAlignment="1" applyProtection="1">
      <alignment vertical="top" wrapText="1"/>
      <protection hidden="1"/>
    </xf>
    <xf numFmtId="0" fontId="1" fillId="5" borderId="0" xfId="33" applyNumberFormat="1" applyFont="1" applyFill="1" applyBorder="1" applyAlignment="1" applyProtection="1">
      <alignment horizontal="left"/>
      <protection hidden="1"/>
    </xf>
    <xf numFmtId="0" fontId="1" fillId="0" borderId="0" xfId="0" applyFont="1" applyFill="1" applyBorder="1" applyAlignment="1" applyProtection="1">
      <protection hidden="1"/>
    </xf>
    <xf numFmtId="0" fontId="0" fillId="0" borderId="0" xfId="0" applyFill="1" applyAlignment="1" applyProtection="1">
      <alignment vertical="top"/>
      <protection hidden="1"/>
    </xf>
    <xf numFmtId="43" fontId="0" fillId="0" borderId="0" xfId="29" applyFont="1" applyFill="1" applyAlignment="1" applyProtection="1">
      <alignment vertical="top"/>
      <protection hidden="1"/>
    </xf>
    <xf numFmtId="0" fontId="5" fillId="0" borderId="0" xfId="0" applyFont="1" applyFill="1" applyAlignment="1" applyProtection="1">
      <alignment vertical="top"/>
      <protection hidden="1"/>
    </xf>
    <xf numFmtId="166" fontId="5" fillId="0" borderId="0" xfId="29" applyNumberFormat="1" applyFont="1" applyFill="1" applyAlignment="1" applyProtection="1">
      <alignment vertical="top"/>
      <protection hidden="1"/>
    </xf>
    <xf numFmtId="0" fontId="5" fillId="0" borderId="4" xfId="0" applyFont="1" applyFill="1" applyBorder="1" applyProtection="1">
      <protection hidden="1"/>
    </xf>
    <xf numFmtId="178" fontId="5" fillId="0" borderId="4" xfId="29" applyNumberFormat="1" applyFont="1" applyFill="1" applyBorder="1" applyProtection="1">
      <protection hidden="1"/>
    </xf>
    <xf numFmtId="178" fontId="0" fillId="0" borderId="0" xfId="29" applyNumberFormat="1" applyFont="1" applyFill="1" applyProtection="1">
      <protection hidden="1"/>
    </xf>
    <xf numFmtId="0" fontId="5" fillId="0" borderId="4" xfId="0" applyFont="1" applyFill="1" applyBorder="1" applyAlignment="1" applyProtection="1">
      <alignment vertical="top" wrapText="1"/>
      <protection hidden="1"/>
    </xf>
    <xf numFmtId="178" fontId="5" fillId="0" borderId="4" xfId="29" applyNumberFormat="1" applyFont="1" applyFill="1" applyBorder="1" applyAlignment="1" applyProtection="1">
      <alignment vertical="top"/>
      <protection hidden="1"/>
    </xf>
    <xf numFmtId="166" fontId="5" fillId="0" borderId="4" xfId="29" applyNumberFormat="1" applyFont="1" applyFill="1" applyBorder="1" applyProtection="1">
      <protection hidden="1"/>
    </xf>
    <xf numFmtId="0" fontId="45" fillId="0" borderId="0" xfId="0" applyFont="1" applyFill="1" applyBorder="1" applyProtection="1">
      <protection hidden="1"/>
    </xf>
    <xf numFmtId="178" fontId="45" fillId="0" borderId="0" xfId="29" applyNumberFormat="1" applyFont="1" applyFill="1" applyBorder="1" applyProtection="1">
      <protection hidden="1"/>
    </xf>
    <xf numFmtId="0" fontId="5" fillId="0" borderId="0" xfId="0" applyFont="1" applyFill="1" applyBorder="1" applyProtection="1">
      <protection hidden="1"/>
    </xf>
    <xf numFmtId="178" fontId="5" fillId="0" borderId="0" xfId="29" applyNumberFormat="1" applyFont="1" applyFill="1" applyBorder="1" applyProtection="1">
      <protection hidden="1"/>
    </xf>
    <xf numFmtId="43" fontId="0" fillId="0" borderId="9" xfId="29" applyFont="1" applyFill="1" applyBorder="1" applyProtection="1">
      <protection hidden="1"/>
    </xf>
    <xf numFmtId="0" fontId="0" fillId="0" borderId="10" xfId="0" applyFill="1" applyBorder="1" applyProtection="1">
      <protection hidden="1"/>
    </xf>
    <xf numFmtId="178" fontId="0" fillId="0" borderId="10" xfId="29" applyNumberFormat="1" applyFont="1" applyFill="1" applyBorder="1" applyProtection="1">
      <protection hidden="1"/>
    </xf>
    <xf numFmtId="178" fontId="46" fillId="0" borderId="0" xfId="29" applyNumberFormat="1" applyFont="1" applyFill="1" applyBorder="1" applyProtection="1">
      <protection hidden="1"/>
    </xf>
    <xf numFmtId="43" fontId="0" fillId="0" borderId="11" xfId="29" applyFont="1" applyFill="1" applyBorder="1" applyProtection="1">
      <protection hidden="1"/>
    </xf>
    <xf numFmtId="170" fontId="0" fillId="0" borderId="12" xfId="40" applyNumberFormat="1" applyFont="1" applyFill="1" applyBorder="1" applyProtection="1">
      <protection hidden="1"/>
    </xf>
    <xf numFmtId="0" fontId="0" fillId="0" borderId="12" xfId="0" applyFill="1" applyBorder="1" applyProtection="1">
      <protection hidden="1"/>
    </xf>
    <xf numFmtId="0" fontId="0" fillId="0" borderId="13" xfId="0" applyFill="1" applyBorder="1" applyProtection="1">
      <protection hidden="1"/>
    </xf>
    <xf numFmtId="170" fontId="5" fillId="0" borderId="0" xfId="40" applyNumberFormat="1" applyFont="1" applyFill="1" applyAlignment="1" applyProtection="1">
      <alignment horizontal="right" vertical="top"/>
      <protection hidden="1"/>
    </xf>
    <xf numFmtId="170" fontId="0" fillId="0" borderId="4" xfId="40" applyNumberFormat="1" applyFont="1" applyFill="1" applyBorder="1" applyAlignment="1" applyProtection="1">
      <alignment horizontal="right"/>
      <protection hidden="1"/>
    </xf>
    <xf numFmtId="170" fontId="0" fillId="0" borderId="0" xfId="40" applyNumberFormat="1" applyFont="1" applyFill="1" applyAlignment="1" applyProtection="1">
      <alignment horizontal="right"/>
      <protection hidden="1"/>
    </xf>
    <xf numFmtId="170" fontId="5" fillId="0" borderId="4" xfId="40" applyNumberFormat="1" applyFont="1" applyFill="1" applyBorder="1" applyAlignment="1" applyProtection="1">
      <alignment horizontal="right" vertical="top"/>
      <protection hidden="1"/>
    </xf>
    <xf numFmtId="170" fontId="5" fillId="0" borderId="4" xfId="40" applyNumberFormat="1" applyFont="1" applyFill="1" applyBorder="1" applyAlignment="1" applyProtection="1">
      <alignment horizontal="right"/>
      <protection hidden="1"/>
    </xf>
    <xf numFmtId="170" fontId="45" fillId="0" borderId="0" xfId="40" applyNumberFormat="1" applyFont="1" applyFill="1" applyBorder="1" applyAlignment="1" applyProtection="1">
      <alignment horizontal="right"/>
      <protection hidden="1"/>
    </xf>
    <xf numFmtId="0" fontId="1" fillId="0" borderId="0" xfId="0" applyFont="1" applyProtection="1">
      <protection hidden="1"/>
    </xf>
    <xf numFmtId="0" fontId="1" fillId="5" borderId="0" xfId="0" applyFont="1" applyFill="1" applyAlignment="1" applyProtection="1">
      <alignment horizontal="center"/>
      <protection hidden="1"/>
    </xf>
    <xf numFmtId="169" fontId="1" fillId="5" borderId="0" xfId="33" applyNumberFormat="1" applyFont="1" applyFill="1" applyBorder="1" applyAlignment="1" applyProtection="1">
      <alignment horizontal="left"/>
      <protection hidden="1"/>
    </xf>
    <xf numFmtId="0" fontId="1" fillId="5" borderId="0" xfId="33" applyFont="1" applyFill="1" applyBorder="1" applyAlignment="1" applyProtection="1">
      <alignment horizontal="left" wrapText="1"/>
      <protection hidden="1"/>
    </xf>
    <xf numFmtId="0" fontId="1" fillId="5" borderId="0" xfId="33" applyFont="1" applyFill="1" applyBorder="1" applyAlignment="1" applyProtection="1">
      <alignment vertical="center" wrapText="1" shrinkToFit="1"/>
      <protection hidden="1"/>
    </xf>
    <xf numFmtId="0" fontId="1" fillId="5" borderId="0" xfId="33" applyNumberFormat="1" applyFont="1" applyFill="1" applyBorder="1" applyAlignment="1" applyProtection="1">
      <alignment horizontal="left" vertical="top" wrapText="1"/>
      <protection locked="0" hidden="1"/>
    </xf>
    <xf numFmtId="0" fontId="1" fillId="5" borderId="0" xfId="33" applyFont="1" applyFill="1" applyBorder="1" applyAlignment="1" applyProtection="1">
      <protection hidden="1"/>
    </xf>
    <xf numFmtId="0" fontId="5" fillId="5" borderId="0" xfId="33" applyNumberFormat="1" applyFont="1" applyFill="1" applyBorder="1" applyAlignment="1" applyProtection="1">
      <alignment horizontal="left"/>
      <protection locked="0" hidden="1"/>
    </xf>
    <xf numFmtId="0" fontId="1" fillId="5" borderId="0" xfId="33" applyFont="1" applyFill="1" applyBorder="1" applyAlignment="1" applyProtection="1">
      <alignment horizontal="left"/>
      <protection hidden="1"/>
    </xf>
    <xf numFmtId="0" fontId="6" fillId="5" borderId="0" xfId="33" applyFont="1" applyFill="1" applyBorder="1" applyAlignment="1" applyProtection="1">
      <alignment horizontal="left"/>
      <protection hidden="1"/>
    </xf>
    <xf numFmtId="0" fontId="1" fillId="5" borderId="0" xfId="33" applyNumberFormat="1" applyFont="1" applyFill="1" applyBorder="1" applyAlignment="1" applyProtection="1">
      <alignment horizontal="left"/>
      <protection locked="0" hidden="1"/>
    </xf>
    <xf numFmtId="0" fontId="1" fillId="5" borderId="0" xfId="33" applyFont="1" applyFill="1" applyBorder="1" applyAlignment="1" applyProtection="1">
      <alignment horizontal="right"/>
      <protection hidden="1"/>
    </xf>
    <xf numFmtId="0" fontId="1" fillId="5" borderId="0" xfId="33" applyFont="1" applyFill="1" applyBorder="1" applyProtection="1">
      <protection hidden="1"/>
    </xf>
    <xf numFmtId="0" fontId="1" fillId="5" borderId="0" xfId="0" applyFont="1" applyFill="1" applyAlignment="1" applyProtection="1">
      <alignment vertical="top" wrapText="1"/>
      <protection hidden="1"/>
    </xf>
    <xf numFmtId="0" fontId="1" fillId="5" borderId="0" xfId="33" applyNumberFormat="1" applyFont="1" applyFill="1" applyBorder="1" applyAlignment="1" applyProtection="1">
      <alignment vertical="top"/>
      <protection hidden="1"/>
    </xf>
    <xf numFmtId="0" fontId="1" fillId="5" borderId="0" xfId="0" applyFont="1" applyFill="1" applyAlignment="1" applyProtection="1">
      <alignment horizontal="left"/>
      <protection locked="0" hidden="1"/>
    </xf>
    <xf numFmtId="0" fontId="1" fillId="5" borderId="0" xfId="33" applyFont="1" applyFill="1" applyAlignment="1" applyProtection="1">
      <protection hidden="1"/>
    </xf>
    <xf numFmtId="0" fontId="1" fillId="5" borderId="0" xfId="33" applyFont="1" applyFill="1" applyAlignment="1" applyProtection="1">
      <alignment horizontal="left"/>
      <protection hidden="1"/>
    </xf>
    <xf numFmtId="0" fontId="5" fillId="5" borderId="0" xfId="33" applyNumberFormat="1" applyFont="1" applyFill="1" applyBorder="1" applyAlignment="1" applyProtection="1">
      <alignment vertical="top" wrapText="1"/>
      <protection locked="0" hidden="1"/>
    </xf>
    <xf numFmtId="0" fontId="1" fillId="5" borderId="0" xfId="33" applyFont="1" applyFill="1" applyProtection="1">
      <protection hidden="1"/>
    </xf>
    <xf numFmtId="0" fontId="5" fillId="5" borderId="0" xfId="0" applyFont="1" applyFill="1" applyProtection="1">
      <protection hidden="1"/>
    </xf>
    <xf numFmtId="0" fontId="6" fillId="5" borderId="0" xfId="0" applyFont="1" applyFill="1" applyProtection="1">
      <protection hidden="1"/>
    </xf>
    <xf numFmtId="9" fontId="5" fillId="5" borderId="0" xfId="40" applyFont="1" applyFill="1" applyAlignment="1" applyProtection="1">
      <alignment horizontal="center"/>
      <protection locked="0" hidden="1"/>
    </xf>
    <xf numFmtId="0" fontId="5" fillId="5" borderId="0" xfId="0" applyFont="1" applyFill="1" applyBorder="1" applyAlignment="1" applyProtection="1">
      <protection hidden="1"/>
    </xf>
    <xf numFmtId="0" fontId="5" fillId="5" borderId="0" xfId="0" applyFont="1" applyFill="1" applyAlignment="1" applyProtection="1">
      <alignment horizontal="left" indent="3"/>
      <protection hidden="1"/>
    </xf>
    <xf numFmtId="9" fontId="5" fillId="5" borderId="0" xfId="40" applyNumberFormat="1" applyFont="1" applyFill="1" applyAlignment="1" applyProtection="1">
      <alignment horizontal="center"/>
      <protection hidden="1"/>
    </xf>
    <xf numFmtId="9" fontId="1" fillId="5" borderId="0" xfId="0" applyNumberFormat="1" applyFont="1" applyFill="1" applyProtection="1">
      <protection hidden="1"/>
    </xf>
    <xf numFmtId="0" fontId="6" fillId="5" borderId="0" xfId="0" applyFont="1" applyFill="1" applyBorder="1" applyAlignment="1" applyProtection="1">
      <protection hidden="1"/>
    </xf>
    <xf numFmtId="9" fontId="6" fillId="5" borderId="0" xfId="0" applyNumberFormat="1" applyFont="1" applyFill="1" applyProtection="1">
      <protection hidden="1"/>
    </xf>
    <xf numFmtId="9" fontId="44" fillId="5" borderId="0" xfId="0" applyNumberFormat="1" applyFont="1" applyFill="1" applyProtection="1">
      <protection hidden="1"/>
    </xf>
    <xf numFmtId="0" fontId="5" fillId="5" borderId="0" xfId="0" applyFont="1" applyFill="1" applyAlignment="1" applyProtection="1">
      <alignment horizontal="left" vertical="top"/>
      <protection hidden="1"/>
    </xf>
    <xf numFmtId="0" fontId="6" fillId="5" borderId="0" xfId="0" applyFont="1" applyFill="1" applyAlignment="1" applyProtection="1">
      <alignment horizontal="left" vertical="top"/>
      <protection hidden="1"/>
    </xf>
    <xf numFmtId="0" fontId="44" fillId="5" borderId="0" xfId="0" applyFont="1" applyFill="1" applyProtection="1">
      <protection hidden="1"/>
    </xf>
    <xf numFmtId="0" fontId="5" fillId="0" borderId="0" xfId="0" applyFont="1" applyAlignment="1" applyProtection="1">
      <alignment horizontal="left" vertical="top"/>
      <protection hidden="1"/>
    </xf>
    <xf numFmtId="0" fontId="5" fillId="5" borderId="0" xfId="0" applyFont="1" applyFill="1" applyAlignment="1" applyProtection="1">
      <protection hidden="1"/>
    </xf>
    <xf numFmtId="0" fontId="6" fillId="5" borderId="0" xfId="0" applyFont="1" applyFill="1" applyAlignment="1" applyProtection="1">
      <protection hidden="1"/>
    </xf>
    <xf numFmtId="9" fontId="48" fillId="5" borderId="0" xfId="0" applyNumberFormat="1" applyFont="1" applyFill="1" applyProtection="1">
      <protection hidden="1"/>
    </xf>
    <xf numFmtId="0" fontId="1" fillId="0" borderId="0" xfId="0" applyFont="1" applyBorder="1" applyProtection="1">
      <protection hidden="1"/>
    </xf>
    <xf numFmtId="0" fontId="20" fillId="5" borderId="0" xfId="0" applyFont="1" applyFill="1" applyBorder="1" applyProtection="1">
      <protection hidden="1"/>
    </xf>
    <xf numFmtId="0" fontId="4" fillId="5" borderId="0" xfId="0" applyFont="1" applyFill="1" applyBorder="1" applyAlignment="1" applyProtection="1">
      <alignment horizontal="left" vertical="top" wrapText="1"/>
      <protection hidden="1"/>
    </xf>
    <xf numFmtId="0" fontId="13" fillId="5" borderId="0" xfId="33" applyFont="1" applyFill="1" applyBorder="1" applyProtection="1">
      <protection hidden="1"/>
    </xf>
    <xf numFmtId="0" fontId="13" fillId="5" borderId="0" xfId="33" applyFont="1" applyFill="1" applyBorder="1" applyAlignment="1" applyProtection="1">
      <alignment horizontal="left"/>
      <protection hidden="1"/>
    </xf>
    <xf numFmtId="0" fontId="14" fillId="5" borderId="0" xfId="0" applyFont="1" applyFill="1" applyBorder="1" applyProtection="1">
      <protection hidden="1"/>
    </xf>
    <xf numFmtId="0" fontId="14" fillId="5" borderId="0" xfId="0" applyFont="1" applyFill="1" applyBorder="1" applyAlignment="1" applyProtection="1">
      <alignment horizontal="right"/>
      <protection hidden="1"/>
    </xf>
    <xf numFmtId="4" fontId="14" fillId="0" borderId="0" xfId="0" applyNumberFormat="1" applyFont="1" applyFill="1" applyBorder="1" applyProtection="1">
      <protection hidden="1"/>
    </xf>
    <xf numFmtId="0" fontId="5" fillId="5" borderId="0" xfId="0" applyFont="1" applyFill="1" applyBorder="1" applyProtection="1">
      <protection hidden="1"/>
    </xf>
    <xf numFmtId="4" fontId="14" fillId="5" borderId="0" xfId="0" applyNumberFormat="1" applyFont="1" applyFill="1" applyBorder="1" applyProtection="1">
      <protection hidden="1"/>
    </xf>
    <xf numFmtId="0" fontId="5" fillId="5" borderId="0" xfId="0" applyFont="1" applyFill="1" applyAlignment="1" applyProtection="1">
      <alignment horizontal="center"/>
      <protection hidden="1"/>
    </xf>
    <xf numFmtId="0" fontId="14" fillId="0" borderId="0" xfId="0" applyFont="1" applyFill="1" applyProtection="1">
      <protection hidden="1"/>
    </xf>
    <xf numFmtId="0" fontId="14" fillId="5" borderId="0" xfId="0" applyFont="1" applyFill="1" applyProtection="1">
      <protection hidden="1"/>
    </xf>
    <xf numFmtId="0" fontId="5" fillId="5" borderId="14" xfId="0" applyFont="1" applyFill="1" applyBorder="1" applyProtection="1">
      <protection hidden="1"/>
    </xf>
    <xf numFmtId="0" fontId="5" fillId="5" borderId="0" xfId="0" applyFont="1" applyFill="1" applyBorder="1" applyAlignment="1" applyProtection="1">
      <alignment horizontal="center"/>
      <protection hidden="1"/>
    </xf>
    <xf numFmtId="4" fontId="14" fillId="0" borderId="0" xfId="0" applyNumberFormat="1" applyFont="1" applyFill="1" applyProtection="1">
      <protection hidden="1"/>
    </xf>
    <xf numFmtId="0" fontId="7" fillId="0" borderId="0" xfId="0" applyFont="1" applyAlignment="1" applyProtection="1">
      <alignment horizontal="left" vertical="top"/>
      <protection hidden="1"/>
    </xf>
    <xf numFmtId="0" fontId="7" fillId="0" borderId="0" xfId="0" applyFont="1" applyBorder="1" applyProtection="1">
      <protection hidden="1"/>
    </xf>
    <xf numFmtId="0" fontId="7" fillId="0" borderId="0" xfId="0" applyFont="1" applyProtection="1">
      <protection hidden="1"/>
    </xf>
    <xf numFmtId="0" fontId="16" fillId="5" borderId="0" xfId="0" applyFont="1" applyFill="1" applyBorder="1" applyAlignment="1" applyProtection="1">
      <protection hidden="1"/>
    </xf>
    <xf numFmtId="0" fontId="3" fillId="5" borderId="0" xfId="0" applyFont="1" applyFill="1" applyAlignment="1" applyProtection="1">
      <protection hidden="1"/>
    </xf>
    <xf numFmtId="0" fontId="3" fillId="5" borderId="0" xfId="0" applyFont="1" applyFill="1" applyProtection="1">
      <protection hidden="1"/>
    </xf>
    <xf numFmtId="0" fontId="16" fillId="5" borderId="0" xfId="0" applyFont="1" applyFill="1" applyProtection="1">
      <protection hidden="1"/>
    </xf>
    <xf numFmtId="0" fontId="16" fillId="5" borderId="0" xfId="33" applyFont="1" applyFill="1" applyBorder="1" applyAlignment="1" applyProtection="1">
      <alignment horizontal="left"/>
      <protection hidden="1"/>
    </xf>
    <xf numFmtId="0" fontId="3" fillId="5" borderId="0" xfId="33" applyFont="1" applyFill="1" applyBorder="1" applyAlignment="1" applyProtection="1">
      <alignment horizontal="left" wrapText="1"/>
      <protection hidden="1"/>
    </xf>
    <xf numFmtId="0" fontId="5" fillId="0" borderId="14" xfId="0" applyFont="1" applyBorder="1" applyAlignment="1" applyProtection="1">
      <alignment horizontal="center"/>
      <protection hidden="1"/>
    </xf>
    <xf numFmtId="0" fontId="7" fillId="5" borderId="6" xfId="0" applyFont="1" applyFill="1" applyBorder="1" applyAlignment="1" applyProtection="1">
      <alignment horizontal="center" vertical="top" wrapText="1"/>
      <protection hidden="1"/>
    </xf>
    <xf numFmtId="0" fontId="7" fillId="0" borderId="0" xfId="0" applyFont="1" applyAlignment="1" applyProtection="1">
      <alignment vertical="top"/>
      <protection hidden="1"/>
    </xf>
    <xf numFmtId="0" fontId="7" fillId="0" borderId="0" xfId="0" applyFont="1" applyAlignment="1" applyProtection="1">
      <alignment horizontal="center" vertical="top"/>
      <protection hidden="1"/>
    </xf>
    <xf numFmtId="0" fontId="7" fillId="0" borderId="0" xfId="0" applyFont="1" applyAlignment="1" applyProtection="1">
      <alignment horizontal="center"/>
      <protection hidden="1"/>
    </xf>
    <xf numFmtId="170" fontId="7" fillId="0" borderId="0" xfId="40" applyNumberFormat="1" applyFont="1" applyAlignment="1" applyProtection="1">
      <alignment horizontal="center" vertical="top"/>
      <protection hidden="1"/>
    </xf>
    <xf numFmtId="178" fontId="7" fillId="0" borderId="0" xfId="0" applyNumberFormat="1" applyFont="1" applyProtection="1">
      <protection hidden="1"/>
    </xf>
    <xf numFmtId="43" fontId="7" fillId="0" borderId="0" xfId="0" applyNumberFormat="1" applyFont="1" applyProtection="1">
      <protection hidden="1"/>
    </xf>
    <xf numFmtId="43" fontId="7" fillId="0" borderId="0" xfId="29" applyFont="1" applyProtection="1">
      <protection hidden="1"/>
    </xf>
    <xf numFmtId="178" fontId="13" fillId="0" borderId="15" xfId="29" applyNumberFormat="1" applyFont="1" applyBorder="1" applyProtection="1">
      <protection hidden="1"/>
    </xf>
    <xf numFmtId="178" fontId="13" fillId="9" borderId="15" xfId="29" applyNumberFormat="1" applyFont="1" applyFill="1" applyBorder="1" applyProtection="1">
      <protection hidden="1"/>
    </xf>
    <xf numFmtId="43" fontId="51" fillId="0" borderId="0" xfId="0" applyNumberFormat="1" applyFont="1" applyFill="1" applyBorder="1" applyAlignment="1" applyProtection="1">
      <alignment horizontal="left" vertical="center"/>
      <protection hidden="1"/>
    </xf>
    <xf numFmtId="0" fontId="7" fillId="8" borderId="0" xfId="0" applyFont="1" applyFill="1" applyAlignment="1" applyProtection="1">
      <alignment horizontal="left" vertical="top"/>
      <protection hidden="1"/>
    </xf>
    <xf numFmtId="0" fontId="7" fillId="8" borderId="0" xfId="0" applyFont="1" applyFill="1" applyBorder="1" applyProtection="1">
      <protection hidden="1"/>
    </xf>
    <xf numFmtId="0" fontId="7" fillId="8" borderId="0" xfId="0" applyFont="1" applyFill="1" applyProtection="1">
      <protection hidden="1"/>
    </xf>
    <xf numFmtId="0" fontId="5" fillId="0" borderId="0" xfId="0" applyFont="1" applyBorder="1" applyAlignment="1" applyProtection="1">
      <alignment horizontal="center"/>
      <protection hidden="1"/>
    </xf>
    <xf numFmtId="0" fontId="7" fillId="0" borderId="16" xfId="0" applyFont="1" applyBorder="1" applyAlignment="1" applyProtection="1">
      <alignment horizontal="center" vertical="top" wrapText="1"/>
      <protection hidden="1"/>
    </xf>
    <xf numFmtId="0" fontId="7" fillId="0" borderId="6" xfId="0" applyFont="1" applyBorder="1" applyAlignment="1" applyProtection="1">
      <alignment horizontal="center" vertical="top" wrapText="1"/>
      <protection hidden="1"/>
    </xf>
    <xf numFmtId="0" fontId="7" fillId="0" borderId="17" xfId="0" applyFont="1" applyBorder="1" applyAlignment="1" applyProtection="1">
      <alignment horizontal="center" vertical="top" wrapText="1"/>
      <protection hidden="1"/>
    </xf>
    <xf numFmtId="0" fontId="7" fillId="0" borderId="8" xfId="0" applyFont="1" applyBorder="1" applyAlignment="1" applyProtection="1">
      <alignment horizontal="left" vertical="top"/>
      <protection hidden="1"/>
    </xf>
    <xf numFmtId="178" fontId="7" fillId="0" borderId="0" xfId="29" applyNumberFormat="1" applyFont="1" applyBorder="1" applyProtection="1">
      <protection hidden="1"/>
    </xf>
    <xf numFmtId="178" fontId="7" fillId="0" borderId="0" xfId="0" applyNumberFormat="1" applyFont="1" applyBorder="1" applyProtection="1">
      <protection hidden="1"/>
    </xf>
    <xf numFmtId="9" fontId="7" fillId="7" borderId="0" xfId="40" applyFont="1" applyFill="1" applyBorder="1" applyAlignment="1" applyProtection="1">
      <alignment horizontal="center"/>
      <protection locked="0" hidden="1"/>
    </xf>
    <xf numFmtId="9" fontId="7" fillId="7" borderId="8" xfId="40" applyFont="1" applyFill="1" applyBorder="1" applyAlignment="1" applyProtection="1">
      <alignment horizontal="center"/>
      <protection locked="0" hidden="1"/>
    </xf>
    <xf numFmtId="0" fontId="7" fillId="7" borderId="0" xfId="0" applyFont="1" applyFill="1" applyBorder="1" applyProtection="1">
      <protection locked="0" hidden="1"/>
    </xf>
    <xf numFmtId="0" fontId="7" fillId="7" borderId="18" xfId="0" applyFont="1" applyFill="1" applyBorder="1" applyProtection="1">
      <protection locked="0" hidden="1"/>
    </xf>
    <xf numFmtId="9" fontId="13" fillId="0" borderId="0" xfId="40" applyFont="1" applyAlignment="1" applyProtection="1">
      <alignment horizontal="center"/>
      <protection hidden="1"/>
    </xf>
    <xf numFmtId="0" fontId="7" fillId="0" borderId="14" xfId="0" applyFont="1" applyBorder="1" applyProtection="1">
      <protection hidden="1"/>
    </xf>
    <xf numFmtId="0" fontId="7" fillId="0" borderId="19" xfId="0" applyFont="1" applyBorder="1" applyProtection="1">
      <protection hidden="1"/>
    </xf>
    <xf numFmtId="178" fontId="7" fillId="0" borderId="0" xfId="40" applyNumberFormat="1" applyFont="1" applyAlignment="1" applyProtection="1">
      <alignment horizontal="center"/>
      <protection hidden="1"/>
    </xf>
    <xf numFmtId="9" fontId="7" fillId="0" borderId="0" xfId="40" applyFont="1" applyAlignment="1" applyProtection="1">
      <alignment horizontal="center"/>
      <protection hidden="1"/>
    </xf>
    <xf numFmtId="4" fontId="13" fillId="5" borderId="6" xfId="0" applyNumberFormat="1" applyFont="1" applyFill="1" applyBorder="1" applyAlignment="1" applyProtection="1">
      <alignment horizontal="center" vertical="top"/>
      <protection hidden="1"/>
    </xf>
    <xf numFmtId="9" fontId="7" fillId="7" borderId="0" xfId="40" applyFont="1" applyFill="1" applyAlignment="1" applyProtection="1">
      <alignment horizontal="center"/>
      <protection locked="0" hidden="1"/>
    </xf>
    <xf numFmtId="0" fontId="13" fillId="8" borderId="0" xfId="0" applyFont="1" applyFill="1" applyAlignment="1" applyProtection="1">
      <protection hidden="1"/>
    </xf>
    <xf numFmtId="0" fontId="10" fillId="0" borderId="0" xfId="0" applyFont="1" applyBorder="1" applyProtection="1">
      <protection hidden="1"/>
    </xf>
    <xf numFmtId="0" fontId="3" fillId="0" borderId="0" xfId="0" applyFont="1" applyFill="1" applyBorder="1" applyProtection="1">
      <protection hidden="1"/>
    </xf>
    <xf numFmtId="0" fontId="16" fillId="0" borderId="0" xfId="0" applyFont="1" applyFill="1" applyBorder="1" applyAlignment="1" applyProtection="1">
      <alignment horizontal="center" vertical="top" wrapText="1"/>
      <protection hidden="1"/>
    </xf>
    <xf numFmtId="0" fontId="7" fillId="0" borderId="6" xfId="0" applyFont="1" applyFill="1" applyBorder="1" applyAlignment="1" applyProtection="1">
      <alignment horizontal="center" vertical="top" wrapText="1"/>
      <protection hidden="1"/>
    </xf>
    <xf numFmtId="0" fontId="7" fillId="0" borderId="0" xfId="0" applyFont="1" applyFill="1" applyBorder="1" applyAlignment="1" applyProtection="1">
      <alignment vertical="top"/>
      <protection hidden="1"/>
    </xf>
    <xf numFmtId="0" fontId="3" fillId="7" borderId="0" xfId="0" applyFont="1" applyFill="1" applyBorder="1" applyProtection="1">
      <protection locked="0" hidden="1"/>
    </xf>
    <xf numFmtId="0" fontId="3" fillId="7" borderId="0" xfId="0" applyFont="1" applyFill="1" applyBorder="1" applyAlignment="1" applyProtection="1">
      <alignment horizontal="center"/>
      <protection locked="0" hidden="1"/>
    </xf>
    <xf numFmtId="0" fontId="0" fillId="7" borderId="0" xfId="0" applyFill="1" applyBorder="1" applyAlignment="1" applyProtection="1">
      <alignment wrapText="1"/>
      <protection locked="0" hidden="1"/>
    </xf>
    <xf numFmtId="168" fontId="1" fillId="0" borderId="0" xfId="40" applyNumberFormat="1" applyFill="1" applyBorder="1" applyProtection="1">
      <protection hidden="1"/>
    </xf>
    <xf numFmtId="168" fontId="0" fillId="0" borderId="0" xfId="0" applyNumberFormat="1" applyFill="1" applyBorder="1" applyProtection="1">
      <protection hidden="1"/>
    </xf>
    <xf numFmtId="167" fontId="0" fillId="0" borderId="0" xfId="0" applyNumberFormat="1" applyFill="1" applyBorder="1" applyAlignment="1" applyProtection="1">
      <alignment horizontal="center"/>
      <protection hidden="1"/>
    </xf>
    <xf numFmtId="170" fontId="0" fillId="0" borderId="0" xfId="40" applyNumberFormat="1" applyFont="1" applyFill="1" applyBorder="1" applyProtection="1">
      <protection hidden="1"/>
    </xf>
    <xf numFmtId="0" fontId="0" fillId="0" borderId="0" xfId="0" applyFill="1" applyBorder="1" applyProtection="1">
      <protection hidden="1"/>
    </xf>
    <xf numFmtId="0" fontId="0" fillId="0" borderId="0" xfId="0" applyBorder="1" applyProtection="1">
      <protection hidden="1"/>
    </xf>
    <xf numFmtId="0" fontId="0" fillId="7" borderId="0" xfId="0" applyFill="1" applyBorder="1" applyProtection="1">
      <protection locked="0" hidden="1"/>
    </xf>
    <xf numFmtId="167" fontId="0" fillId="0" borderId="0" xfId="0" applyNumberFormat="1" applyFill="1" applyBorder="1" applyProtection="1">
      <protection hidden="1"/>
    </xf>
    <xf numFmtId="168" fontId="5" fillId="0" borderId="15" xfId="0" applyNumberFormat="1" applyFont="1" applyFill="1" applyBorder="1" applyProtection="1">
      <protection hidden="1"/>
    </xf>
    <xf numFmtId="168" fontId="5" fillId="0" borderId="0" xfId="0" applyNumberFormat="1" applyFont="1" applyFill="1" applyBorder="1" applyProtection="1">
      <protection hidden="1"/>
    </xf>
    <xf numFmtId="0" fontId="3" fillId="0" borderId="0" xfId="0" applyFont="1" applyBorder="1" applyProtection="1">
      <protection hidden="1"/>
    </xf>
    <xf numFmtId="0" fontId="5" fillId="10" borderId="6" xfId="0" applyFont="1" applyFill="1" applyBorder="1" applyAlignment="1" applyProtection="1">
      <alignment horizontal="center" vertical="top"/>
    </xf>
    <xf numFmtId="4" fontId="5" fillId="10" borderId="6" xfId="0" applyNumberFormat="1" applyFont="1" applyFill="1" applyBorder="1" applyAlignment="1" applyProtection="1">
      <alignment horizontal="center" vertical="top"/>
    </xf>
    <xf numFmtId="4" fontId="13" fillId="10" borderId="6" xfId="0" applyNumberFormat="1" applyFont="1" applyFill="1" applyBorder="1" applyAlignment="1" applyProtection="1">
      <alignment horizontal="center" vertical="top" wrapText="1"/>
    </xf>
    <xf numFmtId="0" fontId="13" fillId="11" borderId="0" xfId="0" applyFont="1" applyFill="1" applyBorder="1" applyAlignment="1" applyProtection="1">
      <alignment horizontal="center" vertical="top" wrapText="1"/>
    </xf>
    <xf numFmtId="0" fontId="5" fillId="11" borderId="0" xfId="0" applyFont="1" applyFill="1" applyBorder="1" applyAlignment="1" applyProtection="1">
      <alignment horizontal="left"/>
    </xf>
    <xf numFmtId="0" fontId="18" fillId="11" borderId="0" xfId="0" applyFont="1" applyFill="1" applyProtection="1"/>
    <xf numFmtId="0" fontId="19" fillId="11" borderId="0" xfId="0" applyFont="1" applyFill="1" applyBorder="1" applyAlignment="1" applyProtection="1">
      <alignment horizontal="left"/>
    </xf>
    <xf numFmtId="0" fontId="5" fillId="11" borderId="20" xfId="0" applyFont="1" applyFill="1" applyBorder="1" applyAlignment="1" applyProtection="1">
      <alignment horizontal="center" vertical="top"/>
    </xf>
    <xf numFmtId="0" fontId="5" fillId="11" borderId="0" xfId="0" applyFont="1" applyFill="1" applyBorder="1" applyAlignment="1" applyProtection="1">
      <alignment horizontal="center" vertical="top"/>
    </xf>
    <xf numFmtId="0" fontId="7" fillId="12" borderId="6" xfId="0" applyFont="1" applyFill="1" applyBorder="1" applyAlignment="1" applyProtection="1">
      <alignment horizontal="center" vertical="top" wrapText="1"/>
    </xf>
    <xf numFmtId="0" fontId="7" fillId="12" borderId="16" xfId="0" applyFont="1" applyFill="1" applyBorder="1" applyAlignment="1" applyProtection="1">
      <alignment horizontal="center" vertical="top" wrapText="1"/>
    </xf>
    <xf numFmtId="0" fontId="40" fillId="10" borderId="6" xfId="0" applyFont="1" applyFill="1" applyBorder="1" applyAlignment="1" applyProtection="1">
      <alignment horizontal="center" vertical="top" wrapText="1"/>
      <protection hidden="1"/>
    </xf>
    <xf numFmtId="0" fontId="0" fillId="0" borderId="0" xfId="0" applyFill="1"/>
    <xf numFmtId="0" fontId="0" fillId="0" borderId="0" xfId="0" applyFill="1" applyAlignment="1" applyProtection="1">
      <protection hidden="1"/>
    </xf>
    <xf numFmtId="0" fontId="55" fillId="0" borderId="0" xfId="0" applyFont="1" applyFill="1" applyBorder="1" applyProtection="1">
      <protection hidden="1"/>
    </xf>
    <xf numFmtId="0" fontId="54" fillId="0" borderId="21" xfId="0" applyFont="1" applyFill="1" applyBorder="1" applyProtection="1">
      <protection hidden="1"/>
    </xf>
    <xf numFmtId="43" fontId="55" fillId="0" borderId="21" xfId="29" applyFont="1" applyFill="1" applyBorder="1" applyProtection="1">
      <protection hidden="1"/>
    </xf>
    <xf numFmtId="0" fontId="7" fillId="0" borderId="2" xfId="0" applyFont="1" applyBorder="1" applyAlignment="1" applyProtection="1">
      <alignment horizontal="left" vertical="top"/>
      <protection hidden="1"/>
    </xf>
    <xf numFmtId="0" fontId="7" fillId="0" borderId="22" xfId="0" applyFont="1" applyBorder="1" applyAlignment="1" applyProtection="1">
      <alignment horizontal="left" vertical="top"/>
      <protection hidden="1"/>
    </xf>
    <xf numFmtId="0" fontId="7" fillId="0" borderId="23" xfId="0" applyFont="1" applyBorder="1" applyAlignment="1" applyProtection="1">
      <alignment horizontal="left" vertical="top"/>
      <protection hidden="1"/>
    </xf>
    <xf numFmtId="0" fontId="13" fillId="5" borderId="0" xfId="0" applyFont="1" applyFill="1" applyAlignment="1" applyProtection="1">
      <alignment horizontal="center" vertical="top"/>
    </xf>
    <xf numFmtId="178" fontId="7" fillId="10" borderId="4" xfId="29" applyNumberFormat="1" applyFont="1" applyFill="1" applyBorder="1" applyAlignment="1" applyProtection="1">
      <alignment vertical="top"/>
    </xf>
    <xf numFmtId="178" fontId="7" fillId="5" borderId="0" xfId="29" applyNumberFormat="1" applyFont="1" applyFill="1" applyAlignment="1" applyProtection="1">
      <alignment horizontal="left" vertical="top" wrapText="1"/>
    </xf>
    <xf numFmtId="0" fontId="18" fillId="5" borderId="0" xfId="0" applyFont="1" applyFill="1" applyBorder="1" applyProtection="1">
      <protection hidden="1"/>
    </xf>
    <xf numFmtId="0" fontId="6" fillId="5" borderId="0" xfId="33" applyNumberFormat="1" applyFont="1" applyFill="1" applyBorder="1" applyAlignment="1" applyProtection="1">
      <alignment vertical="top" wrapText="1"/>
      <protection locked="0" hidden="1"/>
    </xf>
    <xf numFmtId="0" fontId="13" fillId="0" borderId="4" xfId="0" applyFont="1" applyFill="1" applyBorder="1" applyProtection="1">
      <protection hidden="1"/>
    </xf>
    <xf numFmtId="0" fontId="1" fillId="5" borderId="0" xfId="0" applyFont="1" applyFill="1" applyAlignment="1" applyProtection="1">
      <alignment horizontal="right"/>
      <protection hidden="1"/>
    </xf>
    <xf numFmtId="0" fontId="3" fillId="5" borderId="0" xfId="0" applyFont="1" applyFill="1" applyAlignment="1" applyProtection="1">
      <alignment horizontal="right"/>
      <protection hidden="1"/>
    </xf>
    <xf numFmtId="0" fontId="5" fillId="5" borderId="0" xfId="0" applyFont="1" applyFill="1" applyBorder="1" applyAlignment="1" applyProtection="1">
      <alignment horizontal="center"/>
      <protection locked="0" hidden="1"/>
    </xf>
    <xf numFmtId="0" fontId="5" fillId="10" borderId="16" xfId="0" applyFont="1" applyFill="1" applyBorder="1" applyAlignment="1" applyProtection="1">
      <alignment horizontal="center" vertical="top"/>
    </xf>
    <xf numFmtId="0" fontId="5" fillId="5" borderId="0" xfId="0" applyFont="1" applyFill="1" applyAlignment="1" applyProtection="1">
      <alignment horizontal="right" vertical="top" wrapText="1"/>
    </xf>
    <xf numFmtId="0" fontId="5" fillId="5" borderId="0" xfId="0" applyFont="1" applyFill="1" applyAlignment="1" applyProtection="1">
      <alignment horizontal="right" vertical="top"/>
    </xf>
    <xf numFmtId="43" fontId="57" fillId="0" borderId="0" xfId="0" applyNumberFormat="1" applyFont="1" applyBorder="1" applyAlignment="1" applyProtection="1">
      <alignment horizontal="left"/>
      <protection hidden="1"/>
    </xf>
    <xf numFmtId="0" fontId="58" fillId="0" borderId="0" xfId="0" applyFont="1" applyAlignment="1" applyProtection="1">
      <alignment horizontal="left"/>
      <protection hidden="1"/>
    </xf>
    <xf numFmtId="43" fontId="5" fillId="5" borderId="4" xfId="29" applyNumberFormat="1" applyFont="1" applyFill="1" applyBorder="1" applyProtection="1">
      <protection hidden="1"/>
    </xf>
    <xf numFmtId="43" fontId="5" fillId="5" borderId="0" xfId="29" applyNumberFormat="1" applyFont="1" applyFill="1" applyProtection="1">
      <protection hidden="1"/>
    </xf>
    <xf numFmtId="43" fontId="5" fillId="5" borderId="0" xfId="29" applyNumberFormat="1" applyFont="1" applyFill="1" applyBorder="1" applyProtection="1">
      <protection hidden="1"/>
    </xf>
    <xf numFmtId="0" fontId="16" fillId="10" borderId="0" xfId="0" applyFont="1" applyFill="1"/>
    <xf numFmtId="0" fontId="3" fillId="0" borderId="0" xfId="0" applyFont="1" applyProtection="1">
      <protection hidden="1"/>
    </xf>
    <xf numFmtId="4" fontId="5" fillId="10" borderId="6" xfId="0" applyNumberFormat="1" applyFont="1" applyFill="1" applyBorder="1" applyAlignment="1" applyProtection="1">
      <alignment horizontal="center" vertical="top" wrapText="1"/>
    </xf>
    <xf numFmtId="43" fontId="18" fillId="5" borderId="0" xfId="29" applyNumberFormat="1" applyFont="1" applyFill="1" applyAlignment="1" applyProtection="1">
      <alignment vertical="top"/>
    </xf>
    <xf numFmtId="43" fontId="18" fillId="10" borderId="0" xfId="29" applyNumberFormat="1" applyFont="1" applyFill="1" applyAlignment="1" applyProtection="1">
      <alignment vertical="top"/>
    </xf>
    <xf numFmtId="43" fontId="5" fillId="5" borderId="0" xfId="29" applyNumberFormat="1" applyFont="1" applyFill="1" applyAlignment="1" applyProtection="1">
      <alignment vertical="top"/>
    </xf>
    <xf numFmtId="43" fontId="18" fillId="10" borderId="4" xfId="29" applyNumberFormat="1" applyFont="1" applyFill="1" applyBorder="1" applyAlignment="1" applyProtection="1">
      <alignment vertical="top"/>
    </xf>
    <xf numFmtId="43" fontId="18" fillId="11" borderId="4" xfId="29" applyNumberFormat="1" applyFont="1" applyFill="1" applyBorder="1" applyAlignment="1" applyProtection="1">
      <alignment horizontal="left" vertical="top" wrapText="1"/>
    </xf>
    <xf numFmtId="43" fontId="18" fillId="11" borderId="17" xfId="29" applyNumberFormat="1" applyFont="1" applyFill="1" applyBorder="1" applyAlignment="1" applyProtection="1">
      <alignment horizontal="left" vertical="top" wrapText="1"/>
    </xf>
    <xf numFmtId="43" fontId="18" fillId="8" borderId="0" xfId="29" applyNumberFormat="1" applyFont="1" applyFill="1" applyAlignment="1" applyProtection="1">
      <alignment vertical="top"/>
    </xf>
    <xf numFmtId="0" fontId="1" fillId="5" borderId="0" xfId="0" applyFont="1" applyFill="1" applyBorder="1" applyProtection="1">
      <protection hidden="1"/>
    </xf>
    <xf numFmtId="179" fontId="1" fillId="5" borderId="0" xfId="0" applyNumberFormat="1" applyFont="1" applyFill="1" applyBorder="1" applyAlignment="1" applyProtection="1">
      <alignment horizontal="left"/>
      <protection locked="0" hidden="1"/>
    </xf>
    <xf numFmtId="0" fontId="1" fillId="5" borderId="0" xfId="0" applyFont="1" applyFill="1" applyBorder="1" applyAlignment="1" applyProtection="1">
      <protection hidden="1"/>
    </xf>
    <xf numFmtId="2" fontId="5" fillId="5" borderId="0" xfId="0" applyNumberFormat="1" applyFont="1" applyFill="1" applyProtection="1">
      <protection locked="0" hidden="1"/>
    </xf>
    <xf numFmtId="0" fontId="60" fillId="5" borderId="0" xfId="0" applyFont="1" applyFill="1" applyProtection="1">
      <protection hidden="1"/>
    </xf>
    <xf numFmtId="43" fontId="47" fillId="5" borderId="0" xfId="29" applyNumberFormat="1" applyFont="1" applyFill="1" applyBorder="1" applyProtection="1">
      <protection hidden="1"/>
    </xf>
    <xf numFmtId="0" fontId="15" fillId="0" borderId="0" xfId="0" applyFont="1" applyBorder="1" applyProtection="1">
      <protection hidden="1"/>
    </xf>
    <xf numFmtId="0" fontId="18" fillId="0" borderId="0" xfId="0" applyFont="1" applyBorder="1" applyProtection="1">
      <protection hidden="1"/>
    </xf>
    <xf numFmtId="0" fontId="13" fillId="10" borderId="2" xfId="0" applyFont="1" applyFill="1" applyBorder="1" applyAlignment="1" applyProtection="1">
      <alignment horizontal="center" vertical="center" wrapText="1"/>
    </xf>
    <xf numFmtId="9" fontId="5" fillId="0" borderId="0" xfId="40" applyFont="1" applyBorder="1" applyAlignment="1" applyProtection="1">
      <protection hidden="1"/>
    </xf>
    <xf numFmtId="0" fontId="50" fillId="0" borderId="0" xfId="0" applyFont="1" applyAlignment="1" applyProtection="1">
      <alignment horizontal="left" vertical="top"/>
      <protection hidden="1"/>
    </xf>
    <xf numFmtId="0" fontId="6" fillId="5" borderId="24" xfId="0" applyFont="1" applyFill="1" applyBorder="1" applyAlignment="1" applyProtection="1">
      <alignment horizontal="center" vertical="top"/>
    </xf>
    <xf numFmtId="0" fontId="42" fillId="5" borderId="0" xfId="0" applyFont="1" applyFill="1" applyAlignment="1" applyProtection="1">
      <alignment horizontal="center" vertical="top"/>
    </xf>
    <xf numFmtId="0" fontId="7" fillId="13" borderId="6" xfId="0" applyFont="1" applyFill="1" applyBorder="1" applyAlignment="1" applyProtection="1">
      <alignment horizontal="center" vertical="top" wrapText="1"/>
      <protection hidden="1"/>
    </xf>
    <xf numFmtId="0" fontId="59" fillId="0" borderId="0" xfId="0" applyFont="1" applyFill="1" applyAlignment="1" applyProtection="1">
      <alignment vertical="center" wrapText="1"/>
      <protection hidden="1"/>
    </xf>
    <xf numFmtId="0" fontId="62" fillId="5" borderId="0" xfId="33" applyNumberFormat="1" applyFont="1" applyFill="1" applyBorder="1" applyAlignment="1" applyProtection="1">
      <alignment horizontal="left"/>
      <protection locked="0" hidden="1"/>
    </xf>
    <xf numFmtId="170" fontId="6" fillId="10" borderId="6" xfId="40" applyNumberFormat="1" applyFont="1" applyFill="1" applyBorder="1" applyAlignment="1" applyProtection="1">
      <alignment horizontal="right"/>
      <protection locked="0"/>
    </xf>
    <xf numFmtId="170" fontId="6" fillId="10" borderId="4" xfId="40" applyNumberFormat="1" applyFont="1" applyFill="1" applyBorder="1" applyAlignment="1" applyProtection="1">
      <alignment horizontal="right"/>
      <protection locked="0"/>
    </xf>
    <xf numFmtId="0" fontId="46" fillId="0" borderId="0" xfId="0" applyFont="1" applyFill="1" applyBorder="1" applyProtection="1">
      <protection hidden="1"/>
    </xf>
    <xf numFmtId="0" fontId="62" fillId="5" borderId="0" xfId="33" applyNumberFormat="1" applyFont="1" applyFill="1" applyBorder="1" applyAlignment="1" applyProtection="1">
      <protection locked="0" hidden="1"/>
    </xf>
    <xf numFmtId="178" fontId="39" fillId="10" borderId="4" xfId="29" applyNumberFormat="1" applyFont="1" applyFill="1" applyBorder="1" applyAlignment="1" applyProtection="1">
      <alignment vertical="top"/>
    </xf>
    <xf numFmtId="0" fontId="51" fillId="5" borderId="0" xfId="0" applyFont="1" applyFill="1" applyAlignment="1" applyProtection="1">
      <alignment horizontal="center" vertical="top"/>
    </xf>
    <xf numFmtId="0" fontId="42" fillId="3" borderId="24" xfId="0" applyFont="1" applyFill="1" applyBorder="1" applyAlignment="1" applyProtection="1">
      <alignment horizontal="center" vertical="top"/>
    </xf>
    <xf numFmtId="178" fontId="39" fillId="3" borderId="24" xfId="29" applyNumberFormat="1" applyFont="1" applyFill="1" applyBorder="1" applyAlignment="1" applyProtection="1">
      <alignment horizontal="center" vertical="top"/>
    </xf>
    <xf numFmtId="0" fontId="7" fillId="3" borderId="6" xfId="0" applyFont="1" applyFill="1" applyBorder="1" applyAlignment="1" applyProtection="1">
      <alignment horizontal="center" vertical="top" wrapText="1"/>
      <protection hidden="1"/>
    </xf>
    <xf numFmtId="0" fontId="7" fillId="0" borderId="17" xfId="0" applyFont="1" applyFill="1" applyBorder="1" applyAlignment="1" applyProtection="1">
      <alignment horizontal="center" vertical="top" wrapText="1"/>
      <protection hidden="1"/>
    </xf>
    <xf numFmtId="0" fontId="3" fillId="0" borderId="14" xfId="0" applyFont="1" applyFill="1" applyBorder="1" applyAlignment="1" applyProtection="1">
      <alignment horizontal="center"/>
      <protection hidden="1"/>
    </xf>
    <xf numFmtId="0" fontId="47" fillId="0" borderId="0" xfId="0" applyFont="1" applyBorder="1" applyAlignment="1" applyProtection="1">
      <alignment wrapText="1"/>
      <protection hidden="1"/>
    </xf>
    <xf numFmtId="0" fontId="47" fillId="0" borderId="10" xfId="0" applyFont="1" applyBorder="1" applyAlignment="1" applyProtection="1">
      <alignment wrapText="1"/>
      <protection hidden="1"/>
    </xf>
    <xf numFmtId="0" fontId="3" fillId="0" borderId="11" xfId="0" applyFont="1" applyBorder="1" applyProtection="1">
      <protection hidden="1"/>
    </xf>
    <xf numFmtId="0" fontId="0" fillId="0" borderId="13" xfId="0" applyBorder="1" applyProtection="1">
      <protection hidden="1"/>
    </xf>
    <xf numFmtId="0" fontId="18" fillId="0" borderId="25" xfId="0" applyFont="1" applyBorder="1" applyProtection="1">
      <protection hidden="1"/>
    </xf>
    <xf numFmtId="168" fontId="5" fillId="0" borderId="20" xfId="0" applyNumberFormat="1" applyFont="1" applyFill="1" applyBorder="1" applyProtection="1">
      <protection hidden="1"/>
    </xf>
    <xf numFmtId="177" fontId="5" fillId="0" borderId="20" xfId="0" applyNumberFormat="1" applyFont="1" applyBorder="1" applyAlignment="1" applyProtection="1">
      <protection hidden="1"/>
    </xf>
    <xf numFmtId="170" fontId="5" fillId="0" borderId="20" xfId="40" applyNumberFormat="1" applyFont="1" applyBorder="1" applyProtection="1">
      <protection hidden="1"/>
    </xf>
    <xf numFmtId="0" fontId="0" fillId="0" borderId="20" xfId="0" applyBorder="1" applyProtection="1">
      <protection hidden="1"/>
    </xf>
    <xf numFmtId="0" fontId="0" fillId="0" borderId="26" xfId="0" applyBorder="1" applyProtection="1">
      <protection hidden="1"/>
    </xf>
    <xf numFmtId="0" fontId="65" fillId="0" borderId="0" xfId="0" applyFont="1" applyBorder="1" applyProtection="1">
      <protection hidden="1"/>
    </xf>
    <xf numFmtId="0" fontId="19" fillId="0" borderId="0" xfId="0" applyFont="1" applyFill="1" applyBorder="1" applyAlignment="1" applyProtection="1">
      <alignment horizontal="center"/>
      <protection hidden="1"/>
    </xf>
    <xf numFmtId="0" fontId="50" fillId="0" borderId="0" xfId="0" applyFont="1" applyBorder="1" applyProtection="1">
      <protection hidden="1"/>
    </xf>
    <xf numFmtId="0" fontId="5" fillId="0" borderId="0" xfId="0" applyFont="1" applyBorder="1" applyProtection="1">
      <protection hidden="1"/>
    </xf>
    <xf numFmtId="0" fontId="6" fillId="0" borderId="0" xfId="0" applyFont="1" applyBorder="1" applyAlignment="1">
      <alignment horizontal="center"/>
    </xf>
    <xf numFmtId="9" fontId="6" fillId="0" borderId="0" xfId="40" applyFont="1" applyBorder="1" applyAlignment="1">
      <alignment horizontal="center"/>
    </xf>
    <xf numFmtId="0" fontId="7" fillId="0" borderId="0" xfId="0" applyFont="1" applyFill="1" applyBorder="1" applyAlignment="1">
      <alignment horizontal="left" vertical="top"/>
    </xf>
    <xf numFmtId="0" fontId="7" fillId="0" borderId="0" xfId="0" applyFont="1" applyBorder="1" applyAlignment="1">
      <alignment horizontal="left" vertical="top"/>
    </xf>
    <xf numFmtId="0" fontId="3" fillId="0" borderId="0" xfId="0" applyFont="1" applyBorder="1"/>
    <xf numFmtId="9" fontId="7" fillId="0" borderId="0" xfId="40" applyFont="1" applyBorder="1" applyAlignment="1">
      <alignment horizontal="left" vertical="top"/>
    </xf>
    <xf numFmtId="0" fontId="6" fillId="0" borderId="0" xfId="0" applyFont="1" applyFill="1" applyBorder="1" applyAlignment="1">
      <alignment horizontal="center"/>
    </xf>
    <xf numFmtId="9" fontId="6" fillId="0" borderId="0" xfId="0" applyNumberFormat="1" applyFont="1" applyBorder="1" applyAlignment="1">
      <alignment horizontal="center"/>
    </xf>
    <xf numFmtId="9" fontId="7" fillId="3" borderId="0" xfId="40" applyFont="1" applyFill="1" applyBorder="1" applyAlignment="1" applyProtection="1">
      <alignment horizontal="center"/>
      <protection locked="0" hidden="1"/>
    </xf>
    <xf numFmtId="0" fontId="66" fillId="5" borderId="24" xfId="0" applyFont="1" applyFill="1" applyBorder="1" applyAlignment="1" applyProtection="1">
      <alignment horizontal="center" vertical="top" wrapText="1"/>
    </xf>
    <xf numFmtId="0" fontId="67" fillId="5" borderId="0" xfId="0" applyFont="1" applyFill="1" applyAlignment="1" applyProtection="1">
      <alignment horizontal="left" vertical="top" wrapText="1"/>
    </xf>
    <xf numFmtId="0" fontId="66" fillId="5" borderId="0" xfId="0" applyFont="1" applyFill="1" applyAlignment="1" applyProtection="1">
      <alignment horizontal="left" vertical="top" wrapText="1"/>
    </xf>
    <xf numFmtId="0" fontId="67" fillId="11" borderId="4" xfId="0" applyFont="1" applyFill="1" applyBorder="1" applyAlignment="1" applyProtection="1">
      <alignment horizontal="center" vertical="top" wrapText="1"/>
    </xf>
    <xf numFmtId="0" fontId="66" fillId="8" borderId="0" xfId="0" applyFont="1" applyFill="1" applyAlignment="1" applyProtection="1">
      <alignment vertical="top" wrapText="1"/>
    </xf>
    <xf numFmtId="0" fontId="6" fillId="0" borderId="0" xfId="0" applyFont="1" applyAlignment="1">
      <alignment horizontal="left"/>
    </xf>
    <xf numFmtId="0" fontId="12" fillId="5" borderId="8" xfId="0" applyFont="1" applyFill="1" applyBorder="1" applyAlignment="1">
      <alignment horizontal="center"/>
    </xf>
    <xf numFmtId="0" fontId="12" fillId="5" borderId="0" xfId="0" applyFont="1" applyFill="1" applyAlignment="1">
      <alignment horizontal="center"/>
    </xf>
    <xf numFmtId="0" fontId="12" fillId="0" borderId="0" xfId="0" quotePrefix="1" applyFont="1" applyAlignment="1">
      <alignment horizontal="center"/>
    </xf>
    <xf numFmtId="0" fontId="2" fillId="13" borderId="0" xfId="0" applyFont="1" applyFill="1"/>
    <xf numFmtId="0" fontId="6" fillId="0" borderId="0" xfId="0" applyFont="1"/>
    <xf numFmtId="0" fontId="6" fillId="5" borderId="0" xfId="0" applyFont="1" applyFill="1"/>
    <xf numFmtId="0" fontId="12" fillId="5" borderId="0" xfId="0" quotePrefix="1" applyFont="1" applyFill="1" applyAlignment="1">
      <alignment horizontal="center"/>
    </xf>
    <xf numFmtId="0" fontId="2" fillId="0" borderId="0" xfId="0" applyFont="1"/>
    <xf numFmtId="0" fontId="2" fillId="5" borderId="0" xfId="0" applyFont="1" applyFill="1"/>
    <xf numFmtId="0" fontId="12" fillId="0" borderId="0" xfId="0" quotePrefix="1" applyFont="1" applyFill="1" applyAlignment="1">
      <alignment horizontal="center"/>
    </xf>
    <xf numFmtId="0" fontId="12" fillId="12" borderId="8" xfId="0" applyFont="1" applyFill="1" applyBorder="1" applyAlignment="1">
      <alignment horizontal="center"/>
    </xf>
    <xf numFmtId="0" fontId="3" fillId="5" borderId="14" xfId="33" applyFont="1" applyFill="1" applyBorder="1" applyAlignment="1" applyProtection="1">
      <alignment horizontal="left" wrapText="1"/>
      <protection hidden="1"/>
    </xf>
    <xf numFmtId="0" fontId="16" fillId="5" borderId="14" xfId="0" applyFont="1" applyFill="1" applyBorder="1" applyAlignment="1" applyProtection="1">
      <protection hidden="1"/>
    </xf>
    <xf numFmtId="0" fontId="3" fillId="5" borderId="14" xfId="0" applyFont="1" applyFill="1" applyBorder="1" applyProtection="1">
      <protection hidden="1"/>
    </xf>
    <xf numFmtId="0" fontId="0" fillId="0" borderId="0" xfId="0" applyProtection="1">
      <protection hidden="1"/>
    </xf>
    <xf numFmtId="165" fontId="13" fillId="0" borderId="6" xfId="0" applyNumberFormat="1" applyFont="1" applyFill="1" applyBorder="1" applyAlignment="1" applyProtection="1">
      <alignment horizontal="center" vertical="top" wrapText="1"/>
      <protection hidden="1"/>
    </xf>
    <xf numFmtId="0" fontId="7" fillId="0" borderId="0" xfId="0" applyFont="1" applyFill="1" applyBorder="1" applyProtection="1">
      <protection hidden="1"/>
    </xf>
    <xf numFmtId="0" fontId="7" fillId="7" borderId="0" xfId="0" applyFont="1" applyFill="1" applyBorder="1" applyAlignment="1" applyProtection="1">
      <alignment horizontal="center"/>
      <protection locked="0" hidden="1"/>
    </xf>
    <xf numFmtId="178" fontId="7" fillId="7" borderId="0" xfId="29" applyNumberFormat="1" applyFont="1" applyFill="1" applyBorder="1" applyProtection="1">
      <protection locked="0" hidden="1"/>
    </xf>
    <xf numFmtId="178" fontId="7" fillId="0" borderId="0" xfId="29" applyNumberFormat="1" applyFont="1" applyFill="1" applyBorder="1" applyAlignment="1" applyProtection="1">
      <alignment horizontal="right"/>
      <protection hidden="1"/>
    </xf>
    <xf numFmtId="43" fontId="7" fillId="0" borderId="0" xfId="29" applyFont="1" applyFill="1" applyBorder="1" applyProtection="1">
      <protection hidden="1"/>
    </xf>
    <xf numFmtId="0" fontId="13" fillId="0" borderId="0" xfId="0" applyFont="1" applyFill="1" applyBorder="1" applyProtection="1">
      <protection hidden="1"/>
    </xf>
    <xf numFmtId="37" fontId="13" fillId="0" borderId="0" xfId="0" applyNumberFormat="1" applyFont="1" applyFill="1" applyBorder="1" applyAlignment="1" applyProtection="1">
      <alignment horizontal="right"/>
      <protection hidden="1"/>
    </xf>
    <xf numFmtId="178" fontId="13" fillId="0" borderId="0" xfId="29" applyNumberFormat="1" applyFont="1" applyFill="1" applyBorder="1" applyAlignment="1" applyProtection="1">
      <alignment horizontal="right"/>
      <protection hidden="1"/>
    </xf>
    <xf numFmtId="178" fontId="13" fillId="9" borderId="15" xfId="29" applyNumberFormat="1" applyFont="1" applyFill="1" applyBorder="1" applyAlignment="1" applyProtection="1">
      <alignment horizontal="right"/>
      <protection hidden="1"/>
    </xf>
    <xf numFmtId="167" fontId="13" fillId="0" borderId="0" xfId="0" applyNumberFormat="1" applyFont="1" applyFill="1" applyBorder="1" applyAlignment="1" applyProtection="1">
      <alignment horizontal="right"/>
      <protection hidden="1"/>
    </xf>
    <xf numFmtId="165" fontId="7" fillId="0" borderId="0" xfId="0" applyNumberFormat="1" applyFont="1" applyFill="1" applyBorder="1" applyProtection="1">
      <protection hidden="1"/>
    </xf>
    <xf numFmtId="0" fontId="3" fillId="0" borderId="0" xfId="0" applyFont="1" applyAlignment="1" applyProtection="1">
      <alignment horizontal="left"/>
      <protection hidden="1"/>
    </xf>
    <xf numFmtId="9" fontId="61" fillId="0" borderId="0" xfId="40" applyFont="1" applyAlignment="1" applyProtection="1">
      <alignment horizontal="center"/>
      <protection hidden="1"/>
    </xf>
    <xf numFmtId="9" fontId="61" fillId="0" borderId="0" xfId="0" applyNumberFormat="1" applyFont="1" applyProtection="1">
      <protection hidden="1"/>
    </xf>
    <xf numFmtId="170" fontId="7" fillId="7" borderId="0" xfId="40" applyNumberFormat="1" applyFont="1" applyFill="1" applyBorder="1" applyAlignment="1" applyProtection="1">
      <alignment horizontal="center"/>
      <protection locked="0" hidden="1"/>
    </xf>
    <xf numFmtId="178" fontId="3" fillId="0" borderId="0" xfId="29" applyNumberFormat="1" applyFont="1" applyProtection="1">
      <protection hidden="1"/>
    </xf>
    <xf numFmtId="170" fontId="7" fillId="0" borderId="0" xfId="40" applyNumberFormat="1" applyFont="1" applyFill="1" applyBorder="1" applyAlignment="1" applyProtection="1">
      <alignment horizontal="center"/>
      <protection hidden="1"/>
    </xf>
    <xf numFmtId="0" fontId="47" fillId="0" borderId="0" xfId="0" applyFont="1" applyFill="1" applyBorder="1" applyProtection="1">
      <protection hidden="1"/>
    </xf>
    <xf numFmtId="0" fontId="3" fillId="0" borderId="0" xfId="0" applyFont="1" applyAlignment="1" applyProtection="1">
      <alignment horizontal="right"/>
      <protection hidden="1"/>
    </xf>
    <xf numFmtId="178" fontId="3" fillId="2" borderId="0" xfId="29" applyNumberFormat="1" applyFont="1" applyFill="1" applyBorder="1" applyProtection="1">
      <protection hidden="1"/>
    </xf>
    <xf numFmtId="165" fontId="13" fillId="0" borderId="0" xfId="0" applyNumberFormat="1" applyFont="1" applyFill="1" applyBorder="1" applyAlignment="1" applyProtection="1">
      <alignment horizontal="center" vertical="top" wrapText="1"/>
      <protection hidden="1"/>
    </xf>
    <xf numFmtId="0" fontId="3" fillId="7" borderId="0" xfId="0" applyFont="1" applyFill="1" applyAlignment="1" applyProtection="1">
      <alignment horizontal="left"/>
      <protection locked="0" hidden="1"/>
    </xf>
    <xf numFmtId="178" fontId="3" fillId="7" borderId="0" xfId="0" applyNumberFormat="1" applyFont="1" applyFill="1" applyProtection="1">
      <protection locked="0" hidden="1"/>
    </xf>
    <xf numFmtId="170" fontId="3" fillId="0" borderId="0" xfId="40" applyNumberFormat="1" applyFont="1" applyAlignment="1" applyProtection="1">
      <alignment horizontal="center"/>
      <protection hidden="1"/>
    </xf>
    <xf numFmtId="178" fontId="3" fillId="7" borderId="0" xfId="29" applyNumberFormat="1" applyFont="1" applyFill="1" applyProtection="1">
      <protection locked="0" hidden="1"/>
    </xf>
    <xf numFmtId="0" fontId="13" fillId="0" borderId="6" xfId="0" applyFont="1" applyFill="1" applyBorder="1" applyAlignment="1" applyProtection="1">
      <alignment horizontal="center" vertical="top" wrapText="1"/>
      <protection hidden="1"/>
    </xf>
    <xf numFmtId="0" fontId="13" fillId="0" borderId="16" xfId="0" applyFont="1" applyFill="1" applyBorder="1" applyAlignment="1" applyProtection="1">
      <alignment horizontal="center" vertical="top"/>
      <protection hidden="1"/>
    </xf>
    <xf numFmtId="0" fontId="13" fillId="0" borderId="17" xfId="0" applyFont="1" applyFill="1" applyBorder="1" applyAlignment="1" applyProtection="1">
      <alignment horizontal="center" vertical="top"/>
      <protection hidden="1"/>
    </xf>
    <xf numFmtId="0" fontId="13" fillId="0" borderId="6" xfId="0" applyFont="1" applyFill="1" applyBorder="1" applyAlignment="1" applyProtection="1">
      <alignment horizontal="center" vertical="top"/>
      <protection hidden="1"/>
    </xf>
    <xf numFmtId="0" fontId="3" fillId="7" borderId="0" xfId="0" applyFont="1" applyFill="1" applyAlignment="1" applyProtection="1">
      <alignment horizontal="center"/>
      <protection locked="0" hidden="1"/>
    </xf>
    <xf numFmtId="178" fontId="3" fillId="7" borderId="0" xfId="29" applyNumberFormat="1" applyFont="1" applyFill="1" applyBorder="1" applyProtection="1">
      <protection locked="0" hidden="1"/>
    </xf>
    <xf numFmtId="9" fontId="3" fillId="0" borderId="0" xfId="40" applyFont="1" applyProtection="1">
      <protection hidden="1"/>
    </xf>
    <xf numFmtId="0" fontId="7" fillId="0" borderId="2" xfId="0" applyFont="1" applyBorder="1" applyAlignment="1" applyProtection="1">
      <alignment horizontal="center" vertical="top"/>
      <protection hidden="1"/>
    </xf>
    <xf numFmtId="0" fontId="3" fillId="0" borderId="2" xfId="0" applyFont="1" applyBorder="1" applyProtection="1">
      <protection hidden="1"/>
    </xf>
    <xf numFmtId="9" fontId="7" fillId="0" borderId="2" xfId="40" applyFont="1" applyBorder="1" applyAlignment="1" applyProtection="1">
      <alignment horizontal="center" vertical="top"/>
      <protection hidden="1"/>
    </xf>
    <xf numFmtId="0" fontId="7" fillId="0" borderId="22" xfId="0" applyFont="1" applyBorder="1" applyAlignment="1" applyProtection="1">
      <alignment horizontal="center" vertical="top"/>
      <protection hidden="1"/>
    </xf>
    <xf numFmtId="0" fontId="3" fillId="0" borderId="22" xfId="0" applyFont="1" applyBorder="1" applyProtection="1">
      <protection hidden="1"/>
    </xf>
    <xf numFmtId="9" fontId="7" fillId="0" borderId="22" xfId="40" applyFont="1" applyBorder="1" applyAlignment="1" applyProtection="1">
      <alignment horizontal="center" vertical="top"/>
      <protection hidden="1"/>
    </xf>
    <xf numFmtId="0" fontId="7" fillId="0" borderId="23" xfId="0" applyFont="1" applyBorder="1" applyAlignment="1" applyProtection="1">
      <alignment horizontal="center" vertical="top"/>
      <protection hidden="1"/>
    </xf>
    <xf numFmtId="0" fontId="3" fillId="0" borderId="23" xfId="0" applyFont="1" applyBorder="1" applyProtection="1">
      <protection hidden="1"/>
    </xf>
    <xf numFmtId="9" fontId="7" fillId="0" borderId="23" xfId="40" applyFont="1" applyBorder="1" applyAlignment="1" applyProtection="1">
      <alignment horizontal="center" vertical="top"/>
      <protection hidden="1"/>
    </xf>
    <xf numFmtId="9" fontId="13" fillId="7" borderId="0" xfId="40" applyFont="1" applyFill="1" applyBorder="1" applyAlignment="1" applyProtection="1">
      <alignment horizontal="center"/>
      <protection locked="0" hidden="1"/>
    </xf>
    <xf numFmtId="9" fontId="13" fillId="0" borderId="0" xfId="40" applyFont="1" applyBorder="1" applyAlignment="1" applyProtection="1">
      <alignment horizontal="center"/>
      <protection hidden="1"/>
    </xf>
    <xf numFmtId="0" fontId="7" fillId="0" borderId="0" xfId="0" applyFont="1" applyAlignment="1" applyProtection="1">
      <alignment horizontal="left"/>
      <protection hidden="1"/>
    </xf>
    <xf numFmtId="0" fontId="5" fillId="5" borderId="0" xfId="0" applyFont="1" applyFill="1" applyAlignment="1" applyProtection="1">
      <alignment horizontal="right"/>
      <protection hidden="1"/>
    </xf>
    <xf numFmtId="0" fontId="7" fillId="10" borderId="16" xfId="0" applyFont="1" applyFill="1" applyBorder="1" applyAlignment="1" applyProtection="1">
      <alignment horizontal="center" vertical="top" wrapText="1"/>
      <protection hidden="1"/>
    </xf>
    <xf numFmtId="0" fontId="7" fillId="10" borderId="6" xfId="0" applyFont="1" applyFill="1" applyBorder="1" applyAlignment="1" applyProtection="1">
      <alignment horizontal="center" vertical="top" wrapText="1"/>
      <protection hidden="1"/>
    </xf>
    <xf numFmtId="0" fontId="7" fillId="10" borderId="17" xfId="0" applyFont="1" applyFill="1" applyBorder="1" applyAlignment="1" applyProtection="1">
      <alignment horizontal="center" vertical="top" wrapText="1"/>
      <protection hidden="1"/>
    </xf>
    <xf numFmtId="0" fontId="7" fillId="5" borderId="0" xfId="0" applyFont="1" applyFill="1" applyProtection="1">
      <protection hidden="1"/>
    </xf>
    <xf numFmtId="0" fontId="7" fillId="10" borderId="16" xfId="0" applyFont="1" applyFill="1" applyBorder="1" applyAlignment="1" applyProtection="1">
      <alignment horizontal="center" vertical="top"/>
    </xf>
    <xf numFmtId="0" fontId="13" fillId="10" borderId="6" xfId="0" applyFont="1" applyFill="1" applyBorder="1" applyAlignment="1" applyProtection="1">
      <alignment horizontal="center" vertical="top" wrapText="1"/>
      <protection hidden="1"/>
    </xf>
    <xf numFmtId="0" fontId="13" fillId="5" borderId="0" xfId="0" applyFont="1" applyFill="1" applyProtection="1">
      <protection hidden="1"/>
    </xf>
    <xf numFmtId="15" fontId="7" fillId="5" borderId="0" xfId="0" applyNumberFormat="1" applyFont="1" applyFill="1" applyAlignment="1" applyProtection="1">
      <alignment horizontal="left"/>
      <protection hidden="1"/>
    </xf>
    <xf numFmtId="178" fontId="13" fillId="10" borderId="15" xfId="29" applyNumberFormat="1" applyFont="1" applyFill="1" applyBorder="1" applyProtection="1">
      <protection hidden="1"/>
    </xf>
    <xf numFmtId="0" fontId="7" fillId="5" borderId="0" xfId="0" applyFont="1" applyFill="1" applyBorder="1" applyAlignment="1" applyProtection="1">
      <protection hidden="1"/>
    </xf>
    <xf numFmtId="0" fontId="7" fillId="0" borderId="23" xfId="0" applyFont="1" applyBorder="1" applyAlignment="1" applyProtection="1">
      <alignment horizontal="left" vertical="top" wrapText="1"/>
      <protection hidden="1"/>
    </xf>
    <xf numFmtId="170" fontId="7" fillId="0" borderId="0" xfId="29" applyNumberFormat="1" applyFont="1" applyFill="1" applyAlignment="1" applyProtection="1">
      <alignment horizontal="center"/>
      <protection hidden="1"/>
    </xf>
    <xf numFmtId="170" fontId="7" fillId="0" borderId="0" xfId="40" applyNumberFormat="1" applyFont="1" applyBorder="1" applyAlignment="1" applyProtection="1">
      <alignment horizontal="center"/>
      <protection hidden="1"/>
    </xf>
    <xf numFmtId="0" fontId="13" fillId="0" borderId="0" xfId="0" applyFont="1" applyAlignment="1" applyProtection="1">
      <alignment horizontal="left" vertical="top"/>
      <protection hidden="1"/>
    </xf>
    <xf numFmtId="43" fontId="0" fillId="0" borderId="0" xfId="29" applyFont="1" applyFill="1" applyBorder="1" applyProtection="1">
      <protection hidden="1"/>
    </xf>
    <xf numFmtId="0" fontId="3" fillId="0" borderId="0" xfId="0" applyFont="1" applyFill="1" applyProtection="1">
      <protection hidden="1"/>
    </xf>
    <xf numFmtId="0" fontId="70" fillId="8" borderId="0" xfId="0" applyFont="1" applyFill="1" applyAlignment="1" applyProtection="1">
      <alignment vertical="top" wrapText="1"/>
      <protection hidden="1"/>
    </xf>
    <xf numFmtId="0" fontId="71" fillId="8" borderId="0" xfId="0" applyFont="1" applyFill="1" applyAlignment="1">
      <alignment vertical="top"/>
    </xf>
    <xf numFmtId="0" fontId="16" fillId="5" borderId="0" xfId="33" applyNumberFormat="1" applyFont="1" applyFill="1" applyBorder="1" applyAlignment="1" applyProtection="1">
      <alignment horizontal="left"/>
      <protection hidden="1"/>
    </xf>
    <xf numFmtId="0" fontId="3" fillId="5" borderId="0" xfId="33" applyFont="1" applyFill="1" applyBorder="1" applyAlignment="1" applyProtection="1">
      <alignment vertical="center" wrapText="1" shrinkToFit="1"/>
      <protection hidden="1"/>
    </xf>
    <xf numFmtId="0" fontId="3" fillId="5" borderId="0" xfId="33" applyFont="1" applyFill="1" applyBorder="1" applyAlignment="1" applyProtection="1">
      <protection hidden="1"/>
    </xf>
    <xf numFmtId="15" fontId="3" fillId="5" borderId="0" xfId="33" applyNumberFormat="1" applyFont="1" applyFill="1" applyBorder="1" applyAlignment="1" applyProtection="1">
      <alignment horizontal="left"/>
      <protection hidden="1"/>
    </xf>
    <xf numFmtId="0" fontId="3" fillId="5" borderId="0" xfId="33" applyFont="1" applyFill="1" applyAlignment="1" applyProtection="1">
      <alignment horizontal="left"/>
      <protection hidden="1"/>
    </xf>
    <xf numFmtId="0" fontId="3" fillId="5" borderId="0" xfId="33" applyNumberFormat="1" applyFont="1" applyFill="1" applyBorder="1" applyAlignment="1" applyProtection="1">
      <alignment horizontal="left"/>
      <protection hidden="1"/>
    </xf>
    <xf numFmtId="0" fontId="3" fillId="5" borderId="0" xfId="33" applyNumberFormat="1" applyFont="1" applyFill="1" applyBorder="1" applyAlignment="1" applyProtection="1">
      <alignment vertical="top"/>
      <protection hidden="1"/>
    </xf>
    <xf numFmtId="49" fontId="3" fillId="5" borderId="0" xfId="0" applyNumberFormat="1" applyFont="1" applyFill="1" applyProtection="1">
      <protection hidden="1"/>
    </xf>
    <xf numFmtId="0" fontId="3" fillId="5" borderId="0" xfId="33" applyFont="1" applyFill="1" applyBorder="1" applyAlignment="1" applyProtection="1">
      <alignment horizontal="left"/>
      <protection hidden="1"/>
    </xf>
    <xf numFmtId="0" fontId="3" fillId="5" borderId="0" xfId="33" applyFont="1" applyFill="1" applyAlignment="1" applyProtection="1">
      <protection hidden="1"/>
    </xf>
    <xf numFmtId="0" fontId="3" fillId="5" borderId="0" xfId="0" applyFont="1" applyFill="1" applyAlignment="1" applyProtection="1">
      <alignment horizontal="left"/>
      <protection hidden="1"/>
    </xf>
    <xf numFmtId="0" fontId="3" fillId="5" borderId="0" xfId="33" applyNumberFormat="1" applyFont="1" applyFill="1" applyBorder="1" applyAlignment="1" applyProtection="1">
      <alignment vertical="top" wrapText="1"/>
      <protection hidden="1"/>
    </xf>
    <xf numFmtId="0" fontId="16" fillId="5" borderId="0" xfId="33" applyNumberFormat="1" applyFont="1" applyFill="1" applyBorder="1" applyAlignment="1" applyProtection="1">
      <alignment horizontal="left" vertical="top" wrapText="1"/>
      <protection hidden="1"/>
    </xf>
    <xf numFmtId="2" fontId="3" fillId="5" borderId="0" xfId="0" applyNumberFormat="1" applyFont="1" applyFill="1" applyAlignment="1" applyProtection="1">
      <alignment horizontal="left"/>
      <protection hidden="1"/>
    </xf>
    <xf numFmtId="15" fontId="3" fillId="5" borderId="14" xfId="33" applyNumberFormat="1" applyFont="1" applyFill="1" applyBorder="1" applyAlignment="1" applyProtection="1">
      <alignment horizontal="center"/>
      <protection locked="0" hidden="1"/>
    </xf>
    <xf numFmtId="0" fontId="3" fillId="0" borderId="14" xfId="0" applyFont="1" applyFill="1" applyBorder="1" applyAlignment="1" applyProtection="1">
      <protection hidden="1"/>
    </xf>
    <xf numFmtId="0" fontId="18" fillId="0" borderId="0" xfId="0" applyFont="1" applyFill="1" applyProtection="1">
      <protection hidden="1"/>
    </xf>
    <xf numFmtId="0" fontId="5" fillId="0" borderId="0" xfId="0" applyFont="1" applyFill="1" applyBorder="1" applyAlignment="1" applyProtection="1">
      <alignment horizontal="left"/>
      <protection hidden="1"/>
    </xf>
    <xf numFmtId="0" fontId="47" fillId="0" borderId="0" xfId="0" applyFont="1" applyBorder="1" applyAlignment="1" applyProtection="1">
      <alignment horizontal="left"/>
      <protection hidden="1"/>
    </xf>
    <xf numFmtId="0" fontId="13" fillId="0" borderId="4" xfId="0" applyFont="1" applyFill="1" applyBorder="1" applyAlignment="1" applyProtection="1">
      <alignment horizontal="left" vertical="top"/>
      <protection hidden="1"/>
    </xf>
    <xf numFmtId="178" fontId="45" fillId="0" borderId="0" xfId="0" applyNumberFormat="1" applyFont="1" applyFill="1" applyBorder="1" applyProtection="1">
      <protection hidden="1"/>
    </xf>
    <xf numFmtId="0" fontId="13" fillId="0" borderId="14" xfId="0" applyFont="1" applyFill="1" applyBorder="1" applyAlignment="1" applyProtection="1">
      <alignment horizontal="left" vertical="top"/>
      <protection hidden="1"/>
    </xf>
    <xf numFmtId="170" fontId="0" fillId="0" borderId="0" xfId="40" applyNumberFormat="1" applyFont="1" applyFill="1" applyBorder="1" applyAlignment="1" applyProtection="1">
      <alignment horizontal="left"/>
      <protection hidden="1"/>
    </xf>
    <xf numFmtId="170" fontId="6" fillId="0" borderId="4" xfId="40" applyNumberFormat="1" applyFont="1" applyFill="1" applyBorder="1" applyAlignment="1" applyProtection="1">
      <alignment horizontal="right"/>
      <protection hidden="1"/>
    </xf>
    <xf numFmtId="43" fontId="45" fillId="0" borderId="21" xfId="29" applyFont="1" applyFill="1" applyBorder="1" applyProtection="1">
      <protection hidden="1"/>
    </xf>
    <xf numFmtId="170" fontId="45" fillId="0" borderId="0" xfId="40" applyNumberFormat="1" applyFont="1" applyFill="1" applyBorder="1" applyProtection="1">
      <protection hidden="1"/>
    </xf>
    <xf numFmtId="170" fontId="0" fillId="0" borderId="27" xfId="40" applyNumberFormat="1" applyFont="1" applyFill="1" applyBorder="1" applyAlignment="1" applyProtection="1">
      <alignment horizontal="right"/>
      <protection hidden="1"/>
    </xf>
    <xf numFmtId="170" fontId="45" fillId="0" borderId="28" xfId="40" applyNumberFormat="1" applyFont="1" applyFill="1" applyBorder="1" applyAlignment="1" applyProtection="1">
      <alignment horizontal="right"/>
      <protection hidden="1"/>
    </xf>
    <xf numFmtId="170" fontId="46" fillId="0" borderId="28" xfId="40" applyNumberFormat="1" applyFont="1" applyFill="1" applyBorder="1" applyAlignment="1" applyProtection="1">
      <alignment horizontal="right"/>
      <protection hidden="1"/>
    </xf>
    <xf numFmtId="0" fontId="6" fillId="12" borderId="6" xfId="0" applyFont="1" applyFill="1" applyBorder="1" applyAlignment="1">
      <alignment horizontal="center" vertical="justify"/>
    </xf>
    <xf numFmtId="0" fontId="43" fillId="12" borderId="0" xfId="0" applyFont="1" applyFill="1" applyAlignment="1">
      <alignment horizontal="center"/>
    </xf>
    <xf numFmtId="0" fontId="71" fillId="0" borderId="0" xfId="0" applyFont="1" applyAlignment="1">
      <alignment horizontal="left" vertical="top"/>
    </xf>
    <xf numFmtId="178" fontId="7" fillId="5" borderId="0" xfId="0" applyNumberFormat="1" applyFont="1" applyFill="1" applyBorder="1" applyProtection="1">
      <protection hidden="1"/>
    </xf>
    <xf numFmtId="0" fontId="13" fillId="0" borderId="0" xfId="0" applyFont="1" applyFill="1" applyBorder="1" applyAlignment="1" applyProtection="1">
      <protection hidden="1"/>
    </xf>
    <xf numFmtId="0" fontId="13" fillId="0" borderId="0" xfId="0" applyFont="1" applyFill="1" applyBorder="1" applyAlignment="1" applyProtection="1">
      <alignment horizontal="center" wrapText="1"/>
      <protection hidden="1"/>
    </xf>
    <xf numFmtId="0" fontId="0" fillId="0" borderId="0" xfId="0" applyFill="1" applyAlignment="1" applyProtection="1">
      <alignment horizontal="center"/>
      <protection hidden="1"/>
    </xf>
    <xf numFmtId="9" fontId="0" fillId="0" borderId="0" xfId="0" applyNumberFormat="1" applyFill="1" applyAlignment="1" applyProtection="1">
      <alignment horizontal="center"/>
      <protection hidden="1"/>
    </xf>
    <xf numFmtId="167" fontId="5" fillId="0" borderId="0" xfId="0" applyNumberFormat="1" applyFont="1" applyFill="1" applyBorder="1" applyProtection="1">
      <protection hidden="1"/>
    </xf>
    <xf numFmtId="0" fontId="72" fillId="0" borderId="9" xfId="0" applyFont="1" applyBorder="1" applyProtection="1">
      <protection hidden="1"/>
    </xf>
    <xf numFmtId="0" fontId="6" fillId="0" borderId="21" xfId="0" applyFont="1" applyFill="1" applyBorder="1" applyProtection="1">
      <protection hidden="1"/>
    </xf>
    <xf numFmtId="0" fontId="6" fillId="0" borderId="0" xfId="0" applyFont="1" applyBorder="1" applyProtection="1">
      <protection hidden="1"/>
    </xf>
    <xf numFmtId="0" fontId="59" fillId="0" borderId="0" xfId="0" applyFont="1" applyFill="1" applyAlignment="1" applyProtection="1">
      <alignment vertical="top" wrapText="1"/>
      <protection hidden="1"/>
    </xf>
    <xf numFmtId="0" fontId="5" fillId="3" borderId="0" xfId="0" applyFont="1" applyFill="1" applyBorder="1" applyAlignment="1" applyProtection="1">
      <alignment wrapText="1"/>
      <protection locked="0" hidden="1"/>
    </xf>
    <xf numFmtId="0" fontId="7" fillId="0" borderId="16" xfId="0" applyFont="1" applyFill="1" applyBorder="1" applyAlignment="1" applyProtection="1">
      <alignment horizontal="center" vertical="top"/>
      <protection hidden="1"/>
    </xf>
    <xf numFmtId="0" fontId="1" fillId="0" borderId="0" xfId="0" applyFont="1" applyFill="1" applyProtection="1">
      <protection hidden="1"/>
    </xf>
    <xf numFmtId="43" fontId="1" fillId="0" borderId="0" xfId="29" applyFont="1" applyFill="1" applyProtection="1">
      <protection hidden="1"/>
    </xf>
    <xf numFmtId="0" fontId="16" fillId="0" borderId="0" xfId="0" applyFont="1" applyFill="1" applyProtection="1">
      <protection hidden="1"/>
    </xf>
    <xf numFmtId="10" fontId="3" fillId="0" borderId="24" xfId="40" applyNumberFormat="1" applyFont="1" applyFill="1" applyBorder="1" applyProtection="1">
      <protection hidden="1"/>
    </xf>
    <xf numFmtId="9" fontId="7" fillId="0" borderId="0" xfId="40" applyFont="1" applyProtection="1">
      <protection hidden="1"/>
    </xf>
    <xf numFmtId="0" fontId="6" fillId="0" borderId="29" xfId="0" applyFont="1" applyBorder="1" applyAlignment="1">
      <alignment horizontal="center"/>
    </xf>
    <xf numFmtId="10" fontId="6" fillId="0" borderId="8" xfId="0" applyNumberFormat="1" applyFont="1" applyBorder="1" applyAlignment="1">
      <alignment horizontal="center"/>
    </xf>
    <xf numFmtId="10" fontId="6" fillId="0" borderId="0" xfId="0" applyNumberFormat="1" applyFont="1" applyBorder="1" applyAlignment="1">
      <alignment horizontal="center"/>
    </xf>
    <xf numFmtId="9" fontId="6" fillId="0" borderId="18" xfId="0" applyNumberFormat="1" applyFont="1" applyBorder="1" applyAlignment="1">
      <alignment horizontal="center"/>
    </xf>
    <xf numFmtId="10" fontId="6" fillId="0" borderId="30" xfId="0" applyNumberFormat="1" applyFont="1" applyBorder="1" applyAlignment="1">
      <alignment horizontal="center"/>
    </xf>
    <xf numFmtId="10" fontId="6" fillId="0" borderId="14" xfId="0" applyNumberFormat="1" applyFont="1" applyBorder="1" applyAlignment="1">
      <alignment horizontal="center"/>
    </xf>
    <xf numFmtId="9" fontId="6" fillId="0" borderId="19" xfId="0" applyNumberFormat="1" applyFont="1" applyBorder="1" applyAlignment="1">
      <alignment horizontal="center"/>
    </xf>
    <xf numFmtId="9" fontId="4" fillId="5" borderId="0" xfId="40" applyFont="1" applyFill="1" applyBorder="1" applyAlignment="1" applyProtection="1">
      <alignment horizontal="center" vertical="top" wrapText="1"/>
      <protection hidden="1"/>
    </xf>
    <xf numFmtId="0" fontId="13" fillId="5" borderId="0" xfId="0" applyFont="1" applyFill="1" applyBorder="1" applyAlignment="1" applyProtection="1">
      <alignment horizontal="left"/>
      <protection hidden="1"/>
    </xf>
    <xf numFmtId="0" fontId="6" fillId="0" borderId="0" xfId="0" applyFont="1" applyBorder="1" applyAlignment="1">
      <alignment horizontal="left"/>
    </xf>
    <xf numFmtId="9" fontId="61" fillId="0" borderId="24" xfId="40" applyFont="1" applyFill="1" applyBorder="1" applyProtection="1">
      <protection hidden="1"/>
    </xf>
    <xf numFmtId="0" fontId="13" fillId="7" borderId="31" xfId="0" applyFont="1" applyFill="1" applyBorder="1" applyAlignment="1" applyProtection="1">
      <protection hidden="1"/>
    </xf>
    <xf numFmtId="0" fontId="13" fillId="7" borderId="32" xfId="0" applyFont="1" applyFill="1" applyBorder="1" applyAlignment="1" applyProtection="1">
      <protection hidden="1"/>
    </xf>
    <xf numFmtId="0" fontId="13" fillId="7" borderId="33" xfId="0" applyFont="1" applyFill="1" applyBorder="1" applyAlignment="1" applyProtection="1">
      <protection hidden="1"/>
    </xf>
    <xf numFmtId="0" fontId="13" fillId="5" borderId="0" xfId="0" applyFont="1" applyFill="1" applyBorder="1" applyAlignment="1" applyProtection="1">
      <protection hidden="1"/>
    </xf>
    <xf numFmtId="0" fontId="7" fillId="5" borderId="0" xfId="0" applyFont="1" applyFill="1" applyAlignment="1" applyProtection="1">
      <alignment horizontal="left" vertical="top"/>
      <protection hidden="1"/>
    </xf>
    <xf numFmtId="178" fontId="7" fillId="5" borderId="0" xfId="29" applyNumberFormat="1" applyFont="1" applyFill="1" applyProtection="1">
      <protection hidden="1"/>
    </xf>
    <xf numFmtId="0" fontId="7" fillId="5" borderId="0" xfId="0" applyFont="1" applyFill="1" applyBorder="1" applyAlignment="1">
      <alignment horizontal="left" vertical="top"/>
    </xf>
    <xf numFmtId="0" fontId="7" fillId="5" borderId="2" xfId="0" applyFont="1" applyFill="1" applyBorder="1" applyAlignment="1" applyProtection="1">
      <alignment horizontal="left" vertical="top"/>
      <protection hidden="1"/>
    </xf>
    <xf numFmtId="0" fontId="7" fillId="5" borderId="22" xfId="0" applyFont="1" applyFill="1" applyBorder="1" applyAlignment="1" applyProtection="1">
      <alignment horizontal="left" vertical="top"/>
      <protection hidden="1"/>
    </xf>
    <xf numFmtId="0" fontId="7" fillId="7" borderId="17" xfId="0" applyFont="1" applyFill="1" applyBorder="1" applyAlignment="1" applyProtection="1">
      <alignment horizontal="center" vertical="top" wrapText="1"/>
      <protection hidden="1"/>
    </xf>
    <xf numFmtId="15" fontId="3" fillId="5" borderId="0" xfId="33" applyNumberFormat="1" applyFont="1" applyFill="1" applyBorder="1" applyAlignment="1" applyProtection="1">
      <alignment horizontal="center"/>
      <protection locked="0" hidden="1"/>
    </xf>
    <xf numFmtId="43" fontId="0" fillId="7" borderId="0" xfId="29" applyFont="1" applyFill="1" applyBorder="1" applyProtection="1">
      <protection locked="0" hidden="1"/>
    </xf>
    <xf numFmtId="43" fontId="1" fillId="7" borderId="0" xfId="29" applyFill="1" applyBorder="1" applyProtection="1">
      <protection locked="0" hidden="1"/>
    </xf>
    <xf numFmtId="43" fontId="5" fillId="9" borderId="15" xfId="29" applyFont="1" applyFill="1" applyBorder="1" applyProtection="1">
      <protection hidden="1"/>
    </xf>
    <xf numFmtId="43" fontId="5" fillId="0" borderId="15" xfId="29" applyFont="1" applyFill="1" applyBorder="1" applyProtection="1">
      <protection hidden="1"/>
    </xf>
    <xf numFmtId="43" fontId="5" fillId="0" borderId="0" xfId="29" applyFont="1" applyFill="1" applyBorder="1" applyProtection="1">
      <protection hidden="1"/>
    </xf>
    <xf numFmtId="0" fontId="50" fillId="7" borderId="0" xfId="0" applyFont="1" applyFill="1" applyAlignment="1" applyProtection="1">
      <alignment horizontal="center" vertical="center"/>
      <protection hidden="1"/>
    </xf>
    <xf numFmtId="0" fontId="13" fillId="0" borderId="0" xfId="0" applyFont="1" applyFill="1" applyProtection="1">
      <protection hidden="1"/>
    </xf>
    <xf numFmtId="43" fontId="18" fillId="10" borderId="0" xfId="29" applyNumberFormat="1" applyFont="1" applyFill="1" applyAlignment="1" applyProtection="1"/>
    <xf numFmtId="0" fontId="66" fillId="0" borderId="0" xfId="0" applyFont="1" applyProtection="1">
      <protection hidden="1"/>
    </xf>
    <xf numFmtId="0" fontId="67" fillId="5" borderId="0" xfId="0" applyFont="1" applyFill="1" applyBorder="1" applyAlignment="1" applyProtection="1">
      <alignment vertical="top"/>
      <protection hidden="1"/>
    </xf>
    <xf numFmtId="0" fontId="1" fillId="0" borderId="0" xfId="0" applyFont="1" applyFill="1" applyAlignment="1" applyProtection="1">
      <alignment horizontal="center"/>
      <protection hidden="1"/>
    </xf>
    <xf numFmtId="0" fontId="47" fillId="0" borderId="0" xfId="33" applyNumberFormat="1" applyFont="1" applyFill="1" applyBorder="1" applyAlignment="1" applyProtection="1">
      <alignment horizontal="center" vertical="top"/>
      <protection hidden="1"/>
    </xf>
    <xf numFmtId="9" fontId="47" fillId="5" borderId="14" xfId="0" applyNumberFormat="1" applyFont="1" applyFill="1" applyBorder="1" applyAlignment="1" applyProtection="1">
      <protection hidden="1"/>
    </xf>
    <xf numFmtId="0" fontId="48" fillId="5" borderId="0" xfId="0" applyFont="1" applyFill="1" applyAlignment="1" applyProtection="1">
      <alignment horizontal="center"/>
      <protection hidden="1"/>
    </xf>
    <xf numFmtId="9" fontId="5" fillId="5" borderId="0" xfId="40" applyNumberFormat="1" applyFont="1" applyFill="1" applyAlignment="1" applyProtection="1">
      <alignment horizontal="left"/>
      <protection hidden="1"/>
    </xf>
    <xf numFmtId="0" fontId="5" fillId="5" borderId="0" xfId="0" applyFont="1" applyFill="1" applyAlignment="1" applyProtection="1">
      <alignment horizontal="center"/>
    </xf>
    <xf numFmtId="178" fontId="7" fillId="5" borderId="0" xfId="29" applyNumberFormat="1" applyFont="1" applyFill="1" applyBorder="1" applyProtection="1">
      <protection hidden="1"/>
    </xf>
    <xf numFmtId="0" fontId="7" fillId="5" borderId="0" xfId="0" applyFont="1" applyFill="1" applyAlignment="1" applyProtection="1">
      <alignment horizontal="center"/>
      <protection hidden="1"/>
    </xf>
    <xf numFmtId="0" fontId="6" fillId="8" borderId="0" xfId="0" applyFont="1" applyFill="1" applyBorder="1" applyAlignment="1">
      <alignment horizontal="center"/>
    </xf>
    <xf numFmtId="9" fontId="6" fillId="8" borderId="0" xfId="40" applyFont="1" applyFill="1" applyBorder="1" applyAlignment="1">
      <alignment horizontal="center"/>
    </xf>
    <xf numFmtId="0" fontId="4" fillId="5" borderId="0" xfId="0" applyFont="1" applyFill="1" applyProtection="1">
      <protection hidden="1"/>
    </xf>
    <xf numFmtId="0" fontId="10" fillId="0" borderId="34" xfId="0" applyFont="1" applyBorder="1" applyProtection="1">
      <protection hidden="1"/>
    </xf>
    <xf numFmtId="0" fontId="0" fillId="0" borderId="35" xfId="0" applyBorder="1" applyProtection="1">
      <protection hidden="1"/>
    </xf>
    <xf numFmtId="43" fontId="3" fillId="0" borderId="35" xfId="29" applyFont="1" applyBorder="1" applyAlignment="1" applyProtection="1">
      <alignment wrapText="1"/>
      <protection hidden="1"/>
    </xf>
    <xf numFmtId="0" fontId="0" fillId="0" borderId="29" xfId="0" applyBorder="1" applyProtection="1">
      <protection hidden="1"/>
    </xf>
    <xf numFmtId="0" fontId="5" fillId="0" borderId="8" xfId="0" applyFont="1" applyBorder="1" applyProtection="1">
      <protection hidden="1"/>
    </xf>
    <xf numFmtId="43" fontId="3" fillId="0" borderId="0" xfId="29" applyFont="1" applyBorder="1" applyAlignment="1" applyProtection="1">
      <alignment wrapText="1"/>
      <protection hidden="1"/>
    </xf>
    <xf numFmtId="0" fontId="0" fillId="0" borderId="18" xfId="0" applyBorder="1" applyProtection="1">
      <protection hidden="1"/>
    </xf>
    <xf numFmtId="0" fontId="0" fillId="0" borderId="8" xfId="0" applyBorder="1" applyProtection="1">
      <protection hidden="1"/>
    </xf>
    <xf numFmtId="0" fontId="0" fillId="0" borderId="8" xfId="0" applyFill="1" applyBorder="1" applyProtection="1">
      <protection hidden="1"/>
    </xf>
    <xf numFmtId="0" fontId="0" fillId="0" borderId="14" xfId="0" applyBorder="1" applyProtection="1">
      <protection hidden="1"/>
    </xf>
    <xf numFmtId="0" fontId="5" fillId="0" borderId="6" xfId="0" applyFont="1" applyBorder="1" applyAlignment="1" applyProtection="1">
      <alignment horizontal="center"/>
      <protection hidden="1"/>
    </xf>
    <xf numFmtId="43" fontId="5" fillId="0" borderId="6" xfId="29" applyFont="1" applyBorder="1" applyAlignment="1" applyProtection="1">
      <alignment horizontal="center" wrapText="1"/>
      <protection hidden="1"/>
    </xf>
    <xf numFmtId="0" fontId="0" fillId="0" borderId="8" xfId="0" applyBorder="1" applyAlignment="1" applyProtection="1">
      <alignment horizontal="center"/>
      <protection hidden="1"/>
    </xf>
    <xf numFmtId="0" fontId="6" fillId="0" borderId="0" xfId="0" applyFont="1" applyBorder="1" applyAlignment="1" applyProtection="1">
      <alignment horizontal="left"/>
      <protection hidden="1"/>
    </xf>
    <xf numFmtId="43" fontId="3" fillId="5" borderId="0" xfId="29" applyFont="1" applyFill="1" applyBorder="1" applyAlignment="1" applyProtection="1">
      <alignment vertical="top" wrapText="1"/>
      <protection hidden="1"/>
    </xf>
    <xf numFmtId="10" fontId="3" fillId="0" borderId="0" xfId="40" applyNumberFormat="1" applyFont="1" applyBorder="1" applyAlignment="1" applyProtection="1">
      <alignment horizontal="center"/>
      <protection hidden="1"/>
    </xf>
    <xf numFmtId="43" fontId="3" fillId="0" borderId="18" xfId="29" applyFont="1" applyBorder="1" applyAlignment="1" applyProtection="1">
      <alignment horizontal="left"/>
      <protection hidden="1"/>
    </xf>
    <xf numFmtId="43" fontId="3" fillId="5" borderId="0" xfId="29" applyFont="1" applyFill="1" applyBorder="1" applyAlignment="1" applyProtection="1">
      <alignment wrapText="1"/>
      <protection hidden="1"/>
    </xf>
    <xf numFmtId="43" fontId="3" fillId="5" borderId="0" xfId="29" applyFont="1" applyFill="1" applyBorder="1" applyAlignment="1" applyProtection="1">
      <alignment horizontal="left"/>
      <protection hidden="1"/>
    </xf>
    <xf numFmtId="0" fontId="0" fillId="0" borderId="8" xfId="0" applyFill="1" applyBorder="1" applyAlignment="1" applyProtection="1">
      <alignment horizontal="center"/>
      <protection hidden="1"/>
    </xf>
    <xf numFmtId="0" fontId="6" fillId="5" borderId="0" xfId="0" applyFont="1" applyFill="1" applyBorder="1" applyAlignment="1" applyProtection="1">
      <alignment horizontal="left"/>
      <protection hidden="1"/>
    </xf>
    <xf numFmtId="0" fontId="6" fillId="0" borderId="0" xfId="0" applyFont="1" applyFill="1" applyBorder="1" applyAlignment="1" applyProtection="1">
      <alignment horizontal="left"/>
      <protection hidden="1"/>
    </xf>
    <xf numFmtId="43" fontId="3" fillId="0" borderId="0" xfId="29" applyFont="1" applyFill="1" applyBorder="1" applyAlignment="1" applyProtection="1">
      <alignment wrapText="1"/>
      <protection hidden="1"/>
    </xf>
    <xf numFmtId="43" fontId="3" fillId="0" borderId="0" xfId="29" applyFont="1" applyFill="1" applyBorder="1" applyAlignment="1" applyProtection="1">
      <alignment horizontal="left"/>
      <protection hidden="1"/>
    </xf>
    <xf numFmtId="43" fontId="3" fillId="0" borderId="18" xfId="29" applyFont="1" applyFill="1" applyBorder="1" applyAlignment="1" applyProtection="1">
      <alignment horizontal="left"/>
      <protection hidden="1"/>
    </xf>
    <xf numFmtId="0" fontId="0" fillId="14" borderId="8" xfId="0" applyFill="1" applyBorder="1" applyAlignment="1" applyProtection="1">
      <alignment horizontal="center"/>
      <protection hidden="1"/>
    </xf>
    <xf numFmtId="0" fontId="6" fillId="14" borderId="0" xfId="0" applyFont="1" applyFill="1" applyBorder="1" applyAlignment="1" applyProtection="1">
      <alignment horizontal="left"/>
      <protection hidden="1"/>
    </xf>
    <xf numFmtId="43" fontId="3" fillId="14" borderId="0" xfId="29" applyFont="1" applyFill="1" applyBorder="1" applyAlignment="1" applyProtection="1">
      <alignment wrapText="1"/>
      <protection hidden="1"/>
    </xf>
    <xf numFmtId="43" fontId="3" fillId="14" borderId="0" xfId="29" applyFont="1" applyFill="1" applyBorder="1" applyAlignment="1" applyProtection="1">
      <alignment horizontal="left"/>
      <protection hidden="1"/>
    </xf>
    <xf numFmtId="43" fontId="3" fillId="14" borderId="18" xfId="29" applyFont="1" applyFill="1" applyBorder="1" applyAlignment="1" applyProtection="1">
      <alignment horizontal="left"/>
      <protection hidden="1"/>
    </xf>
    <xf numFmtId="43" fontId="3" fillId="0" borderId="0" xfId="29" applyFont="1" applyBorder="1" applyAlignment="1" applyProtection="1">
      <alignment horizontal="left"/>
      <protection hidden="1"/>
    </xf>
    <xf numFmtId="0" fontId="5" fillId="0" borderId="0" xfId="0" applyFont="1" applyBorder="1" applyAlignment="1" applyProtection="1">
      <alignment horizontal="right"/>
      <protection hidden="1"/>
    </xf>
    <xf numFmtId="43" fontId="3" fillId="0" borderId="4" xfId="29" applyFont="1" applyBorder="1" applyAlignment="1" applyProtection="1">
      <alignment wrapText="1"/>
      <protection hidden="1"/>
    </xf>
    <xf numFmtId="10" fontId="3" fillId="0" borderId="4" xfId="40" applyNumberFormat="1" applyFont="1" applyBorder="1" applyAlignment="1" applyProtection="1">
      <alignment horizontal="center"/>
      <protection hidden="1"/>
    </xf>
    <xf numFmtId="43" fontId="3" fillId="0" borderId="17" xfId="0" applyNumberFormat="1" applyFont="1" applyBorder="1" applyProtection="1">
      <protection hidden="1"/>
    </xf>
    <xf numFmtId="43" fontId="3" fillId="0" borderId="0" xfId="29" applyFont="1" applyBorder="1" applyProtection="1">
      <protection hidden="1"/>
    </xf>
    <xf numFmtId="43" fontId="3" fillId="0" borderId="18" xfId="0" applyNumberFormat="1" applyFont="1" applyBorder="1" applyProtection="1">
      <protection hidden="1"/>
    </xf>
    <xf numFmtId="43" fontId="13" fillId="0" borderId="0" xfId="29" applyFont="1" applyBorder="1" applyAlignment="1" applyProtection="1">
      <alignment wrapText="1"/>
      <protection hidden="1"/>
    </xf>
    <xf numFmtId="43" fontId="13" fillId="0" borderId="18" xfId="29" applyFont="1" applyBorder="1" applyAlignment="1" applyProtection="1">
      <alignment wrapText="1"/>
      <protection hidden="1"/>
    </xf>
    <xf numFmtId="43" fontId="3" fillId="0" borderId="4" xfId="29" applyFont="1" applyBorder="1" applyProtection="1">
      <protection hidden="1"/>
    </xf>
    <xf numFmtId="0" fontId="0" fillId="0" borderId="30" xfId="0" applyBorder="1" applyProtection="1">
      <protection hidden="1"/>
    </xf>
    <xf numFmtId="43" fontId="3" fillId="0" borderId="14" xfId="29" applyFont="1" applyBorder="1" applyAlignment="1" applyProtection="1">
      <alignment wrapText="1"/>
      <protection hidden="1"/>
    </xf>
    <xf numFmtId="0" fontId="0" fillId="0" borderId="19" xfId="0" applyBorder="1" applyProtection="1">
      <protection hidden="1"/>
    </xf>
    <xf numFmtId="43" fontId="6" fillId="5" borderId="0" xfId="29" applyNumberFormat="1" applyFont="1" applyFill="1" applyProtection="1">
      <protection hidden="1"/>
    </xf>
    <xf numFmtId="0" fontId="6" fillId="5" borderId="0" xfId="0" applyFont="1" applyFill="1" applyAlignment="1" applyProtection="1">
      <alignment horizontal="center"/>
      <protection hidden="1"/>
    </xf>
    <xf numFmtId="43" fontId="5" fillId="5" borderId="15" xfId="29" applyNumberFormat="1" applyFont="1" applyFill="1" applyBorder="1" applyProtection="1">
      <protection hidden="1"/>
    </xf>
    <xf numFmtId="170" fontId="17" fillId="0" borderId="0" xfId="40" applyNumberFormat="1" applyFont="1" applyFill="1" applyAlignment="1" applyProtection="1">
      <alignment horizontal="right"/>
      <protection hidden="1"/>
    </xf>
    <xf numFmtId="43" fontId="13" fillId="0" borderId="0" xfId="29" applyFont="1" applyFill="1" applyAlignment="1" applyProtection="1">
      <alignment horizontal="left"/>
      <protection hidden="1"/>
    </xf>
    <xf numFmtId="0" fontId="5" fillId="3" borderId="8" xfId="0" applyFont="1" applyFill="1" applyBorder="1" applyAlignment="1" applyProtection="1">
      <protection hidden="1"/>
    </xf>
    <xf numFmtId="0" fontId="5" fillId="3" borderId="0" xfId="0" applyFont="1" applyFill="1" applyBorder="1" applyAlignment="1" applyProtection="1">
      <protection hidden="1"/>
    </xf>
    <xf numFmtId="0" fontId="5" fillId="3" borderId="16" xfId="0" applyFont="1" applyFill="1" applyBorder="1" applyAlignment="1" applyProtection="1">
      <protection hidden="1"/>
    </xf>
    <xf numFmtId="0" fontId="5" fillId="3" borderId="4" xfId="0" applyFont="1" applyFill="1" applyBorder="1" applyAlignment="1" applyProtection="1">
      <protection hidden="1"/>
    </xf>
    <xf numFmtId="0" fontId="5" fillId="3" borderId="17" xfId="0" applyFont="1" applyFill="1" applyBorder="1" applyAlignment="1" applyProtection="1">
      <protection hidden="1"/>
    </xf>
    <xf numFmtId="0" fontId="80" fillId="0" borderId="0" xfId="0" applyFont="1" applyBorder="1" applyAlignment="1" applyProtection="1">
      <alignment vertical="top" wrapText="1"/>
      <protection hidden="1"/>
    </xf>
    <xf numFmtId="0" fontId="7" fillId="5" borderId="0" xfId="0" applyFont="1" applyFill="1" applyBorder="1" applyAlignment="1" applyProtection="1">
      <alignment horizontal="left" vertical="top" wrapText="1"/>
      <protection hidden="1"/>
    </xf>
    <xf numFmtId="9" fontId="13" fillId="5" borderId="6" xfId="40" applyFont="1" applyFill="1" applyBorder="1" applyAlignment="1" applyProtection="1">
      <alignment horizontal="center"/>
      <protection locked="0" hidden="1"/>
    </xf>
    <xf numFmtId="43" fontId="13" fillId="5" borderId="6" xfId="29" applyFont="1" applyFill="1" applyBorder="1" applyAlignment="1" applyProtection="1">
      <alignment horizontal="center"/>
      <protection locked="0" hidden="1"/>
    </xf>
    <xf numFmtId="0" fontId="13" fillId="0" borderId="0" xfId="0" applyFont="1" applyAlignment="1" applyProtection="1">
      <alignment horizontal="left"/>
      <protection hidden="1"/>
    </xf>
    <xf numFmtId="0" fontId="50" fillId="0" borderId="0" xfId="0" applyFont="1" applyProtection="1">
      <protection hidden="1"/>
    </xf>
    <xf numFmtId="0" fontId="79" fillId="5" borderId="0" xfId="0" applyNumberFormat="1" applyFont="1" applyFill="1" applyBorder="1" applyAlignment="1" applyProtection="1">
      <alignment horizontal="center" vertical="top" wrapText="1"/>
      <protection hidden="1"/>
    </xf>
    <xf numFmtId="49" fontId="7" fillId="5" borderId="6" xfId="40" applyNumberFormat="1" applyFont="1" applyFill="1" applyBorder="1" applyAlignment="1" applyProtection="1">
      <alignment horizontal="center"/>
      <protection locked="0" hidden="1"/>
    </xf>
    <xf numFmtId="15" fontId="79" fillId="5" borderId="0" xfId="0" applyNumberFormat="1" applyFont="1" applyFill="1" applyBorder="1" applyAlignment="1" applyProtection="1">
      <alignment horizontal="center" vertical="top" wrapText="1"/>
      <protection hidden="1"/>
    </xf>
    <xf numFmtId="14" fontId="79" fillId="5" borderId="0" xfId="0" applyNumberFormat="1" applyFont="1" applyFill="1" applyBorder="1" applyAlignment="1" applyProtection="1">
      <alignment horizontal="right"/>
      <protection hidden="1"/>
    </xf>
    <xf numFmtId="49" fontId="13" fillId="5" borderId="6" xfId="40" applyNumberFormat="1" applyFont="1" applyFill="1" applyBorder="1" applyAlignment="1" applyProtection="1">
      <alignment horizontal="center"/>
      <protection locked="0" hidden="1"/>
    </xf>
    <xf numFmtId="9" fontId="79" fillId="0" borderId="0" xfId="40" applyFont="1" applyProtection="1">
      <protection hidden="1"/>
    </xf>
    <xf numFmtId="10" fontId="3" fillId="0" borderId="0" xfId="0" applyNumberFormat="1" applyFont="1" applyFill="1" applyBorder="1" applyAlignment="1" applyProtection="1">
      <alignment horizontal="center"/>
      <protection hidden="1"/>
    </xf>
    <xf numFmtId="10" fontId="3" fillId="14" borderId="0" xfId="0" applyNumberFormat="1" applyFont="1" applyFill="1" applyBorder="1" applyAlignment="1" applyProtection="1">
      <alignment horizontal="center"/>
      <protection hidden="1"/>
    </xf>
    <xf numFmtId="10" fontId="3" fillId="5" borderId="0" xfId="40" applyNumberFormat="1" applyFont="1" applyFill="1" applyBorder="1" applyAlignment="1" applyProtection="1">
      <alignment horizontal="center"/>
      <protection hidden="1"/>
    </xf>
    <xf numFmtId="9" fontId="6" fillId="0" borderId="0" xfId="40" applyFont="1" applyFill="1" applyBorder="1" applyAlignment="1">
      <alignment horizontal="center"/>
    </xf>
    <xf numFmtId="0" fontId="5" fillId="13" borderId="0" xfId="0" applyFont="1" applyFill="1" applyBorder="1" applyAlignment="1">
      <alignment horizontal="left"/>
    </xf>
    <xf numFmtId="0" fontId="6" fillId="13" borderId="0" xfId="0" applyFont="1" applyFill="1" applyBorder="1" applyAlignment="1">
      <alignment horizontal="center"/>
    </xf>
    <xf numFmtId="9" fontId="6" fillId="13" borderId="0" xfId="40" applyFont="1" applyFill="1" applyBorder="1" applyAlignment="1">
      <alignment horizontal="center"/>
    </xf>
    <xf numFmtId="0" fontId="3" fillId="13" borderId="0" xfId="0" applyFont="1" applyFill="1"/>
    <xf numFmtId="0" fontId="70" fillId="13" borderId="0" xfId="0" applyFont="1" applyFill="1"/>
    <xf numFmtId="0" fontId="34" fillId="13" borderId="0" xfId="0" applyFont="1" applyFill="1" applyBorder="1" applyAlignment="1">
      <alignment horizontal="center"/>
    </xf>
    <xf numFmtId="9" fontId="34" fillId="13" borderId="0" xfId="40" applyFont="1" applyFill="1" applyBorder="1" applyAlignment="1">
      <alignment horizontal="center"/>
    </xf>
    <xf numFmtId="0" fontId="5" fillId="2" borderId="0" xfId="0" applyFont="1" applyFill="1" applyBorder="1" applyAlignment="1">
      <alignment horizontal="left"/>
    </xf>
    <xf numFmtId="0" fontId="6" fillId="2" borderId="0" xfId="0" applyFont="1" applyFill="1" applyBorder="1" applyAlignment="1">
      <alignment horizontal="center"/>
    </xf>
    <xf numFmtId="9" fontId="6" fillId="2" borderId="0" xfId="40" applyFont="1" applyFill="1" applyBorder="1" applyAlignment="1">
      <alignment horizontal="center"/>
    </xf>
    <xf numFmtId="0" fontId="3" fillId="2" borderId="0" xfId="0" applyFont="1" applyFill="1"/>
    <xf numFmtId="0" fontId="0" fillId="2" borderId="0" xfId="0" applyFill="1"/>
    <xf numFmtId="0" fontId="5" fillId="5" borderId="0" xfId="33" applyNumberFormat="1" applyFont="1" applyFill="1" applyBorder="1" applyAlignment="1" applyProtection="1">
      <alignment horizontal="left"/>
      <protection hidden="1"/>
    </xf>
    <xf numFmtId="0" fontId="56" fillId="5" borderId="0" xfId="26" applyFont="1" applyFill="1" applyAlignment="1" applyProtection="1">
      <alignment horizontal="left"/>
      <protection hidden="1"/>
    </xf>
    <xf numFmtId="9" fontId="5" fillId="5" borderId="0" xfId="40" applyFont="1" applyFill="1" applyAlignment="1" applyProtection="1">
      <alignment horizontal="center"/>
      <protection hidden="1"/>
    </xf>
    <xf numFmtId="0" fontId="3" fillId="0" borderId="0" xfId="0" applyFont="1" applyFill="1" applyBorder="1" applyAlignment="1" applyProtection="1">
      <protection locked="0" hidden="1"/>
    </xf>
    <xf numFmtId="0" fontId="13" fillId="7" borderId="0" xfId="0" applyFont="1" applyFill="1" applyBorder="1" applyAlignment="1" applyProtection="1">
      <protection locked="0" hidden="1"/>
    </xf>
    <xf numFmtId="0" fontId="3" fillId="0" borderId="14" xfId="0" applyFont="1" applyFill="1" applyBorder="1" applyAlignment="1" applyProtection="1">
      <alignment horizontal="left"/>
      <protection hidden="1"/>
    </xf>
    <xf numFmtId="10" fontId="3" fillId="0" borderId="26" xfId="40" applyNumberFormat="1" applyFont="1" applyFill="1" applyBorder="1" applyProtection="1">
      <protection hidden="1"/>
    </xf>
    <xf numFmtId="43" fontId="3" fillId="0" borderId="0" xfId="29" applyFont="1" applyFill="1" applyProtection="1">
      <protection hidden="1"/>
    </xf>
    <xf numFmtId="0" fontId="3" fillId="0" borderId="0" xfId="0" applyFont="1" applyFill="1" applyAlignment="1" applyProtection="1">
      <alignment vertical="top"/>
      <protection hidden="1"/>
    </xf>
    <xf numFmtId="166" fontId="3" fillId="0" borderId="0" xfId="29" applyNumberFormat="1" applyFont="1" applyFill="1" applyAlignment="1" applyProtection="1">
      <alignment vertical="top"/>
      <protection hidden="1"/>
    </xf>
    <xf numFmtId="170" fontId="3" fillId="0" borderId="0" xfId="40" applyNumberFormat="1" applyFont="1" applyFill="1" applyAlignment="1" applyProtection="1">
      <alignment horizontal="right" vertical="top"/>
      <protection hidden="1"/>
    </xf>
    <xf numFmtId="9" fontId="3" fillId="0" borderId="0" xfId="0" applyNumberFormat="1" applyFont="1" applyFill="1" applyAlignment="1" applyProtection="1">
      <alignment horizontal="center"/>
      <protection hidden="1"/>
    </xf>
    <xf numFmtId="43" fontId="3" fillId="0" borderId="0" xfId="29" applyFont="1" applyFill="1" applyAlignment="1" applyProtection="1">
      <alignment vertical="top"/>
      <protection hidden="1"/>
    </xf>
    <xf numFmtId="0" fontId="70" fillId="0" borderId="0" xfId="0" applyFont="1" applyFill="1" applyAlignment="1" applyProtection="1">
      <alignment vertical="center" wrapText="1"/>
      <protection hidden="1"/>
    </xf>
    <xf numFmtId="0" fontId="70" fillId="0" borderId="0" xfId="0" applyFont="1" applyFill="1" applyAlignment="1" applyProtection="1">
      <alignment vertical="top" wrapText="1"/>
      <protection hidden="1"/>
    </xf>
    <xf numFmtId="178" fontId="7" fillId="0" borderId="0" xfId="29" applyNumberFormat="1" applyFont="1" applyFill="1" applyBorder="1" applyProtection="1">
      <protection hidden="1"/>
    </xf>
    <xf numFmtId="178" fontId="7" fillId="0" borderId="0" xfId="0" applyNumberFormat="1" applyFont="1" applyFill="1" applyBorder="1" applyProtection="1">
      <protection hidden="1"/>
    </xf>
    <xf numFmtId="9" fontId="13" fillId="0" borderId="0" xfId="40" applyFont="1" applyFill="1" applyBorder="1" applyAlignment="1" applyProtection="1">
      <alignment horizontal="center"/>
      <protection hidden="1"/>
    </xf>
    <xf numFmtId="0" fontId="7" fillId="0" borderId="0" xfId="0" applyFont="1" applyBorder="1" applyAlignment="1" applyProtection="1">
      <alignment horizontal="center"/>
      <protection hidden="1"/>
    </xf>
    <xf numFmtId="0" fontId="7" fillId="0" borderId="0" xfId="0" applyFont="1" applyBorder="1" applyAlignment="1" applyProtection="1">
      <alignment horizontal="center" vertical="top"/>
      <protection hidden="1"/>
    </xf>
    <xf numFmtId="0" fontId="7" fillId="0" borderId="14" xfId="0" applyFont="1" applyBorder="1" applyAlignment="1" applyProtection="1">
      <alignment horizontal="left" vertical="top"/>
      <protection hidden="1"/>
    </xf>
    <xf numFmtId="178" fontId="13" fillId="0" borderId="4" xfId="29" applyNumberFormat="1" applyFont="1" applyBorder="1" applyProtection="1">
      <protection hidden="1"/>
    </xf>
    <xf numFmtId="9" fontId="13" fillId="0" borderId="14" xfId="40" applyFont="1" applyBorder="1" applyAlignment="1" applyProtection="1">
      <alignment horizontal="center"/>
      <protection hidden="1"/>
    </xf>
    <xf numFmtId="9" fontId="69" fillId="0" borderId="14" xfId="40" applyFont="1" applyBorder="1" applyAlignment="1" applyProtection="1">
      <alignment horizontal="center"/>
      <protection hidden="1"/>
    </xf>
    <xf numFmtId="178" fontId="13" fillId="0" borderId="14" xfId="29" applyNumberFormat="1" applyFont="1" applyBorder="1" applyProtection="1">
      <protection hidden="1"/>
    </xf>
    <xf numFmtId="0" fontId="47" fillId="7" borderId="36" xfId="0" applyFont="1" applyFill="1" applyBorder="1" applyAlignment="1" applyProtection="1">
      <alignment horizontal="center" vertical="center"/>
      <protection locked="0" hidden="1"/>
    </xf>
    <xf numFmtId="0" fontId="50" fillId="0" borderId="8" xfId="0" applyFont="1" applyBorder="1" applyAlignment="1" applyProtection="1">
      <alignment horizontal="center" vertical="top"/>
      <protection hidden="1"/>
    </xf>
    <xf numFmtId="178" fontId="7" fillId="0" borderId="18" xfId="0" applyNumberFormat="1" applyFont="1" applyBorder="1" applyProtection="1">
      <protection hidden="1"/>
    </xf>
    <xf numFmtId="0" fontId="7" fillId="0" borderId="8" xfId="0" applyFont="1" applyFill="1" applyBorder="1" applyAlignment="1">
      <alignment horizontal="left" vertical="top"/>
    </xf>
    <xf numFmtId="0" fontId="7" fillId="0" borderId="30" xfId="0" applyFont="1" applyBorder="1" applyAlignment="1" applyProtection="1">
      <alignment horizontal="left" vertical="top"/>
      <protection hidden="1"/>
    </xf>
    <xf numFmtId="178" fontId="13" fillId="9" borderId="19" xfId="29" applyNumberFormat="1" applyFont="1" applyFill="1" applyBorder="1" applyProtection="1">
      <protection hidden="1"/>
    </xf>
    <xf numFmtId="10" fontId="7" fillId="0" borderId="30" xfId="40" applyNumberFormat="1" applyFont="1" applyBorder="1" applyAlignment="1" applyProtection="1">
      <alignment horizontal="left"/>
      <protection hidden="1"/>
    </xf>
    <xf numFmtId="15" fontId="3" fillId="7" borderId="0" xfId="33" applyNumberFormat="1" applyFont="1" applyFill="1" applyBorder="1" applyAlignment="1" applyProtection="1">
      <alignment horizontal="center"/>
      <protection locked="0" hidden="1"/>
    </xf>
    <xf numFmtId="0" fontId="7" fillId="7" borderId="0" xfId="0" applyFont="1" applyFill="1" applyProtection="1">
      <protection hidden="1"/>
    </xf>
    <xf numFmtId="0" fontId="7" fillId="0" borderId="34" xfId="0" applyFont="1" applyBorder="1" applyAlignment="1" applyProtection="1">
      <alignment horizontal="left" vertical="top"/>
      <protection hidden="1"/>
    </xf>
    <xf numFmtId="0" fontId="7" fillId="0" borderId="35" xfId="0" applyFont="1" applyBorder="1" applyProtection="1">
      <protection hidden="1"/>
    </xf>
    <xf numFmtId="0" fontId="7" fillId="0" borderId="29" xfId="0" applyFont="1" applyBorder="1" applyProtection="1">
      <protection hidden="1"/>
    </xf>
    <xf numFmtId="9" fontId="13" fillId="0" borderId="14" xfId="40" applyFont="1" applyFill="1" applyBorder="1" applyAlignment="1" applyProtection="1">
      <alignment horizontal="center"/>
      <protection hidden="1"/>
    </xf>
    <xf numFmtId="9" fontId="13" fillId="7" borderId="14" xfId="40" applyFont="1" applyFill="1" applyBorder="1" applyAlignment="1" applyProtection="1">
      <alignment horizontal="center"/>
      <protection locked="0" hidden="1"/>
    </xf>
    <xf numFmtId="9" fontId="7" fillId="7" borderId="14" xfId="40" applyFont="1" applyFill="1" applyBorder="1" applyAlignment="1" applyProtection="1">
      <alignment horizontal="center"/>
      <protection locked="0" hidden="1"/>
    </xf>
    <xf numFmtId="178" fontId="7" fillId="0" borderId="14" xfId="0" applyNumberFormat="1" applyFont="1" applyBorder="1" applyProtection="1">
      <protection hidden="1"/>
    </xf>
    <xf numFmtId="9" fontId="7" fillId="3" borderId="14" xfId="40" applyFont="1" applyFill="1" applyBorder="1" applyAlignment="1" applyProtection="1">
      <alignment horizontal="center"/>
      <protection locked="0" hidden="1"/>
    </xf>
    <xf numFmtId="178" fontId="7" fillId="0" borderId="14" xfId="29" applyNumberFormat="1" applyFont="1" applyBorder="1" applyProtection="1">
      <protection hidden="1"/>
    </xf>
    <xf numFmtId="178" fontId="7" fillId="0" borderId="19" xfId="0" applyNumberFormat="1" applyFont="1" applyBorder="1" applyProtection="1">
      <protection hidden="1"/>
    </xf>
    <xf numFmtId="0" fontId="13" fillId="5" borderId="0" xfId="0" applyFont="1" applyFill="1" applyAlignment="1" applyProtection="1">
      <alignment horizontal="left" indent="3"/>
      <protection hidden="1"/>
    </xf>
    <xf numFmtId="9" fontId="13" fillId="5" borderId="0" xfId="40" applyNumberFormat="1" applyFont="1" applyFill="1" applyAlignment="1" applyProtection="1">
      <alignment horizontal="left"/>
      <protection hidden="1"/>
    </xf>
    <xf numFmtId="0" fontId="13" fillId="7" borderId="16" xfId="0" applyFont="1" applyFill="1" applyBorder="1" applyAlignment="1" applyProtection="1">
      <protection hidden="1"/>
    </xf>
    <xf numFmtId="0" fontId="5" fillId="10" borderId="4" xfId="0" applyFont="1" applyFill="1" applyBorder="1" applyProtection="1">
      <protection hidden="1"/>
    </xf>
    <xf numFmtId="166" fontId="5" fillId="10" borderId="4" xfId="29" applyNumberFormat="1" applyFont="1" applyFill="1" applyBorder="1" applyProtection="1">
      <protection hidden="1"/>
    </xf>
    <xf numFmtId="170" fontId="5" fillId="10" borderId="4" xfId="40" applyNumberFormat="1" applyFont="1" applyFill="1" applyBorder="1" applyAlignment="1" applyProtection="1">
      <alignment horizontal="right"/>
      <protection hidden="1"/>
    </xf>
    <xf numFmtId="0" fontId="6" fillId="0" borderId="8" xfId="0" applyFont="1" applyBorder="1" applyProtection="1">
      <protection hidden="1"/>
    </xf>
    <xf numFmtId="0" fontId="0" fillId="0" borderId="0" xfId="0" applyBorder="1" applyAlignment="1" applyProtection="1">
      <alignment horizontal="left"/>
      <protection hidden="1"/>
    </xf>
    <xf numFmtId="0" fontId="0" fillId="0" borderId="8" xfId="0" applyBorder="1" applyAlignment="1" applyProtection="1">
      <protection hidden="1"/>
    </xf>
    <xf numFmtId="0" fontId="0" fillId="0" borderId="0" xfId="0" applyBorder="1" applyAlignment="1" applyProtection="1">
      <protection hidden="1"/>
    </xf>
    <xf numFmtId="0" fontId="0" fillId="0" borderId="18" xfId="0" applyBorder="1" applyAlignment="1" applyProtection="1">
      <protection hidden="1"/>
    </xf>
    <xf numFmtId="43" fontId="7" fillId="0" borderId="0" xfId="29" applyFont="1" applyBorder="1" applyAlignment="1" applyProtection="1">
      <alignment wrapText="1"/>
      <protection hidden="1"/>
    </xf>
    <xf numFmtId="43" fontId="1" fillId="0" borderId="0" xfId="29" applyFont="1" applyBorder="1" applyAlignment="1" applyProtection="1">
      <protection hidden="1"/>
    </xf>
    <xf numFmtId="43" fontId="6" fillId="0" borderId="0" xfId="29" applyFont="1" applyBorder="1" applyAlignment="1" applyProtection="1">
      <protection hidden="1"/>
    </xf>
    <xf numFmtId="15" fontId="0" fillId="0" borderId="0" xfId="0" applyNumberFormat="1" applyBorder="1" applyAlignment="1" applyProtection="1">
      <alignment horizontal="left"/>
      <protection hidden="1"/>
    </xf>
    <xf numFmtId="181" fontId="3" fillId="0" borderId="0" xfId="29" applyNumberFormat="1" applyFont="1" applyBorder="1" applyAlignment="1" applyProtection="1">
      <alignment horizontal="center"/>
      <protection hidden="1"/>
    </xf>
    <xf numFmtId="43" fontId="13" fillId="0" borderId="0" xfId="29" applyFont="1" applyBorder="1" applyAlignment="1" applyProtection="1">
      <alignment horizontal="left"/>
      <protection hidden="1"/>
    </xf>
    <xf numFmtId="10" fontId="13" fillId="0" borderId="0" xfId="40" applyNumberFormat="1" applyFont="1" applyBorder="1" applyAlignment="1" applyProtection="1">
      <alignment horizontal="center"/>
      <protection hidden="1"/>
    </xf>
    <xf numFmtId="43" fontId="13" fillId="0" borderId="0" xfId="29" applyFont="1" applyBorder="1" applyAlignment="1" applyProtection="1">
      <alignment horizontal="left" wrapText="1"/>
      <protection hidden="1"/>
    </xf>
    <xf numFmtId="10" fontId="13" fillId="0" borderId="0" xfId="40" applyNumberFormat="1" applyFont="1" applyBorder="1" applyAlignment="1" applyProtection="1">
      <alignment horizontal="left"/>
      <protection hidden="1"/>
    </xf>
    <xf numFmtId="180" fontId="3" fillId="0" borderId="18" xfId="0" applyNumberFormat="1" applyFont="1" applyBorder="1" applyProtection="1">
      <protection hidden="1"/>
    </xf>
    <xf numFmtId="43" fontId="13" fillId="0" borderId="4" xfId="29" applyFont="1" applyBorder="1" applyAlignment="1" applyProtection="1">
      <alignment horizontal="left"/>
      <protection hidden="1"/>
    </xf>
    <xf numFmtId="43" fontId="13" fillId="0" borderId="4" xfId="29" applyFont="1" applyBorder="1" applyAlignment="1" applyProtection="1">
      <alignment horizontal="left" wrapText="1"/>
      <protection hidden="1"/>
    </xf>
    <xf numFmtId="44" fontId="13" fillId="0" borderId="17" xfId="30" applyFont="1" applyBorder="1" applyProtection="1">
      <protection hidden="1"/>
    </xf>
    <xf numFmtId="43" fontId="3" fillId="5" borderId="0" xfId="29" applyFont="1" applyFill="1" applyBorder="1" applyProtection="1">
      <protection hidden="1"/>
    </xf>
    <xf numFmtId="0" fontId="0" fillId="5" borderId="0" xfId="0" applyFill="1" applyBorder="1" applyProtection="1">
      <protection hidden="1"/>
    </xf>
    <xf numFmtId="0" fontId="0" fillId="5" borderId="18" xfId="0" applyFill="1" applyBorder="1" applyProtection="1">
      <protection hidden="1"/>
    </xf>
    <xf numFmtId="0" fontId="13" fillId="0" borderId="0" xfId="0" applyFont="1" applyBorder="1" applyAlignment="1" applyProtection="1">
      <alignment horizontal="right"/>
      <protection hidden="1"/>
    </xf>
    <xf numFmtId="0" fontId="0" fillId="0" borderId="0" xfId="0" applyAlignment="1">
      <alignment horizontal="center"/>
    </xf>
    <xf numFmtId="0" fontId="5" fillId="0" borderId="0" xfId="0" applyFont="1" applyAlignment="1">
      <alignment horizontal="center"/>
    </xf>
    <xf numFmtId="0" fontId="80" fillId="0" borderId="0" xfId="0" applyFont="1" applyFill="1" applyBorder="1" applyAlignment="1" applyProtection="1">
      <alignment horizontal="left" vertical="top"/>
      <protection hidden="1"/>
    </xf>
    <xf numFmtId="0" fontId="6" fillId="0" borderId="0" xfId="0" applyFont="1" applyFill="1" applyBorder="1" applyAlignment="1" applyProtection="1">
      <alignment horizontal="left" vertical="top"/>
      <protection hidden="1"/>
    </xf>
    <xf numFmtId="182" fontId="1" fillId="0" borderId="0" xfId="0" applyNumberFormat="1" applyFont="1" applyAlignment="1">
      <alignment horizontal="center"/>
    </xf>
    <xf numFmtId="0" fontId="6" fillId="7" borderId="0" xfId="40" applyNumberFormat="1" applyFont="1" applyFill="1" applyAlignment="1" applyProtection="1">
      <alignment horizontal="left"/>
      <protection locked="0" hidden="1"/>
    </xf>
    <xf numFmtId="0" fontId="6" fillId="0" borderId="0" xfId="0" applyFont="1" applyAlignment="1"/>
    <xf numFmtId="0" fontId="6" fillId="5" borderId="0" xfId="0" applyFont="1" applyFill="1" applyAlignment="1"/>
    <xf numFmtId="0" fontId="6" fillId="5" borderId="0" xfId="0" applyFont="1" applyFill="1" applyAlignment="1">
      <alignment horizontal="left"/>
    </xf>
    <xf numFmtId="0" fontId="12" fillId="0" borderId="8" xfId="0" applyFont="1" applyFill="1" applyBorder="1" applyAlignment="1">
      <alignment horizontal="center"/>
    </xf>
    <xf numFmtId="0" fontId="83" fillId="5" borderId="0" xfId="0" applyFont="1" applyFill="1"/>
    <xf numFmtId="0" fontId="0" fillId="7" borderId="0" xfId="0" applyFill="1" applyBorder="1" applyAlignment="1" applyProtection="1">
      <alignment horizontal="left"/>
      <protection locked="0" hidden="1"/>
    </xf>
    <xf numFmtId="0" fontId="0" fillId="5" borderId="0" xfId="0" applyFill="1" applyBorder="1" applyAlignment="1" applyProtection="1">
      <alignment horizontal="left"/>
      <protection locked="0" hidden="1"/>
    </xf>
    <xf numFmtId="0" fontId="5" fillId="5" borderId="0" xfId="33" applyFont="1" applyFill="1" applyAlignment="1" applyProtection="1">
      <alignment horizontal="center"/>
      <protection hidden="1"/>
    </xf>
    <xf numFmtId="9" fontId="5" fillId="5" borderId="0" xfId="33" applyNumberFormat="1" applyFont="1" applyFill="1" applyBorder="1" applyAlignment="1" applyProtection="1">
      <alignment horizontal="center"/>
      <protection hidden="1"/>
    </xf>
    <xf numFmtId="0" fontId="19" fillId="3" borderId="29" xfId="0" applyFont="1" applyFill="1" applyBorder="1" applyAlignment="1" applyProtection="1">
      <alignment horizontal="center" vertical="center" wrapText="1"/>
    </xf>
    <xf numFmtId="0" fontId="19" fillId="3" borderId="18" xfId="0" applyFont="1" applyFill="1" applyBorder="1" applyAlignment="1" applyProtection="1">
      <alignment horizontal="center" vertical="center" wrapText="1"/>
    </xf>
    <xf numFmtId="0" fontId="19" fillId="3" borderId="19" xfId="0" applyFont="1" applyFill="1" applyBorder="1" applyAlignment="1" applyProtection="1">
      <alignment horizontal="center" vertical="center" wrapText="1"/>
    </xf>
    <xf numFmtId="0" fontId="0" fillId="5" borderId="0" xfId="0" applyFill="1" applyBorder="1"/>
    <xf numFmtId="0" fontId="0" fillId="5" borderId="0" xfId="0" applyFill="1"/>
    <xf numFmtId="0" fontId="13" fillId="7" borderId="4" xfId="0" applyFont="1" applyFill="1" applyBorder="1" applyAlignment="1" applyProtection="1">
      <protection hidden="1"/>
    </xf>
    <xf numFmtId="0" fontId="13" fillId="7" borderId="17" xfId="0" applyFont="1" applyFill="1" applyBorder="1" applyAlignment="1" applyProtection="1">
      <protection hidden="1"/>
    </xf>
    <xf numFmtId="0" fontId="5" fillId="5" borderId="0" xfId="40" applyNumberFormat="1" applyFont="1" applyFill="1" applyAlignment="1" applyProtection="1">
      <alignment horizontal="center"/>
      <protection hidden="1"/>
    </xf>
    <xf numFmtId="15" fontId="13" fillId="5" borderId="6" xfId="33" applyNumberFormat="1" applyFont="1" applyFill="1" applyBorder="1" applyAlignment="1" applyProtection="1">
      <alignment horizontal="center"/>
      <protection locked="0" hidden="1"/>
    </xf>
    <xf numFmtId="0" fontId="0" fillId="5" borderId="0" xfId="0" applyFill="1" applyBorder="1" applyAlignment="1" applyProtection="1">
      <alignment wrapText="1"/>
      <protection locked="0"/>
    </xf>
    <xf numFmtId="0" fontId="84" fillId="5" borderId="0" xfId="0" applyFont="1" applyFill="1" applyAlignment="1" applyProtection="1">
      <alignment vertical="top" wrapText="1"/>
    </xf>
    <xf numFmtId="0" fontId="6" fillId="5" borderId="0" xfId="0" applyFont="1" applyFill="1" applyAlignment="1" applyProtection="1">
      <alignment horizontal="left"/>
      <protection locked="0" hidden="1"/>
    </xf>
    <xf numFmtId="0" fontId="6" fillId="5" borderId="0" xfId="0" applyFont="1" applyFill="1" applyAlignment="1" applyProtection="1">
      <alignment horizontal="left" vertical="top" wrapText="1"/>
    </xf>
    <xf numFmtId="0" fontId="6" fillId="5" borderId="0" xfId="0" applyFont="1" applyFill="1" applyBorder="1" applyAlignment="1" applyProtection="1">
      <alignment wrapText="1"/>
      <protection locked="0"/>
    </xf>
    <xf numFmtId="0" fontId="19" fillId="3" borderId="0" xfId="0" applyFont="1" applyFill="1" applyBorder="1" applyAlignment="1" applyProtection="1">
      <alignment horizontal="center" vertical="center" wrapText="1"/>
    </xf>
    <xf numFmtId="0" fontId="6" fillId="5" borderId="0" xfId="33" applyNumberFormat="1" applyFont="1" applyFill="1" applyBorder="1" applyAlignment="1" applyProtection="1">
      <alignment horizontal="left"/>
      <protection locked="0" hidden="1"/>
    </xf>
    <xf numFmtId="43" fontId="6" fillId="15" borderId="0" xfId="29" applyNumberFormat="1" applyFont="1" applyFill="1" applyBorder="1" applyAlignment="1" applyProtection="1">
      <alignment vertical="top"/>
    </xf>
    <xf numFmtId="0" fontId="6" fillId="15" borderId="0" xfId="0" applyFont="1" applyFill="1" applyBorder="1" applyAlignment="1" applyProtection="1">
      <alignment horizontal="right" vertical="top" wrapText="1"/>
    </xf>
    <xf numFmtId="0" fontId="0" fillId="5" borderId="0" xfId="33" applyNumberFormat="1" applyFont="1" applyFill="1" applyBorder="1" applyAlignment="1" applyProtection="1">
      <alignment horizontal="left"/>
      <protection locked="0" hidden="1"/>
    </xf>
    <xf numFmtId="0" fontId="46" fillId="3" borderId="35" xfId="0" applyFont="1" applyFill="1" applyBorder="1" applyAlignment="1" applyProtection="1">
      <alignment vertical="center" wrapText="1"/>
    </xf>
    <xf numFmtId="0" fontId="15" fillId="3" borderId="0" xfId="0" applyFont="1" applyFill="1" applyBorder="1" applyAlignment="1" applyProtection="1">
      <alignment vertical="center" wrapText="1"/>
    </xf>
    <xf numFmtId="0" fontId="15" fillId="3" borderId="14" xfId="0" applyFont="1" applyFill="1" applyBorder="1" applyAlignment="1" applyProtection="1">
      <alignment vertical="center" wrapText="1"/>
    </xf>
    <xf numFmtId="0" fontId="6" fillId="16" borderId="35" xfId="0" applyFont="1" applyFill="1" applyBorder="1" applyAlignment="1" applyProtection="1">
      <alignment horizontal="center" vertical="top"/>
    </xf>
    <xf numFmtId="169" fontId="5" fillId="16" borderId="35" xfId="0" applyNumberFormat="1" applyFont="1" applyFill="1" applyBorder="1" applyAlignment="1" applyProtection="1">
      <alignment horizontal="left"/>
      <protection locked="0"/>
    </xf>
    <xf numFmtId="0" fontId="6" fillId="16" borderId="0" xfId="0" applyFont="1" applyFill="1" applyBorder="1" applyAlignment="1" applyProtection="1">
      <alignment horizontal="center" vertical="top"/>
    </xf>
    <xf numFmtId="0" fontId="6" fillId="16" borderId="0" xfId="0" applyNumberFormat="1" applyFont="1" applyFill="1" applyBorder="1" applyAlignment="1" applyProtection="1">
      <alignment horizontal="left"/>
      <protection locked="0"/>
    </xf>
    <xf numFmtId="18" fontId="6" fillId="16" borderId="0" xfId="0" applyNumberFormat="1" applyFont="1" applyFill="1" applyBorder="1" applyAlignment="1" applyProtection="1">
      <alignment horizontal="left"/>
      <protection locked="0"/>
    </xf>
    <xf numFmtId="0" fontId="6" fillId="16" borderId="14" xfId="0" applyFont="1" applyFill="1" applyBorder="1" applyAlignment="1" applyProtection="1">
      <alignment horizontal="center" vertical="top"/>
    </xf>
    <xf numFmtId="0" fontId="19" fillId="3" borderId="35" xfId="0" applyFont="1" applyFill="1" applyBorder="1" applyAlignment="1" applyProtection="1">
      <alignment horizontal="center" vertical="center" wrapText="1"/>
    </xf>
    <xf numFmtId="18" fontId="6" fillId="16" borderId="14" xfId="0" applyNumberFormat="1" applyFont="1" applyFill="1" applyBorder="1" applyAlignment="1" applyProtection="1">
      <alignment horizontal="left"/>
      <protection locked="0"/>
    </xf>
    <xf numFmtId="0" fontId="19" fillId="3" borderId="14" xfId="0" applyFont="1" applyFill="1" applyBorder="1" applyAlignment="1" applyProtection="1">
      <alignment horizontal="center" vertical="center" wrapText="1"/>
    </xf>
    <xf numFmtId="43" fontId="6" fillId="5" borderId="0" xfId="29" applyNumberFormat="1" applyFont="1" applyFill="1" applyAlignment="1" applyProtection="1">
      <alignment vertical="top"/>
    </xf>
    <xf numFmtId="0" fontId="6" fillId="5" borderId="0" xfId="0" applyFont="1" applyFill="1" applyAlignment="1" applyProtection="1">
      <alignment vertical="top" wrapText="1"/>
    </xf>
    <xf numFmtId="0" fontId="0" fillId="5" borderId="0" xfId="0" applyFont="1" applyFill="1" applyAlignment="1" applyProtection="1">
      <alignment vertical="top" wrapText="1"/>
    </xf>
    <xf numFmtId="43" fontId="6" fillId="17" borderId="0" xfId="29" applyNumberFormat="1" applyFont="1" applyFill="1" applyAlignment="1" applyProtection="1">
      <alignment vertical="top"/>
    </xf>
    <xf numFmtId="43" fontId="18" fillId="17" borderId="0" xfId="29" applyNumberFormat="1" applyFont="1" applyFill="1" applyAlignment="1" applyProtection="1">
      <alignment vertical="top"/>
    </xf>
    <xf numFmtId="0" fontId="5" fillId="17" borderId="0" xfId="0" applyFont="1" applyFill="1" applyAlignment="1" applyProtection="1">
      <alignment vertical="top" wrapText="1"/>
    </xf>
    <xf numFmtId="15" fontId="1" fillId="5" borderId="14" xfId="33" applyNumberFormat="1" applyFont="1" applyFill="1" applyBorder="1" applyAlignment="1" applyProtection="1">
      <alignment horizontal="center"/>
      <protection locked="0" hidden="1"/>
    </xf>
    <xf numFmtId="15" fontId="1" fillId="5" borderId="0" xfId="33" applyNumberFormat="1" applyFont="1" applyFill="1" applyBorder="1" applyAlignment="1" applyProtection="1">
      <alignment horizontal="left"/>
      <protection locked="0" hidden="1"/>
    </xf>
    <xf numFmtId="15" fontId="13" fillId="5" borderId="6" xfId="40" applyNumberFormat="1" applyFont="1" applyFill="1" applyBorder="1" applyAlignment="1" applyProtection="1">
      <alignment horizontal="center"/>
      <protection locked="0" hidden="1"/>
    </xf>
    <xf numFmtId="0" fontId="3" fillId="0" borderId="24" xfId="0" applyFont="1" applyBorder="1" applyAlignment="1" applyProtection="1">
      <alignment horizontal="left"/>
      <protection hidden="1"/>
    </xf>
    <xf numFmtId="0" fontId="3" fillId="0" borderId="0" xfId="0" applyFont="1" applyFill="1" applyAlignment="1" applyProtection="1">
      <alignment horizontal="center"/>
      <protection hidden="1"/>
    </xf>
    <xf numFmtId="0" fontId="3" fillId="0" borderId="16" xfId="0" applyFont="1" applyFill="1" applyBorder="1" applyAlignment="1" applyProtection="1">
      <alignment horizontal="justify" vertical="top" wrapText="1"/>
      <protection hidden="1"/>
    </xf>
    <xf numFmtId="0" fontId="18" fillId="0" borderId="4" xfId="0" applyFont="1" applyBorder="1" applyAlignment="1" applyProtection="1">
      <alignment horizontal="justify" vertical="top"/>
    </xf>
    <xf numFmtId="0" fontId="18" fillId="0" borderId="17" xfId="0" applyFont="1" applyBorder="1" applyAlignment="1" applyProtection="1">
      <alignment horizontal="justify" vertical="top"/>
    </xf>
    <xf numFmtId="0" fontId="70" fillId="0" borderId="16" xfId="0" applyFont="1" applyFill="1" applyBorder="1" applyAlignment="1" applyProtection="1">
      <alignment horizontal="justify" vertical="top" wrapText="1"/>
      <protection locked="0" hidden="1"/>
    </xf>
    <xf numFmtId="0" fontId="71" fillId="0" borderId="4" xfId="0" applyFont="1" applyBorder="1" applyAlignment="1" applyProtection="1">
      <alignment horizontal="justify" vertical="top"/>
      <protection locked="0"/>
    </xf>
    <xf numFmtId="0" fontId="71" fillId="0" borderId="17" xfId="0" applyFont="1" applyBorder="1" applyAlignment="1" applyProtection="1">
      <alignment horizontal="justify" vertical="top"/>
      <protection locked="0"/>
    </xf>
    <xf numFmtId="0" fontId="3" fillId="5" borderId="0" xfId="33" applyNumberFormat="1" applyFont="1" applyFill="1" applyBorder="1" applyAlignment="1" applyProtection="1">
      <alignment horizontal="left" vertical="top" wrapText="1"/>
      <protection hidden="1"/>
    </xf>
    <xf numFmtId="0" fontId="15" fillId="0" borderId="24" xfId="0" applyFont="1" applyBorder="1" applyAlignment="1" applyProtection="1">
      <alignment horizontal="center"/>
      <protection hidden="1"/>
    </xf>
    <xf numFmtId="0" fontId="3" fillId="0" borderId="4" xfId="0" applyFont="1" applyFill="1" applyBorder="1" applyAlignment="1" applyProtection="1">
      <alignment horizontal="center"/>
      <protection hidden="1"/>
    </xf>
    <xf numFmtId="0" fontId="15" fillId="0" borderId="37" xfId="0" applyFont="1" applyFill="1" applyBorder="1" applyAlignment="1" applyProtection="1">
      <alignment horizontal="center"/>
      <protection hidden="1"/>
    </xf>
    <xf numFmtId="43" fontId="50" fillId="0" borderId="35" xfId="0" applyNumberFormat="1" applyFont="1" applyFill="1" applyBorder="1" applyAlignment="1" applyProtection="1">
      <alignment horizontal="left"/>
      <protection hidden="1"/>
    </xf>
    <xf numFmtId="43" fontId="50" fillId="5" borderId="35" xfId="0" applyNumberFormat="1" applyFont="1" applyFill="1" applyBorder="1" applyAlignment="1" applyProtection="1">
      <alignment horizontal="left"/>
      <protection hidden="1"/>
    </xf>
    <xf numFmtId="0" fontId="82" fillId="0" borderId="0" xfId="0" applyFont="1" applyFill="1" applyAlignment="1" applyProtection="1">
      <alignment horizontal="left" vertical="center" wrapText="1"/>
      <protection hidden="1"/>
    </xf>
    <xf numFmtId="0" fontId="85" fillId="0" borderId="0" xfId="0" applyFont="1" applyAlignment="1" applyProtection="1">
      <alignment horizontal="center"/>
      <protection hidden="1"/>
    </xf>
    <xf numFmtId="0" fontId="15" fillId="5" borderId="4" xfId="0" applyFont="1" applyFill="1" applyBorder="1" applyAlignment="1" applyProtection="1">
      <alignment horizontal="center" vertical="center" wrapText="1"/>
      <protection hidden="1"/>
    </xf>
    <xf numFmtId="0" fontId="13" fillId="10" borderId="0" xfId="0" applyFont="1" applyFill="1" applyBorder="1" applyAlignment="1" applyProtection="1">
      <alignment horizontal="center"/>
      <protection hidden="1"/>
    </xf>
    <xf numFmtId="0" fontId="80" fillId="5" borderId="0" xfId="0" applyFont="1" applyFill="1" applyBorder="1" applyAlignment="1" applyProtection="1">
      <alignment horizontal="justify" vertical="top" wrapText="1"/>
      <protection hidden="1"/>
    </xf>
    <xf numFmtId="0" fontId="12" fillId="0" borderId="0" xfId="33" applyNumberFormat="1" applyFont="1" applyFill="1" applyBorder="1" applyAlignment="1" applyProtection="1">
      <alignment horizontal="left" shrinkToFit="1"/>
      <protection locked="0" hidden="1"/>
    </xf>
    <xf numFmtId="0" fontId="5" fillId="5" borderId="0" xfId="33" applyNumberFormat="1" applyFont="1" applyFill="1" applyBorder="1" applyAlignment="1" applyProtection="1">
      <alignment horizontal="left"/>
      <protection locked="0" hidden="1"/>
    </xf>
    <xf numFmtId="0" fontId="6" fillId="5" borderId="0" xfId="33" applyNumberFormat="1" applyFont="1" applyFill="1" applyBorder="1" applyAlignment="1" applyProtection="1">
      <alignment horizontal="left"/>
      <protection locked="0" hidden="1"/>
    </xf>
    <xf numFmtId="0" fontId="62" fillId="5" borderId="0" xfId="33" applyNumberFormat="1" applyFont="1" applyFill="1" applyBorder="1" applyAlignment="1" applyProtection="1">
      <alignment horizontal="left"/>
      <protection locked="0" hidden="1"/>
    </xf>
    <xf numFmtId="0" fontId="1" fillId="5" borderId="0" xfId="0" applyFont="1" applyFill="1" applyAlignment="1" applyProtection="1">
      <alignment horizontal="left" vertical="top"/>
      <protection hidden="1"/>
    </xf>
    <xf numFmtId="0" fontId="3" fillId="5" borderId="34" xfId="0" applyFont="1" applyFill="1" applyBorder="1" applyAlignment="1" applyProtection="1">
      <alignment horizontal="justify" vertical="top" wrapText="1"/>
      <protection locked="0" hidden="1"/>
    </xf>
    <xf numFmtId="0" fontId="3" fillId="5" borderId="35" xfId="0" applyFont="1" applyFill="1" applyBorder="1" applyAlignment="1" applyProtection="1">
      <alignment horizontal="justify" vertical="top" wrapText="1"/>
      <protection locked="0" hidden="1"/>
    </xf>
    <xf numFmtId="0" fontId="3" fillId="5" borderId="29" xfId="0" applyFont="1" applyFill="1" applyBorder="1" applyAlignment="1" applyProtection="1">
      <alignment horizontal="justify" vertical="top" wrapText="1"/>
      <protection locked="0" hidden="1"/>
    </xf>
    <xf numFmtId="0" fontId="3" fillId="0" borderId="30" xfId="0" applyFont="1" applyBorder="1" applyAlignment="1" applyProtection="1">
      <alignment horizontal="justify" vertical="top" wrapText="1"/>
      <protection locked="0"/>
    </xf>
    <xf numFmtId="0" fontId="3" fillId="0" borderId="14" xfId="0" applyFont="1" applyBorder="1" applyAlignment="1" applyProtection="1">
      <alignment horizontal="justify" vertical="top" wrapText="1"/>
      <protection locked="0"/>
    </xf>
    <xf numFmtId="0" fontId="3" fillId="0" borderId="19" xfId="0" applyFont="1" applyBorder="1" applyAlignment="1" applyProtection="1">
      <alignment horizontal="justify" vertical="top" wrapText="1"/>
      <protection locked="0"/>
    </xf>
    <xf numFmtId="0" fontId="13" fillId="5" borderId="17" xfId="0" applyFont="1" applyFill="1" applyBorder="1" applyAlignment="1" applyProtection="1">
      <alignment horizontal="center"/>
      <protection locked="0" hidden="1"/>
    </xf>
    <xf numFmtId="0" fontId="16" fillId="5" borderId="6" xfId="0" applyFont="1" applyFill="1" applyBorder="1" applyAlignment="1" applyProtection="1">
      <alignment horizontal="center"/>
      <protection locked="0" hidden="1"/>
    </xf>
    <xf numFmtId="0" fontId="16" fillId="5" borderId="16" xfId="0" applyFont="1" applyFill="1" applyBorder="1" applyAlignment="1" applyProtection="1">
      <alignment horizontal="center"/>
      <protection locked="0" hidden="1"/>
    </xf>
    <xf numFmtId="0" fontId="74" fillId="5" borderId="0" xfId="0" applyFont="1" applyFill="1" applyBorder="1" applyAlignment="1" applyProtection="1">
      <alignment horizontal="left" vertical="top"/>
      <protection hidden="1"/>
    </xf>
    <xf numFmtId="0" fontId="6" fillId="5" borderId="0" xfId="33" applyNumberFormat="1" applyFont="1" applyFill="1" applyBorder="1" applyAlignment="1" applyProtection="1">
      <alignment horizontal="left" vertical="top" wrapText="1"/>
      <protection locked="0" hidden="1"/>
    </xf>
    <xf numFmtId="0" fontId="1" fillId="5" borderId="0" xfId="33" applyFont="1" applyFill="1" applyBorder="1" applyAlignment="1" applyProtection="1">
      <alignment horizontal="left" vertical="center" wrapText="1" shrinkToFit="1"/>
      <protection hidden="1"/>
    </xf>
    <xf numFmtId="0" fontId="1" fillId="5" borderId="0" xfId="33" applyNumberFormat="1" applyFont="1" applyFill="1" applyBorder="1" applyAlignment="1" applyProtection="1">
      <alignment horizontal="left"/>
      <protection locked="0" hidden="1"/>
    </xf>
    <xf numFmtId="0" fontId="1" fillId="5" borderId="0" xfId="33" applyNumberFormat="1" applyFont="1" applyFill="1" applyBorder="1" applyAlignment="1" applyProtection="1">
      <alignment horizontal="left" vertical="top" wrapText="1" shrinkToFit="1"/>
      <protection locked="0" hidden="1"/>
    </xf>
    <xf numFmtId="0" fontId="3" fillId="12" borderId="16" xfId="0" applyFont="1" applyFill="1" applyBorder="1" applyAlignment="1" applyProtection="1">
      <alignment horizontal="center"/>
    </xf>
    <xf numFmtId="0" fontId="3" fillId="12" borderId="4" xfId="0" applyFont="1" applyFill="1" applyBorder="1" applyAlignment="1" applyProtection="1">
      <alignment horizontal="center"/>
    </xf>
    <xf numFmtId="0" fontId="3" fillId="12" borderId="17" xfId="0" applyFont="1" applyFill="1" applyBorder="1" applyAlignment="1" applyProtection="1">
      <alignment horizontal="center"/>
    </xf>
    <xf numFmtId="0" fontId="68" fillId="3" borderId="0" xfId="0" applyFont="1" applyFill="1" applyBorder="1" applyAlignment="1" applyProtection="1">
      <alignment horizontal="center" wrapText="1"/>
    </xf>
    <xf numFmtId="178" fontId="13" fillId="10" borderId="34" xfId="29" applyNumberFormat="1" applyFont="1" applyFill="1" applyBorder="1" applyAlignment="1" applyProtection="1">
      <alignment horizontal="center" vertical="top" wrapText="1"/>
    </xf>
    <xf numFmtId="178" fontId="7" fillId="10" borderId="30" xfId="29" applyNumberFormat="1" applyFont="1" applyFill="1" applyBorder="1" applyAlignment="1" applyProtection="1">
      <alignment horizontal="center" vertical="top" wrapText="1"/>
    </xf>
    <xf numFmtId="0" fontId="40" fillId="12" borderId="2" xfId="0" applyFont="1" applyFill="1" applyBorder="1" applyAlignment="1" applyProtection="1">
      <alignment horizontal="center" wrapText="1"/>
    </xf>
    <xf numFmtId="0" fontId="40" fillId="12" borderId="23" xfId="0" applyFont="1" applyFill="1" applyBorder="1" applyAlignment="1" applyProtection="1">
      <alignment horizontal="center" wrapText="1"/>
    </xf>
    <xf numFmtId="0" fontId="13" fillId="12" borderId="2" xfId="0" applyFont="1" applyFill="1" applyBorder="1" applyAlignment="1" applyProtection="1">
      <alignment horizontal="center" vertical="top" wrapText="1"/>
    </xf>
    <xf numFmtId="0" fontId="5" fillId="12" borderId="23" xfId="0" applyFont="1" applyFill="1" applyBorder="1" applyAlignment="1" applyProtection="1">
      <alignment horizontal="center" vertical="top" wrapText="1"/>
    </xf>
    <xf numFmtId="0" fontId="13" fillId="10" borderId="2" xfId="0" applyFont="1" applyFill="1" applyBorder="1" applyAlignment="1" applyProtection="1">
      <alignment horizontal="center" vertical="top" wrapText="1"/>
    </xf>
    <xf numFmtId="0" fontId="0" fillId="10" borderId="23" xfId="0" applyFill="1" applyBorder="1" applyAlignment="1" applyProtection="1">
      <alignment horizontal="center" vertical="top" wrapText="1"/>
    </xf>
    <xf numFmtId="0" fontId="12" fillId="11" borderId="16" xfId="0" applyFont="1" applyFill="1" applyBorder="1" applyAlignment="1" applyProtection="1">
      <alignment horizontal="left" vertical="top"/>
    </xf>
    <xf numFmtId="0" fontId="12" fillId="11" borderId="4" xfId="0" applyFont="1" applyFill="1" applyBorder="1" applyAlignment="1" applyProtection="1">
      <alignment horizontal="left" vertical="top"/>
    </xf>
    <xf numFmtId="0" fontId="51" fillId="3" borderId="34" xfId="0" applyFont="1" applyFill="1" applyBorder="1" applyAlignment="1" applyProtection="1">
      <alignment horizontal="center" vertical="center" wrapText="1"/>
    </xf>
    <xf numFmtId="0" fontId="51" fillId="3" borderId="29" xfId="0" applyFont="1" applyFill="1" applyBorder="1" applyAlignment="1" applyProtection="1">
      <alignment horizontal="center" vertical="center" wrapText="1"/>
    </xf>
    <xf numFmtId="0" fontId="51" fillId="3" borderId="30" xfId="0" applyFont="1" applyFill="1" applyBorder="1" applyAlignment="1" applyProtection="1">
      <alignment horizontal="center" vertical="center" wrapText="1"/>
    </xf>
    <xf numFmtId="0" fontId="51" fillId="3" borderId="19" xfId="0" applyFont="1" applyFill="1" applyBorder="1" applyAlignment="1" applyProtection="1">
      <alignment horizontal="center" vertical="center" wrapText="1"/>
    </xf>
    <xf numFmtId="0" fontId="12" fillId="11" borderId="16" xfId="0" applyFont="1" applyFill="1" applyBorder="1" applyAlignment="1" applyProtection="1">
      <alignment horizontal="center" vertical="top"/>
    </xf>
    <xf numFmtId="0" fontId="12" fillId="11" borderId="4" xfId="0" applyFont="1" applyFill="1" applyBorder="1" applyAlignment="1" applyProtection="1">
      <alignment horizontal="center" vertical="top"/>
    </xf>
    <xf numFmtId="0" fontId="12" fillId="11" borderId="17" xfId="0" applyFont="1" applyFill="1" applyBorder="1" applyAlignment="1" applyProtection="1">
      <alignment horizontal="center" vertical="top"/>
    </xf>
    <xf numFmtId="0" fontId="15" fillId="10" borderId="14" xfId="0" applyFont="1" applyFill="1" applyBorder="1" applyAlignment="1" applyProtection="1">
      <alignment horizontal="center" vertical="center"/>
    </xf>
    <xf numFmtId="0" fontId="13" fillId="12" borderId="16" xfId="0" applyFont="1" applyFill="1" applyBorder="1" applyAlignment="1" applyProtection="1">
      <alignment horizontal="center" vertical="top" wrapText="1"/>
    </xf>
    <xf numFmtId="0" fontId="13" fillId="12" borderId="4" xfId="0" applyFont="1" applyFill="1" applyBorder="1" applyAlignment="1" applyProtection="1">
      <alignment horizontal="center" vertical="top" wrapText="1"/>
    </xf>
    <xf numFmtId="0" fontId="13" fillId="12" borderId="17" xfId="0" applyFont="1" applyFill="1" applyBorder="1" applyAlignment="1" applyProtection="1">
      <alignment horizontal="center" vertical="top" wrapText="1"/>
    </xf>
    <xf numFmtId="0" fontId="63" fillId="5" borderId="0" xfId="0" applyFont="1" applyFill="1" applyAlignment="1" applyProtection="1">
      <alignment horizontal="center" vertical="top" wrapText="1"/>
    </xf>
    <xf numFmtId="0" fontId="63" fillId="5" borderId="14" xfId="0" applyFont="1" applyFill="1" applyBorder="1" applyAlignment="1" applyProtection="1">
      <alignment horizontal="center" vertical="top" wrapText="1"/>
    </xf>
    <xf numFmtId="0" fontId="39" fillId="0" borderId="16" xfId="0" applyFont="1" applyBorder="1" applyAlignment="1" applyProtection="1">
      <alignment horizontal="justify" vertical="top" wrapText="1"/>
      <protection locked="0" hidden="1"/>
    </xf>
    <xf numFmtId="0" fontId="39" fillId="0" borderId="35" xfId="0" applyFont="1" applyBorder="1" applyAlignment="1" applyProtection="1">
      <alignment horizontal="justify" vertical="top" wrapText="1"/>
      <protection locked="0" hidden="1"/>
    </xf>
    <xf numFmtId="0" fontId="39" fillId="0" borderId="29" xfId="0" applyFont="1" applyBorder="1" applyAlignment="1" applyProtection="1">
      <alignment horizontal="justify" vertical="top" wrapText="1"/>
      <protection locked="0" hidden="1"/>
    </xf>
    <xf numFmtId="0" fontId="5" fillId="10" borderId="16" xfId="0" applyFont="1" applyFill="1" applyBorder="1" applyAlignment="1" applyProtection="1">
      <alignment horizontal="center"/>
      <protection hidden="1"/>
    </xf>
    <xf numFmtId="0" fontId="5" fillId="10" borderId="4" xfId="0" applyFont="1" applyFill="1" applyBorder="1" applyAlignment="1" applyProtection="1">
      <alignment horizontal="center"/>
      <protection hidden="1"/>
    </xf>
    <xf numFmtId="0" fontId="5" fillId="10" borderId="17" xfId="0" applyFont="1" applyFill="1" applyBorder="1" applyAlignment="1" applyProtection="1">
      <alignment horizontal="center"/>
      <protection hidden="1"/>
    </xf>
    <xf numFmtId="0" fontId="15" fillId="10" borderId="16" xfId="0" applyFont="1" applyFill="1" applyBorder="1" applyAlignment="1" applyProtection="1">
      <alignment horizontal="center"/>
      <protection hidden="1"/>
    </xf>
    <xf numFmtId="0" fontId="15" fillId="10" borderId="4" xfId="0" applyFont="1" applyFill="1" applyBorder="1" applyAlignment="1" applyProtection="1">
      <alignment horizontal="center"/>
      <protection hidden="1"/>
    </xf>
    <xf numFmtId="0" fontId="15" fillId="10" borderId="17" xfId="0" applyFont="1" applyFill="1" applyBorder="1" applyAlignment="1" applyProtection="1">
      <alignment horizontal="center"/>
      <protection hidden="1"/>
    </xf>
    <xf numFmtId="0" fontId="15" fillId="0" borderId="31" xfId="0" applyFont="1" applyBorder="1" applyAlignment="1" applyProtection="1">
      <alignment horizontal="center"/>
      <protection hidden="1"/>
    </xf>
    <xf numFmtId="0" fontId="15" fillId="0" borderId="32" xfId="0" applyFont="1" applyBorder="1" applyAlignment="1" applyProtection="1">
      <alignment horizontal="center"/>
      <protection hidden="1"/>
    </xf>
    <xf numFmtId="0" fontId="15" fillId="0" borderId="33" xfId="0" applyFont="1" applyBorder="1" applyAlignment="1" applyProtection="1">
      <alignment horizontal="center"/>
      <protection hidden="1"/>
    </xf>
    <xf numFmtId="0" fontId="3" fillId="0" borderId="31" xfId="0" applyFont="1" applyBorder="1" applyAlignment="1" applyProtection="1">
      <alignment horizontal="center"/>
      <protection hidden="1"/>
    </xf>
    <xf numFmtId="0" fontId="3" fillId="0" borderId="32" xfId="0" applyFont="1" applyBorder="1" applyAlignment="1" applyProtection="1">
      <alignment horizontal="center"/>
      <protection hidden="1"/>
    </xf>
    <xf numFmtId="0" fontId="3" fillId="0" borderId="33" xfId="0" applyFont="1" applyBorder="1" applyAlignment="1" applyProtection="1">
      <alignment horizontal="center"/>
      <protection hidden="1"/>
    </xf>
    <xf numFmtId="0" fontId="15" fillId="5" borderId="16" xfId="0" applyFont="1" applyFill="1" applyBorder="1" applyAlignment="1" applyProtection="1">
      <alignment horizontal="center"/>
      <protection hidden="1"/>
    </xf>
    <xf numFmtId="0" fontId="15" fillId="5" borderId="4" xfId="0" applyFont="1" applyFill="1" applyBorder="1" applyAlignment="1" applyProtection="1">
      <alignment horizontal="center"/>
      <protection hidden="1"/>
    </xf>
    <xf numFmtId="0" fontId="15" fillId="5" borderId="17" xfId="0" applyFont="1" applyFill="1" applyBorder="1" applyAlignment="1" applyProtection="1">
      <alignment horizontal="center"/>
      <protection hidden="1"/>
    </xf>
    <xf numFmtId="0" fontId="7" fillId="5" borderId="16" xfId="0" applyFont="1" applyFill="1" applyBorder="1" applyAlignment="1" applyProtection="1">
      <alignment horizontal="center" vertical="top" wrapText="1"/>
      <protection hidden="1"/>
    </xf>
    <xf numFmtId="0" fontId="7" fillId="5" borderId="4" xfId="0" applyFont="1" applyFill="1" applyBorder="1" applyAlignment="1" applyProtection="1">
      <alignment horizontal="center" vertical="top" wrapText="1"/>
      <protection hidden="1"/>
    </xf>
    <xf numFmtId="0" fontId="7" fillId="5" borderId="17" xfId="0" applyFont="1" applyFill="1" applyBorder="1" applyAlignment="1" applyProtection="1">
      <alignment horizontal="center" vertical="top" wrapText="1"/>
      <protection hidden="1"/>
    </xf>
    <xf numFmtId="0" fontId="13" fillId="7" borderId="16" xfId="0" applyFont="1" applyFill="1" applyBorder="1" applyAlignment="1" applyProtection="1">
      <alignment horizontal="center" vertical="top"/>
      <protection hidden="1"/>
    </xf>
    <xf numFmtId="0" fontId="13" fillId="7" borderId="4" xfId="0" applyFont="1" applyFill="1" applyBorder="1" applyAlignment="1" applyProtection="1">
      <alignment horizontal="center" vertical="top"/>
      <protection hidden="1"/>
    </xf>
    <xf numFmtId="0" fontId="13" fillId="7" borderId="17" xfId="0" applyFont="1" applyFill="1" applyBorder="1" applyAlignment="1" applyProtection="1">
      <alignment horizontal="center" vertical="top"/>
      <protection hidden="1"/>
    </xf>
    <xf numFmtId="0" fontId="47" fillId="0" borderId="21" xfId="0" applyFont="1" applyFill="1" applyBorder="1" applyAlignment="1" applyProtection="1">
      <alignment horizontal="left" wrapText="1"/>
      <protection hidden="1"/>
    </xf>
    <xf numFmtId="0" fontId="47" fillId="0" borderId="28" xfId="0" applyFont="1" applyFill="1" applyBorder="1" applyAlignment="1" applyProtection="1">
      <alignment horizontal="left" wrapText="1"/>
      <protection hidden="1"/>
    </xf>
    <xf numFmtId="0" fontId="5" fillId="0" borderId="0" xfId="0" applyFont="1" applyFill="1" applyBorder="1" applyAlignment="1" applyProtection="1">
      <alignment horizontal="left"/>
      <protection hidden="1"/>
    </xf>
    <xf numFmtId="0" fontId="63" fillId="5" borderId="34" xfId="0" applyFont="1" applyFill="1" applyBorder="1" applyAlignment="1" applyProtection="1">
      <alignment horizontal="center" vertical="top" wrapText="1"/>
      <protection hidden="1"/>
    </xf>
    <xf numFmtId="0" fontId="63" fillId="5" borderId="29" xfId="0" applyFont="1" applyFill="1" applyBorder="1" applyAlignment="1" applyProtection="1">
      <alignment horizontal="center" vertical="top" wrapText="1"/>
      <protection hidden="1"/>
    </xf>
    <xf numFmtId="0" fontId="63" fillId="5" borderId="30" xfId="0" applyFont="1" applyFill="1" applyBorder="1" applyAlignment="1" applyProtection="1">
      <alignment horizontal="center" vertical="top" wrapText="1"/>
      <protection hidden="1"/>
    </xf>
    <xf numFmtId="0" fontId="63" fillId="5" borderId="19" xfId="0" applyFont="1" applyFill="1" applyBorder="1" applyAlignment="1" applyProtection="1">
      <alignment horizontal="center" vertical="top" wrapText="1"/>
      <protection hidden="1"/>
    </xf>
    <xf numFmtId="0" fontId="50" fillId="5" borderId="0" xfId="33" applyFont="1" applyFill="1" applyBorder="1" applyAlignment="1" applyProtection="1">
      <alignment horizontal="left" wrapText="1"/>
      <protection hidden="1"/>
    </xf>
    <xf numFmtId="0" fontId="16" fillId="0" borderId="16" xfId="0" applyFont="1" applyFill="1" applyBorder="1" applyAlignment="1" applyProtection="1">
      <alignment horizontal="center" vertical="top" wrapText="1"/>
      <protection hidden="1"/>
    </xf>
    <xf numFmtId="0" fontId="16" fillId="0" borderId="4" xfId="0" applyFont="1" applyFill="1" applyBorder="1" applyAlignment="1" applyProtection="1">
      <alignment horizontal="center" vertical="top" wrapText="1"/>
      <protection hidden="1"/>
    </xf>
    <xf numFmtId="0" fontId="16" fillId="0" borderId="17" xfId="0" applyFont="1" applyFill="1" applyBorder="1" applyAlignment="1" applyProtection="1">
      <alignment horizontal="center" vertical="top" wrapText="1"/>
      <protection hidden="1"/>
    </xf>
    <xf numFmtId="0" fontId="51" fillId="3" borderId="16" xfId="0" applyFont="1" applyFill="1" applyBorder="1" applyAlignment="1" applyProtection="1">
      <alignment horizontal="center" vertical="top" wrapText="1"/>
      <protection hidden="1"/>
    </xf>
    <xf numFmtId="0" fontId="51" fillId="3" borderId="17" xfId="0" applyFont="1" applyFill="1" applyBorder="1" applyAlignment="1" applyProtection="1">
      <alignment horizontal="center" vertical="top" wrapText="1"/>
      <protection hidden="1"/>
    </xf>
    <xf numFmtId="0" fontId="5" fillId="3" borderId="16" xfId="0" applyFont="1" applyFill="1" applyBorder="1" applyAlignment="1" applyProtection="1">
      <alignment horizontal="center"/>
      <protection hidden="1"/>
    </xf>
    <xf numFmtId="0" fontId="5" fillId="3" borderId="4" xfId="0" applyFont="1" applyFill="1" applyBorder="1" applyAlignment="1" applyProtection="1">
      <alignment horizontal="center"/>
      <protection hidden="1"/>
    </xf>
    <xf numFmtId="0" fontId="5" fillId="3" borderId="17" xfId="0" applyFont="1" applyFill="1" applyBorder="1" applyAlignment="1" applyProtection="1">
      <alignment horizontal="center"/>
      <protection hidden="1"/>
    </xf>
    <xf numFmtId="0" fontId="7" fillId="0" borderId="0" xfId="0" applyFont="1" applyFill="1" applyBorder="1" applyAlignment="1" applyProtection="1">
      <alignment horizontal="left"/>
      <protection hidden="1"/>
    </xf>
    <xf numFmtId="0" fontId="52" fillId="5" borderId="4" xfId="33" applyFont="1" applyFill="1" applyBorder="1" applyAlignment="1" applyProtection="1">
      <alignment horizontal="center" wrapText="1"/>
      <protection hidden="1"/>
    </xf>
    <xf numFmtId="0" fontId="50" fillId="0" borderId="0" xfId="0" applyFont="1" applyAlignment="1" applyProtection="1">
      <alignment horizontal="center"/>
      <protection hidden="1"/>
    </xf>
    <xf numFmtId="0" fontId="13" fillId="0" borderId="16" xfId="0" applyFont="1" applyFill="1" applyBorder="1" applyAlignment="1" applyProtection="1">
      <alignment horizontal="center" vertical="top"/>
      <protection hidden="1"/>
    </xf>
    <xf numFmtId="0" fontId="13" fillId="0" borderId="17" xfId="0" applyFont="1" applyFill="1" applyBorder="1" applyAlignment="1" applyProtection="1">
      <alignment horizontal="center" vertical="top"/>
      <protection hidden="1"/>
    </xf>
    <xf numFmtId="0" fontId="3" fillId="7" borderId="0" xfId="0" applyFont="1" applyFill="1" applyBorder="1" applyAlignment="1" applyProtection="1">
      <alignment horizontal="left"/>
      <protection locked="0" hidden="1"/>
    </xf>
    <xf numFmtId="0" fontId="7" fillId="7" borderId="0" xfId="0" applyFont="1" applyFill="1" applyBorder="1" applyAlignment="1" applyProtection="1">
      <alignment horizontal="left"/>
      <protection locked="0" hidden="1"/>
    </xf>
    <xf numFmtId="0" fontId="5" fillId="14" borderId="8" xfId="0" applyFont="1" applyFill="1" applyBorder="1" applyAlignment="1" applyProtection="1">
      <alignment horizontal="center"/>
      <protection hidden="1"/>
    </xf>
    <xf numFmtId="0" fontId="5" fillId="14" borderId="0" xfId="0" applyFont="1" applyFill="1" applyBorder="1" applyAlignment="1" applyProtection="1">
      <alignment horizontal="center"/>
      <protection hidden="1"/>
    </xf>
    <xf numFmtId="0" fontId="5" fillId="14" borderId="18" xfId="0" applyFont="1" applyFill="1" applyBorder="1" applyAlignment="1" applyProtection="1">
      <alignment horizontal="center"/>
      <protection hidden="1"/>
    </xf>
    <xf numFmtId="43" fontId="1" fillId="0" borderId="0" xfId="29" applyFont="1" applyBorder="1" applyAlignment="1" applyProtection="1">
      <alignment horizontal="left" wrapText="1"/>
      <protection hidden="1"/>
    </xf>
    <xf numFmtId="0" fontId="0" fillId="0" borderId="0" xfId="0" applyAlignment="1">
      <alignment horizontal="left" wrapText="1"/>
    </xf>
    <xf numFmtId="0" fontId="0" fillId="0" borderId="18" xfId="0" applyBorder="1" applyAlignment="1">
      <alignment horizontal="left" wrapText="1"/>
    </xf>
    <xf numFmtId="0" fontId="0" fillId="0" borderId="8" xfId="0" applyFill="1" applyBorder="1" applyAlignment="1" applyProtection="1">
      <alignment horizontal="center" vertical="center"/>
      <protection hidden="1"/>
    </xf>
    <xf numFmtId="43" fontId="1" fillId="0" borderId="0" xfId="29" applyFont="1" applyBorder="1" applyAlignment="1" applyProtection="1">
      <alignment wrapText="1"/>
      <protection hidden="1"/>
    </xf>
    <xf numFmtId="0" fontId="0" fillId="0" borderId="0" xfId="0" applyAlignment="1">
      <alignment wrapText="1"/>
    </xf>
    <xf numFmtId="0" fontId="0" fillId="0" borderId="18" xfId="0" applyBorder="1" applyAlignment="1">
      <alignment wrapText="1"/>
    </xf>
    <xf numFmtId="0" fontId="15" fillId="3" borderId="8" xfId="0" applyFont="1" applyFill="1" applyBorder="1" applyAlignment="1" applyProtection="1">
      <alignment horizontal="left" vertical="center" wrapText="1"/>
    </xf>
    <xf numFmtId="0" fontId="15" fillId="3" borderId="0" xfId="0" applyFont="1" applyFill="1" applyBorder="1" applyAlignment="1" applyProtection="1">
      <alignment horizontal="left" vertical="center" wrapText="1"/>
    </xf>
    <xf numFmtId="0" fontId="15" fillId="3" borderId="30" xfId="0" applyFont="1" applyFill="1" applyBorder="1" applyAlignment="1" applyProtection="1">
      <alignment horizontal="left" vertical="center" wrapText="1"/>
    </xf>
    <xf numFmtId="0" fontId="15" fillId="3" borderId="14" xfId="0" applyFont="1" applyFill="1" applyBorder="1" applyAlignment="1" applyProtection="1">
      <alignment horizontal="left" vertical="center" wrapText="1"/>
    </xf>
    <xf numFmtId="0" fontId="5" fillId="7" borderId="34" xfId="0" applyFont="1" applyFill="1" applyBorder="1" applyAlignment="1">
      <alignment horizontal="justify" wrapText="1"/>
    </xf>
    <xf numFmtId="0" fontId="5" fillId="7" borderId="35" xfId="0" applyFont="1" applyFill="1" applyBorder="1" applyAlignment="1">
      <alignment horizontal="justify" wrapText="1"/>
    </xf>
    <xf numFmtId="0" fontId="5" fillId="7" borderId="29" xfId="0" applyFont="1" applyFill="1" applyBorder="1" applyAlignment="1">
      <alignment horizontal="justify" wrapText="1"/>
    </xf>
    <xf numFmtId="0" fontId="5" fillId="7" borderId="30" xfId="0" applyFont="1" applyFill="1" applyBorder="1" applyAlignment="1">
      <alignment horizontal="justify" wrapText="1"/>
    </xf>
    <xf numFmtId="0" fontId="5" fillId="7" borderId="14" xfId="0" applyFont="1" applyFill="1" applyBorder="1" applyAlignment="1">
      <alignment horizontal="justify" wrapText="1"/>
    </xf>
    <xf numFmtId="0" fontId="5" fillId="7" borderId="19" xfId="0" applyFont="1" applyFill="1" applyBorder="1" applyAlignment="1">
      <alignment horizontal="justify" wrapText="1"/>
    </xf>
    <xf numFmtId="0" fontId="46" fillId="3" borderId="34" xfId="0" applyFont="1" applyFill="1" applyBorder="1" applyAlignment="1" applyProtection="1">
      <alignment horizontal="left" vertical="center" wrapText="1"/>
    </xf>
    <xf numFmtId="0" fontId="46" fillId="3" borderId="35" xfId="0" applyFont="1" applyFill="1" applyBorder="1" applyAlignment="1" applyProtection="1">
      <alignment horizontal="left" vertical="center" wrapText="1"/>
    </xf>
    <xf numFmtId="0" fontId="80" fillId="13" borderId="0" xfId="0" applyFont="1" applyFill="1" applyBorder="1" applyAlignment="1" applyProtection="1">
      <alignment horizontal="justify" vertical="top" wrapText="1"/>
      <protection hidden="1"/>
    </xf>
    <xf numFmtId="0" fontId="6" fillId="0" borderId="34" xfId="0" applyFont="1" applyBorder="1" applyAlignment="1">
      <alignment horizontal="center"/>
    </xf>
    <xf numFmtId="0" fontId="6" fillId="0" borderId="35" xfId="0" applyFont="1" applyBorder="1" applyAlignment="1">
      <alignment horizontal="center"/>
    </xf>
    <xf numFmtId="0" fontId="81" fillId="13" borderId="0" xfId="0" applyFont="1" applyFill="1" applyBorder="1" applyAlignment="1" applyProtection="1">
      <alignment horizontal="justify" vertical="top" wrapText="1"/>
      <protection hidden="1"/>
    </xf>
    <xf numFmtId="0" fontId="80" fillId="13" borderId="0" xfId="0" applyFont="1" applyFill="1" applyBorder="1" applyAlignment="1" applyProtection="1">
      <alignment horizontal="justify" vertical="top"/>
      <protection hidden="1"/>
    </xf>
    <xf numFmtId="0" fontId="80" fillId="2" borderId="0" xfId="0" applyFont="1" applyFill="1" applyBorder="1" applyAlignment="1" applyProtection="1">
      <alignment horizontal="justify" vertical="top" wrapText="1"/>
      <protection hidden="1"/>
    </xf>
    <xf numFmtId="0" fontId="81" fillId="2" borderId="0" xfId="0" applyFont="1" applyFill="1" applyBorder="1" applyAlignment="1" applyProtection="1">
      <alignment horizontal="justify" vertical="top" wrapText="1"/>
      <protection hidden="1"/>
    </xf>
    <xf numFmtId="0" fontId="86" fillId="10" borderId="6" xfId="0" applyFont="1" applyFill="1" applyBorder="1" applyAlignment="1" applyProtection="1">
      <alignment horizontal="center" vertical="top"/>
    </xf>
    <xf numFmtId="0" fontId="87" fillId="0" borderId="0" xfId="0" applyFont="1" applyProtection="1"/>
    <xf numFmtId="0" fontId="87" fillId="5" borderId="0" xfId="0" applyFont="1" applyFill="1" applyProtection="1"/>
    <xf numFmtId="0" fontId="87" fillId="5" borderId="0" xfId="0" applyFont="1" applyFill="1" applyAlignment="1" applyProtection="1">
      <alignment horizontal="center"/>
    </xf>
    <xf numFmtId="0" fontId="87" fillId="5" borderId="0" xfId="0" applyFont="1" applyFill="1" applyBorder="1" applyProtection="1"/>
    <xf numFmtId="169" fontId="6" fillId="16" borderId="34" xfId="0" applyNumberFormat="1" applyFont="1" applyFill="1" applyBorder="1" applyAlignment="1" applyProtection="1">
      <alignment horizontal="left"/>
      <protection locked="0"/>
    </xf>
    <xf numFmtId="0" fontId="6" fillId="16" borderId="8" xfId="0" applyFont="1" applyFill="1" applyBorder="1" applyAlignment="1" applyProtection="1">
      <alignment horizontal="left"/>
      <protection locked="0"/>
    </xf>
    <xf numFmtId="0" fontId="6" fillId="16" borderId="30" xfId="0" applyFont="1" applyFill="1" applyBorder="1" applyAlignment="1" applyProtection="1">
      <alignment horizontal="left"/>
      <protection locked="0"/>
    </xf>
    <xf numFmtId="0" fontId="87" fillId="5" borderId="0" xfId="0" applyFont="1" applyFill="1" applyAlignment="1" applyProtection="1">
      <alignment horizontal="left"/>
    </xf>
    <xf numFmtId="0" fontId="87" fillId="5" borderId="0" xfId="0" applyFont="1" applyFill="1" applyAlignment="1" applyProtection="1">
      <alignment horizontal="center" vertical="top"/>
    </xf>
    <xf numFmtId="0" fontId="87" fillId="8" borderId="0" xfId="0" applyFont="1" applyFill="1" applyAlignment="1" applyProtection="1">
      <alignment horizontal="center" vertical="top"/>
    </xf>
    <xf numFmtId="0" fontId="87" fillId="5" borderId="0" xfId="0" applyFont="1" applyFill="1" applyAlignment="1" applyProtection="1">
      <alignment horizontal="left" vertical="top" wrapText="1"/>
    </xf>
  </cellXfs>
  <cellStyles count="51">
    <cellStyle name="0" xfId="1" xr:uid="{00000000-0005-0000-0000-000000000000}"/>
    <cellStyle name="Actual Date" xfId="2" xr:uid="{00000000-0005-0000-0000-000001000000}"/>
    <cellStyle name="Body" xfId="3" xr:uid="{00000000-0005-0000-0000-000002000000}"/>
    <cellStyle name="Calc Currency (0)" xfId="4" xr:uid="{00000000-0005-0000-0000-000003000000}"/>
    <cellStyle name="Column_Title" xfId="5" xr:uid="{00000000-0005-0000-0000-000004000000}"/>
    <cellStyle name="Comma0" xfId="6" xr:uid="{00000000-0005-0000-0000-000005000000}"/>
    <cellStyle name="Copied" xfId="7" xr:uid="{00000000-0005-0000-0000-000006000000}"/>
    <cellStyle name="Currency_ROIC Calculation" xfId="8" xr:uid="{00000000-0005-0000-0000-000007000000}"/>
    <cellStyle name="Currency0" xfId="9" xr:uid="{00000000-0005-0000-0000-000008000000}"/>
    <cellStyle name="Date" xfId="10" xr:uid="{00000000-0005-0000-0000-000009000000}"/>
    <cellStyle name="Entered" xfId="11" xr:uid="{00000000-0005-0000-0000-00000A000000}"/>
    <cellStyle name="Euro" xfId="12" xr:uid="{00000000-0005-0000-0000-00000B000000}"/>
    <cellStyle name="EY House" xfId="13" xr:uid="{00000000-0005-0000-0000-00000C000000}"/>
    <cellStyle name="Fixed" xfId="14" xr:uid="{00000000-0005-0000-0000-00000D000000}"/>
    <cellStyle name="Followed Hyperlink" xfId="15" xr:uid="{00000000-0005-0000-0000-00000E000000}"/>
    <cellStyle name="FRxAmtStyle" xfId="16" xr:uid="{00000000-0005-0000-0000-00000F000000}"/>
    <cellStyle name="Grey" xfId="17" xr:uid="{00000000-0005-0000-0000-000010000000}"/>
    <cellStyle name="HEADER" xfId="18" xr:uid="{00000000-0005-0000-0000-000011000000}"/>
    <cellStyle name="Header1" xfId="19" xr:uid="{00000000-0005-0000-0000-000012000000}"/>
    <cellStyle name="Header2" xfId="20" xr:uid="{00000000-0005-0000-0000-000013000000}"/>
    <cellStyle name="Heading 1" xfId="21" xr:uid="{00000000-0005-0000-0000-000014000000}"/>
    <cellStyle name="Heading 2" xfId="22" xr:uid="{00000000-0005-0000-0000-000015000000}"/>
    <cellStyle name="Heading1" xfId="23" xr:uid="{00000000-0005-0000-0000-000016000000}"/>
    <cellStyle name="Heading2" xfId="24" xr:uid="{00000000-0005-0000-0000-000017000000}"/>
    <cellStyle name="HIGHLIGHT" xfId="25" xr:uid="{00000000-0005-0000-0000-000018000000}"/>
    <cellStyle name="Hipervínculo" xfId="26" builtinId="8"/>
    <cellStyle name="Hyperlink" xfId="27" xr:uid="{00000000-0005-0000-0000-00001A000000}"/>
    <cellStyle name="Input [yellow]" xfId="28" xr:uid="{00000000-0005-0000-0000-00001B000000}"/>
    <cellStyle name="Millares" xfId="29" builtinId="3"/>
    <cellStyle name="Moneda" xfId="30" builtinId="4"/>
    <cellStyle name="no dec" xfId="31" xr:uid="{00000000-0005-0000-0000-00001E000000}"/>
    <cellStyle name="Normal" xfId="0" builtinId="0"/>
    <cellStyle name="Normal - Style1" xfId="32" xr:uid="{00000000-0005-0000-0000-000020000000}"/>
    <cellStyle name="Normal_COT.PRODUCC E INNOVAC  FEB 192003" xfId="33" xr:uid="{00000000-0005-0000-0000-000021000000}"/>
    <cellStyle name="Output Amounts" xfId="34" xr:uid="{00000000-0005-0000-0000-000022000000}"/>
    <cellStyle name="Output Column Headings" xfId="35" xr:uid="{00000000-0005-0000-0000-000023000000}"/>
    <cellStyle name="Output Line Items" xfId="36" xr:uid="{00000000-0005-0000-0000-000024000000}"/>
    <cellStyle name="Output Report Heading" xfId="37" xr:uid="{00000000-0005-0000-0000-000025000000}"/>
    <cellStyle name="Output Report Title" xfId="38" xr:uid="{00000000-0005-0000-0000-000026000000}"/>
    <cellStyle name="Percent [2]" xfId="39" xr:uid="{00000000-0005-0000-0000-000027000000}"/>
    <cellStyle name="Porcentaje" xfId="40" builtinId="5"/>
    <cellStyle name="RevList" xfId="41" xr:uid="{00000000-0005-0000-0000-000029000000}"/>
    <cellStyle name="STYLE1" xfId="42" xr:uid="{00000000-0005-0000-0000-00002A000000}"/>
    <cellStyle name="STYLE2" xfId="43" xr:uid="{00000000-0005-0000-0000-00002B000000}"/>
    <cellStyle name="STYLE3" xfId="44" xr:uid="{00000000-0005-0000-0000-00002C000000}"/>
    <cellStyle name="STYLE4" xfId="45" xr:uid="{00000000-0005-0000-0000-00002D000000}"/>
    <cellStyle name="Subtotal" xfId="46" xr:uid="{00000000-0005-0000-0000-00002E000000}"/>
    <cellStyle name="Total" xfId="47" builtinId="25" customBuiltin="1"/>
    <cellStyle name="Unprot" xfId="48" xr:uid="{00000000-0005-0000-0000-000030000000}"/>
    <cellStyle name="Unprot$" xfId="49" xr:uid="{00000000-0005-0000-0000-000031000000}"/>
    <cellStyle name="Unprotect" xfId="50" xr:uid="{00000000-0005-0000-0000-000032000000}"/>
  </cellStyles>
  <dxfs count="28">
    <dxf>
      <font>
        <condense val="0"/>
        <extend val="0"/>
        <color indexed="9"/>
      </font>
    </dxf>
    <dxf>
      <fill>
        <patternFill>
          <bgColor indexed="10"/>
        </patternFill>
      </fill>
    </dxf>
    <dxf>
      <fill>
        <patternFill>
          <bgColor indexed="10"/>
        </patternFill>
      </fill>
    </dxf>
    <dxf>
      <font>
        <condense val="0"/>
        <extend val="0"/>
        <color indexed="22"/>
      </font>
    </dxf>
    <dxf>
      <font>
        <condense val="0"/>
        <extend val="0"/>
        <color indexed="10"/>
      </font>
    </dxf>
    <dxf>
      <font>
        <condense val="0"/>
        <extend val="0"/>
        <color indexed="9"/>
      </font>
    </dxf>
    <dxf>
      <fill>
        <patternFill>
          <bgColor indexed="10"/>
        </patternFill>
      </fill>
    </dxf>
    <dxf>
      <font>
        <condense val="0"/>
        <extend val="0"/>
        <color indexed="9"/>
      </font>
    </dxf>
    <dxf>
      <fill>
        <patternFill>
          <bgColor indexed="10"/>
        </patternFill>
      </fill>
    </dxf>
    <dxf>
      <font>
        <condense val="0"/>
        <extend val="0"/>
        <color indexed="9"/>
      </font>
    </dxf>
    <dxf>
      <font>
        <condense val="0"/>
        <extend val="0"/>
        <color indexed="22"/>
      </font>
    </dxf>
    <dxf>
      <font>
        <condense val="0"/>
        <extend val="0"/>
        <color indexed="9"/>
      </font>
    </dxf>
    <dxf>
      <fill>
        <patternFill>
          <bgColor indexed="10"/>
        </patternFill>
      </fill>
    </dxf>
    <dxf>
      <fill>
        <patternFill>
          <bgColor indexed="10"/>
        </patternFill>
      </fill>
    </dxf>
    <dxf>
      <fill>
        <patternFill>
          <bgColor indexed="10"/>
        </patternFill>
      </fill>
    </dxf>
    <dxf>
      <font>
        <condense val="0"/>
        <extend val="0"/>
        <color indexed="9"/>
      </font>
    </dxf>
    <dxf>
      <fill>
        <patternFill>
          <bgColor indexed="10"/>
        </patternFill>
      </fill>
    </dxf>
    <dxf>
      <font>
        <condense val="0"/>
        <extend val="0"/>
        <color indexed="9"/>
      </font>
    </dxf>
    <dxf>
      <border>
        <top style="thin">
          <color indexed="64"/>
        </top>
        <bottom style="thin">
          <color indexed="64"/>
        </bottom>
      </border>
    </dxf>
    <dxf>
      <font>
        <condense val="0"/>
        <extend val="0"/>
        <color indexed="9"/>
      </font>
    </dxf>
    <dxf>
      <fill>
        <patternFill>
          <bgColor indexed="51"/>
        </patternFill>
      </fill>
    </dxf>
    <dxf>
      <font>
        <condense val="0"/>
        <extend val="0"/>
        <color indexed="9"/>
      </font>
      <fill>
        <patternFill>
          <bgColor indexed="9"/>
        </patternFill>
      </fill>
      <border>
        <left/>
        <right/>
        <top/>
        <bottom/>
      </border>
    </dxf>
    <dxf>
      <font>
        <condense val="0"/>
        <extend val="0"/>
        <color indexed="9"/>
      </font>
    </dxf>
    <dxf>
      <font>
        <condense val="0"/>
        <extend val="0"/>
        <color indexed="9"/>
      </font>
    </dxf>
    <dxf>
      <font>
        <condense val="0"/>
        <extend val="0"/>
        <color auto="1"/>
      </font>
    </dxf>
    <dxf>
      <font>
        <b/>
        <i val="0"/>
        <condense val="0"/>
        <extend val="0"/>
        <color indexed="10"/>
      </font>
    </dxf>
    <dxf>
      <font>
        <condense val="0"/>
        <extend val="0"/>
        <color indexed="9"/>
      </font>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1095375</xdr:colOff>
      <xdr:row>0</xdr:row>
      <xdr:rowOff>0</xdr:rowOff>
    </xdr:from>
    <xdr:to>
      <xdr:col>5</xdr:col>
      <xdr:colOff>495300</xdr:colOff>
      <xdr:row>5</xdr:row>
      <xdr:rowOff>142875</xdr:rowOff>
    </xdr:to>
    <xdr:pic>
      <xdr:nvPicPr>
        <xdr:cNvPr id="8495" name="Picture 228">
          <a:extLst>
            <a:ext uri="{FF2B5EF4-FFF2-40B4-BE49-F238E27FC236}">
              <a16:creationId xmlns:a16="http://schemas.microsoft.com/office/drawing/2014/main" id="{00000000-0008-0000-0100-00002F210000}"/>
            </a:ext>
          </a:extLst>
        </xdr:cNvPr>
        <xdr:cNvPicPr>
          <a:picLocks noChangeAspect="1" noChangeArrowheads="1"/>
        </xdr:cNvPicPr>
      </xdr:nvPicPr>
      <xdr:blipFill>
        <a:blip xmlns:r="http://schemas.openxmlformats.org/officeDocument/2006/relationships" r:embed="rId1"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4267200" y="0"/>
          <a:ext cx="1895475"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704850</xdr:colOff>
      <xdr:row>0</xdr:row>
      <xdr:rowOff>0</xdr:rowOff>
    </xdr:from>
    <xdr:to>
      <xdr:col>6</xdr:col>
      <xdr:colOff>952500</xdr:colOff>
      <xdr:row>2</xdr:row>
      <xdr:rowOff>142875</xdr:rowOff>
    </xdr:to>
    <xdr:pic>
      <xdr:nvPicPr>
        <xdr:cNvPr id="22599" name="Picture 6">
          <a:extLst>
            <a:ext uri="{FF2B5EF4-FFF2-40B4-BE49-F238E27FC236}">
              <a16:creationId xmlns:a16="http://schemas.microsoft.com/office/drawing/2014/main" id="{00000000-0008-0000-0700-0000475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5175" y="0"/>
          <a:ext cx="12287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704850</xdr:colOff>
      <xdr:row>0</xdr:row>
      <xdr:rowOff>0</xdr:rowOff>
    </xdr:from>
    <xdr:to>
      <xdr:col>6</xdr:col>
      <xdr:colOff>952500</xdr:colOff>
      <xdr:row>2</xdr:row>
      <xdr:rowOff>142875</xdr:rowOff>
    </xdr:to>
    <xdr:pic>
      <xdr:nvPicPr>
        <xdr:cNvPr id="23605" name="Picture 3">
          <a:extLst>
            <a:ext uri="{FF2B5EF4-FFF2-40B4-BE49-F238E27FC236}">
              <a16:creationId xmlns:a16="http://schemas.microsoft.com/office/drawing/2014/main" id="{00000000-0008-0000-0800-0000355C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15175" y="0"/>
          <a:ext cx="12287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Dstratton\Local%20Settings\Temporary%20Internet%20Files\OLKD1\MX7007%20Moon%20Palace%20Upgrade%20Job%201072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sisventas\Publica\Documents%20and%20Settings\jorgeh.PRESER\Configuraci&#243;n%20local\Archivos%20temporales%20de%20Internet\OLKBA\WINDOWS\Archivos%20temporales%20de%20Internet\OLK5232\Cotizaciones\J%20K%20L\lightspanCONTABILIDA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Dstratton\Local%20Settings\Temporary%20Internet%20Files\OLKD1\EventProfitabilityTool-w-Instructions%2008-14-06-New%20H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Evaluation"/>
      <sheetName val="DETAIL OF PURCHASES"/>
      <sheetName val="Item List"/>
      <sheetName val="Asset Maintenance Form (AMF)"/>
      <sheetName val="Kit List"/>
      <sheetName val="purchasing"/>
    </sheetNames>
    <sheetDataSet>
      <sheetData sheetId="0"/>
      <sheetData sheetId="1"/>
      <sheetData sheetId="2"/>
      <sheetData sheetId="3">
        <row r="2">
          <cell r="E2">
            <v>100035</v>
          </cell>
        </row>
        <row r="3">
          <cell r="E3">
            <v>100065</v>
          </cell>
        </row>
        <row r="4">
          <cell r="E4">
            <v>100067</v>
          </cell>
        </row>
        <row r="5">
          <cell r="E5">
            <v>100075</v>
          </cell>
        </row>
        <row r="6">
          <cell r="E6">
            <v>100085</v>
          </cell>
        </row>
        <row r="7">
          <cell r="E7">
            <v>100086</v>
          </cell>
        </row>
        <row r="8">
          <cell r="E8">
            <v>100087</v>
          </cell>
        </row>
        <row r="9">
          <cell r="E9">
            <v>100088</v>
          </cell>
        </row>
        <row r="10">
          <cell r="E10">
            <v>100226</v>
          </cell>
        </row>
        <row r="11">
          <cell r="E11">
            <v>100227</v>
          </cell>
        </row>
        <row r="12">
          <cell r="E12">
            <v>100228</v>
          </cell>
        </row>
        <row r="13">
          <cell r="E13">
            <v>100230</v>
          </cell>
        </row>
        <row r="14">
          <cell r="E14">
            <v>100231</v>
          </cell>
        </row>
        <row r="15">
          <cell r="E15">
            <v>100232</v>
          </cell>
        </row>
        <row r="16">
          <cell r="E16">
            <v>100233</v>
          </cell>
        </row>
        <row r="17">
          <cell r="E17">
            <v>100235</v>
          </cell>
        </row>
        <row r="18">
          <cell r="E18">
            <v>100238</v>
          </cell>
        </row>
        <row r="19">
          <cell r="E19">
            <v>100242</v>
          </cell>
        </row>
        <row r="20">
          <cell r="E20">
            <v>100243</v>
          </cell>
        </row>
        <row r="21">
          <cell r="E21">
            <v>100253</v>
          </cell>
        </row>
        <row r="22">
          <cell r="E22">
            <v>100256</v>
          </cell>
        </row>
        <row r="23">
          <cell r="E23">
            <v>100262</v>
          </cell>
        </row>
        <row r="24">
          <cell r="E24">
            <v>100264</v>
          </cell>
        </row>
        <row r="25">
          <cell r="E25">
            <v>100269</v>
          </cell>
        </row>
        <row r="26">
          <cell r="E26">
            <v>100275</v>
          </cell>
        </row>
        <row r="27">
          <cell r="E27">
            <v>100277</v>
          </cell>
        </row>
        <row r="28">
          <cell r="E28">
            <v>100278</v>
          </cell>
        </row>
        <row r="29">
          <cell r="E29">
            <v>100372</v>
          </cell>
        </row>
        <row r="30">
          <cell r="E30">
            <v>100373</v>
          </cell>
        </row>
        <row r="31">
          <cell r="E31">
            <v>100375</v>
          </cell>
        </row>
        <row r="32">
          <cell r="E32">
            <v>100395</v>
          </cell>
        </row>
        <row r="33">
          <cell r="E33">
            <v>100400</v>
          </cell>
        </row>
        <row r="34">
          <cell r="E34">
            <v>100404</v>
          </cell>
        </row>
        <row r="35">
          <cell r="E35">
            <v>100408</v>
          </cell>
        </row>
        <row r="36">
          <cell r="E36">
            <v>100409</v>
          </cell>
        </row>
        <row r="37">
          <cell r="E37">
            <v>100426</v>
          </cell>
        </row>
        <row r="38">
          <cell r="E38">
            <v>100427</v>
          </cell>
        </row>
        <row r="39">
          <cell r="E39">
            <v>100428</v>
          </cell>
        </row>
        <row r="40">
          <cell r="E40">
            <v>100429</v>
          </cell>
        </row>
        <row r="41">
          <cell r="E41">
            <v>100527</v>
          </cell>
        </row>
        <row r="42">
          <cell r="E42">
            <v>100532</v>
          </cell>
        </row>
        <row r="43">
          <cell r="E43">
            <v>100540</v>
          </cell>
        </row>
        <row r="44">
          <cell r="E44">
            <v>100542</v>
          </cell>
        </row>
        <row r="45">
          <cell r="E45">
            <v>100544</v>
          </cell>
        </row>
        <row r="46">
          <cell r="E46">
            <v>100545</v>
          </cell>
        </row>
        <row r="47">
          <cell r="E47">
            <v>100546</v>
          </cell>
        </row>
        <row r="48">
          <cell r="E48">
            <v>100547</v>
          </cell>
        </row>
        <row r="49">
          <cell r="E49">
            <v>100581</v>
          </cell>
        </row>
        <row r="50">
          <cell r="E50">
            <v>100582</v>
          </cell>
        </row>
        <row r="51">
          <cell r="E51">
            <v>100594</v>
          </cell>
        </row>
        <row r="52">
          <cell r="E52">
            <v>100595</v>
          </cell>
        </row>
        <row r="53">
          <cell r="E53">
            <v>100596</v>
          </cell>
        </row>
        <row r="54">
          <cell r="E54">
            <v>100597</v>
          </cell>
        </row>
        <row r="55">
          <cell r="E55">
            <v>100598</v>
          </cell>
        </row>
        <row r="56">
          <cell r="E56">
            <v>100600</v>
          </cell>
        </row>
        <row r="57">
          <cell r="E57">
            <v>100601</v>
          </cell>
        </row>
        <row r="58">
          <cell r="E58">
            <v>100602</v>
          </cell>
        </row>
        <row r="59">
          <cell r="E59">
            <v>100609</v>
          </cell>
        </row>
        <row r="60">
          <cell r="E60">
            <v>100611</v>
          </cell>
        </row>
        <row r="61">
          <cell r="E61">
            <v>100615</v>
          </cell>
        </row>
        <row r="62">
          <cell r="E62">
            <v>100621</v>
          </cell>
        </row>
        <row r="63">
          <cell r="E63">
            <v>100622</v>
          </cell>
        </row>
        <row r="64">
          <cell r="E64">
            <v>100623</v>
          </cell>
        </row>
        <row r="65">
          <cell r="E65">
            <v>100629</v>
          </cell>
        </row>
        <row r="66">
          <cell r="E66">
            <v>100630</v>
          </cell>
        </row>
        <row r="67">
          <cell r="E67">
            <v>100633</v>
          </cell>
        </row>
        <row r="68">
          <cell r="E68">
            <v>100634</v>
          </cell>
        </row>
        <row r="69">
          <cell r="E69">
            <v>100637</v>
          </cell>
        </row>
        <row r="70">
          <cell r="E70">
            <v>100638</v>
          </cell>
        </row>
        <row r="71">
          <cell r="E71">
            <v>100640</v>
          </cell>
        </row>
        <row r="72">
          <cell r="E72">
            <v>100645</v>
          </cell>
        </row>
        <row r="73">
          <cell r="E73">
            <v>100646</v>
          </cell>
        </row>
        <row r="74">
          <cell r="E74">
            <v>100650</v>
          </cell>
        </row>
        <row r="75">
          <cell r="E75">
            <v>100653</v>
          </cell>
        </row>
        <row r="76">
          <cell r="E76">
            <v>100670</v>
          </cell>
        </row>
        <row r="77">
          <cell r="E77">
            <v>100672</v>
          </cell>
        </row>
        <row r="78">
          <cell r="E78">
            <v>100675</v>
          </cell>
        </row>
        <row r="79">
          <cell r="E79">
            <v>100676</v>
          </cell>
        </row>
        <row r="80">
          <cell r="E80">
            <v>100705</v>
          </cell>
        </row>
        <row r="81">
          <cell r="E81">
            <v>100725</v>
          </cell>
        </row>
        <row r="82">
          <cell r="E82">
            <v>100726</v>
          </cell>
        </row>
        <row r="83">
          <cell r="E83">
            <v>100727</v>
          </cell>
        </row>
        <row r="84">
          <cell r="E84">
            <v>100728</v>
          </cell>
        </row>
        <row r="85">
          <cell r="E85">
            <v>100822</v>
          </cell>
        </row>
        <row r="86">
          <cell r="E86">
            <v>100823</v>
          </cell>
        </row>
        <row r="87">
          <cell r="E87">
            <v>100825</v>
          </cell>
        </row>
        <row r="88">
          <cell r="E88">
            <v>100827</v>
          </cell>
        </row>
        <row r="89">
          <cell r="E89">
            <v>100828</v>
          </cell>
        </row>
        <row r="90">
          <cell r="E90">
            <v>100829</v>
          </cell>
        </row>
        <row r="91">
          <cell r="E91">
            <v>100830</v>
          </cell>
        </row>
        <row r="92">
          <cell r="E92">
            <v>100831</v>
          </cell>
        </row>
        <row r="93">
          <cell r="E93">
            <v>100832</v>
          </cell>
        </row>
        <row r="94">
          <cell r="E94">
            <v>100833</v>
          </cell>
        </row>
        <row r="95">
          <cell r="E95">
            <v>100834</v>
          </cell>
        </row>
        <row r="96">
          <cell r="E96">
            <v>100835</v>
          </cell>
        </row>
        <row r="97">
          <cell r="E97">
            <v>100836</v>
          </cell>
        </row>
        <row r="98">
          <cell r="E98">
            <v>100837</v>
          </cell>
        </row>
        <row r="99">
          <cell r="E99">
            <v>100839</v>
          </cell>
        </row>
        <row r="100">
          <cell r="E100">
            <v>100840</v>
          </cell>
        </row>
        <row r="101">
          <cell r="E101">
            <v>100841</v>
          </cell>
        </row>
        <row r="102">
          <cell r="E102">
            <v>100842</v>
          </cell>
        </row>
        <row r="103">
          <cell r="E103">
            <v>100843</v>
          </cell>
        </row>
        <row r="104">
          <cell r="E104">
            <v>100844</v>
          </cell>
        </row>
        <row r="105">
          <cell r="E105">
            <v>100845</v>
          </cell>
        </row>
        <row r="106">
          <cell r="E106">
            <v>100866</v>
          </cell>
        </row>
        <row r="107">
          <cell r="E107">
            <v>100874</v>
          </cell>
        </row>
        <row r="108">
          <cell r="E108">
            <v>100882</v>
          </cell>
        </row>
        <row r="109">
          <cell r="E109">
            <v>100886</v>
          </cell>
        </row>
        <row r="110">
          <cell r="E110">
            <v>100888</v>
          </cell>
        </row>
        <row r="111">
          <cell r="E111">
            <v>100892</v>
          </cell>
        </row>
        <row r="112">
          <cell r="E112">
            <v>100893</v>
          </cell>
        </row>
        <row r="113">
          <cell r="E113">
            <v>100907</v>
          </cell>
        </row>
        <row r="114">
          <cell r="E114">
            <v>100908</v>
          </cell>
        </row>
        <row r="115">
          <cell r="E115">
            <v>100909</v>
          </cell>
        </row>
        <row r="116">
          <cell r="E116">
            <v>100913</v>
          </cell>
        </row>
        <row r="117">
          <cell r="E117">
            <v>100914</v>
          </cell>
        </row>
        <row r="118">
          <cell r="E118">
            <v>100915</v>
          </cell>
        </row>
        <row r="119">
          <cell r="E119">
            <v>100916</v>
          </cell>
        </row>
        <row r="120">
          <cell r="E120">
            <v>100917</v>
          </cell>
        </row>
        <row r="121">
          <cell r="E121">
            <v>100918</v>
          </cell>
        </row>
        <row r="122">
          <cell r="E122">
            <v>100919</v>
          </cell>
        </row>
        <row r="123">
          <cell r="E123">
            <v>100927</v>
          </cell>
        </row>
        <row r="124">
          <cell r="E124">
            <v>100928</v>
          </cell>
        </row>
        <row r="125">
          <cell r="E125">
            <v>100929</v>
          </cell>
        </row>
        <row r="126">
          <cell r="E126">
            <v>100931</v>
          </cell>
        </row>
        <row r="127">
          <cell r="E127">
            <v>100932</v>
          </cell>
        </row>
        <row r="128">
          <cell r="E128">
            <v>100939</v>
          </cell>
        </row>
        <row r="129">
          <cell r="E129">
            <v>100940</v>
          </cell>
        </row>
        <row r="130">
          <cell r="E130">
            <v>100941</v>
          </cell>
        </row>
        <row r="131">
          <cell r="E131">
            <v>100970</v>
          </cell>
        </row>
        <row r="132">
          <cell r="E132">
            <v>100973</v>
          </cell>
        </row>
        <row r="133">
          <cell r="E133">
            <v>100982</v>
          </cell>
        </row>
        <row r="134">
          <cell r="E134">
            <v>100998</v>
          </cell>
        </row>
        <row r="135">
          <cell r="E135">
            <v>100999</v>
          </cell>
        </row>
        <row r="136">
          <cell r="E136">
            <v>101009</v>
          </cell>
        </row>
        <row r="137">
          <cell r="E137">
            <v>101010</v>
          </cell>
        </row>
        <row r="138">
          <cell r="E138">
            <v>101013</v>
          </cell>
        </row>
        <row r="139">
          <cell r="E139">
            <v>101014</v>
          </cell>
        </row>
        <row r="140">
          <cell r="E140">
            <v>101015</v>
          </cell>
        </row>
        <row r="141">
          <cell r="E141">
            <v>101016</v>
          </cell>
        </row>
        <row r="142">
          <cell r="E142">
            <v>101017</v>
          </cell>
        </row>
        <row r="143">
          <cell r="E143">
            <v>101018</v>
          </cell>
        </row>
        <row r="144">
          <cell r="E144">
            <v>101019</v>
          </cell>
        </row>
        <row r="145">
          <cell r="E145">
            <v>101020</v>
          </cell>
        </row>
        <row r="146">
          <cell r="E146">
            <v>101032</v>
          </cell>
        </row>
        <row r="147">
          <cell r="E147">
            <v>101033</v>
          </cell>
        </row>
        <row r="148">
          <cell r="E148">
            <v>101042</v>
          </cell>
        </row>
        <row r="149">
          <cell r="E149">
            <v>101049</v>
          </cell>
        </row>
        <row r="150">
          <cell r="E150">
            <v>101061</v>
          </cell>
        </row>
        <row r="151">
          <cell r="E151">
            <v>101062</v>
          </cell>
        </row>
        <row r="152">
          <cell r="E152">
            <v>101063</v>
          </cell>
        </row>
        <row r="153">
          <cell r="E153">
            <v>101077</v>
          </cell>
        </row>
        <row r="154">
          <cell r="E154">
            <v>101078</v>
          </cell>
        </row>
        <row r="155">
          <cell r="E155">
            <v>101085</v>
          </cell>
        </row>
        <row r="156">
          <cell r="E156">
            <v>101086</v>
          </cell>
        </row>
        <row r="157">
          <cell r="E157">
            <v>101087</v>
          </cell>
        </row>
        <row r="158">
          <cell r="E158">
            <v>101088</v>
          </cell>
        </row>
        <row r="159">
          <cell r="E159">
            <v>101090</v>
          </cell>
        </row>
        <row r="160">
          <cell r="E160">
            <v>101100</v>
          </cell>
        </row>
        <row r="161">
          <cell r="E161">
            <v>101102</v>
          </cell>
        </row>
        <row r="162">
          <cell r="E162">
            <v>101103</v>
          </cell>
        </row>
        <row r="163">
          <cell r="E163">
            <v>101190</v>
          </cell>
        </row>
        <row r="164">
          <cell r="E164">
            <v>101242</v>
          </cell>
        </row>
        <row r="165">
          <cell r="E165">
            <v>101244</v>
          </cell>
        </row>
        <row r="166">
          <cell r="E166">
            <v>101250</v>
          </cell>
        </row>
        <row r="167">
          <cell r="E167">
            <v>101251</v>
          </cell>
        </row>
        <row r="168">
          <cell r="E168">
            <v>101252</v>
          </cell>
        </row>
        <row r="169">
          <cell r="E169">
            <v>101253</v>
          </cell>
        </row>
        <row r="170">
          <cell r="E170">
            <v>101254</v>
          </cell>
        </row>
        <row r="171">
          <cell r="E171">
            <v>101256</v>
          </cell>
        </row>
        <row r="172">
          <cell r="E172">
            <v>101257</v>
          </cell>
        </row>
        <row r="173">
          <cell r="E173">
            <v>101258</v>
          </cell>
        </row>
        <row r="174">
          <cell r="E174">
            <v>101260</v>
          </cell>
        </row>
        <row r="175">
          <cell r="E175">
            <v>101262</v>
          </cell>
        </row>
        <row r="176">
          <cell r="E176">
            <v>101264</v>
          </cell>
        </row>
        <row r="177">
          <cell r="E177">
            <v>101265</v>
          </cell>
        </row>
        <row r="178">
          <cell r="E178">
            <v>101295</v>
          </cell>
        </row>
        <row r="179">
          <cell r="E179">
            <v>101296</v>
          </cell>
        </row>
        <row r="180">
          <cell r="E180">
            <v>101297</v>
          </cell>
        </row>
        <row r="181">
          <cell r="E181">
            <v>101298</v>
          </cell>
        </row>
        <row r="182">
          <cell r="E182">
            <v>101299</v>
          </cell>
        </row>
        <row r="183">
          <cell r="E183">
            <v>101305</v>
          </cell>
        </row>
        <row r="184">
          <cell r="E184">
            <v>101310</v>
          </cell>
        </row>
        <row r="185">
          <cell r="E185">
            <v>101326</v>
          </cell>
        </row>
        <row r="186">
          <cell r="E186">
            <v>101327</v>
          </cell>
        </row>
        <row r="187">
          <cell r="E187">
            <v>101332</v>
          </cell>
        </row>
        <row r="188">
          <cell r="E188">
            <v>101333</v>
          </cell>
        </row>
        <row r="189">
          <cell r="E189">
            <v>101334</v>
          </cell>
        </row>
        <row r="190">
          <cell r="E190">
            <v>101335</v>
          </cell>
        </row>
        <row r="191">
          <cell r="E191">
            <v>101341</v>
          </cell>
        </row>
        <row r="192">
          <cell r="E192">
            <v>101342</v>
          </cell>
        </row>
        <row r="193">
          <cell r="E193">
            <v>101343</v>
          </cell>
        </row>
        <row r="194">
          <cell r="E194">
            <v>101358</v>
          </cell>
        </row>
        <row r="195">
          <cell r="E195">
            <v>101360</v>
          </cell>
        </row>
        <row r="196">
          <cell r="E196">
            <v>101363</v>
          </cell>
        </row>
        <row r="197">
          <cell r="E197">
            <v>101371</v>
          </cell>
        </row>
        <row r="198">
          <cell r="E198">
            <v>101372</v>
          </cell>
        </row>
        <row r="199">
          <cell r="E199">
            <v>101373</v>
          </cell>
        </row>
        <row r="200">
          <cell r="E200">
            <v>101374</v>
          </cell>
        </row>
        <row r="201">
          <cell r="E201">
            <v>101404</v>
          </cell>
        </row>
        <row r="202">
          <cell r="E202">
            <v>101405</v>
          </cell>
        </row>
        <row r="203">
          <cell r="E203">
            <v>101406</v>
          </cell>
        </row>
        <row r="204">
          <cell r="E204">
            <v>101409</v>
          </cell>
        </row>
        <row r="205">
          <cell r="E205">
            <v>101448</v>
          </cell>
        </row>
        <row r="206">
          <cell r="E206">
            <v>101452</v>
          </cell>
        </row>
        <row r="207">
          <cell r="E207">
            <v>101453</v>
          </cell>
        </row>
        <row r="208">
          <cell r="E208">
            <v>101454</v>
          </cell>
        </row>
        <row r="209">
          <cell r="E209">
            <v>101455</v>
          </cell>
        </row>
        <row r="210">
          <cell r="E210">
            <v>101457</v>
          </cell>
        </row>
        <row r="211">
          <cell r="E211">
            <v>101470</v>
          </cell>
        </row>
        <row r="212">
          <cell r="E212">
            <v>101471</v>
          </cell>
        </row>
        <row r="213">
          <cell r="E213">
            <v>101472</v>
          </cell>
        </row>
        <row r="214">
          <cell r="E214">
            <v>101473</v>
          </cell>
        </row>
        <row r="215">
          <cell r="E215">
            <v>101493</v>
          </cell>
        </row>
        <row r="216">
          <cell r="E216">
            <v>101524</v>
          </cell>
        </row>
        <row r="217">
          <cell r="E217">
            <v>101526</v>
          </cell>
        </row>
        <row r="218">
          <cell r="E218">
            <v>101552</v>
          </cell>
        </row>
        <row r="219">
          <cell r="E219">
            <v>101566</v>
          </cell>
        </row>
        <row r="220">
          <cell r="E220">
            <v>101579</v>
          </cell>
        </row>
        <row r="221">
          <cell r="E221">
            <v>101582</v>
          </cell>
        </row>
        <row r="222">
          <cell r="E222">
            <v>101596</v>
          </cell>
        </row>
        <row r="223">
          <cell r="E223">
            <v>101597</v>
          </cell>
        </row>
        <row r="224">
          <cell r="E224">
            <v>101714</v>
          </cell>
        </row>
        <row r="225">
          <cell r="E225">
            <v>101716</v>
          </cell>
        </row>
        <row r="226">
          <cell r="E226">
            <v>101718</v>
          </cell>
        </row>
        <row r="227">
          <cell r="E227">
            <v>101719</v>
          </cell>
        </row>
        <row r="228">
          <cell r="E228">
            <v>101720</v>
          </cell>
        </row>
        <row r="229">
          <cell r="E229">
            <v>101721</v>
          </cell>
        </row>
        <row r="230">
          <cell r="E230">
            <v>101722</v>
          </cell>
        </row>
        <row r="231">
          <cell r="E231">
            <v>101723</v>
          </cell>
        </row>
        <row r="232">
          <cell r="E232">
            <v>101725</v>
          </cell>
        </row>
        <row r="233">
          <cell r="E233">
            <v>101737</v>
          </cell>
        </row>
        <row r="234">
          <cell r="E234">
            <v>101762</v>
          </cell>
        </row>
        <row r="235">
          <cell r="E235">
            <v>101763</v>
          </cell>
        </row>
        <row r="236">
          <cell r="E236">
            <v>101764</v>
          </cell>
        </row>
        <row r="237">
          <cell r="E237">
            <v>101770</v>
          </cell>
        </row>
        <row r="238">
          <cell r="E238">
            <v>101778</v>
          </cell>
        </row>
        <row r="239">
          <cell r="E239">
            <v>101801</v>
          </cell>
        </row>
        <row r="240">
          <cell r="E240">
            <v>101806</v>
          </cell>
        </row>
        <row r="241">
          <cell r="E241">
            <v>101810</v>
          </cell>
        </row>
        <row r="242">
          <cell r="E242">
            <v>101814</v>
          </cell>
        </row>
        <row r="243">
          <cell r="E243">
            <v>101817</v>
          </cell>
        </row>
        <row r="244">
          <cell r="E244">
            <v>101866</v>
          </cell>
        </row>
        <row r="245">
          <cell r="E245">
            <v>101867</v>
          </cell>
        </row>
        <row r="246">
          <cell r="E246">
            <v>101868</v>
          </cell>
        </row>
        <row r="247">
          <cell r="E247">
            <v>101869</v>
          </cell>
        </row>
        <row r="248">
          <cell r="E248">
            <v>101870</v>
          </cell>
        </row>
        <row r="249">
          <cell r="E249">
            <v>101871</v>
          </cell>
        </row>
        <row r="250">
          <cell r="E250">
            <v>101872</v>
          </cell>
        </row>
        <row r="251">
          <cell r="E251">
            <v>101881</v>
          </cell>
        </row>
        <row r="252">
          <cell r="E252">
            <v>101899</v>
          </cell>
        </row>
        <row r="253">
          <cell r="E253">
            <v>101900</v>
          </cell>
        </row>
        <row r="254">
          <cell r="E254">
            <v>101901</v>
          </cell>
        </row>
        <row r="255">
          <cell r="E255">
            <v>101902</v>
          </cell>
        </row>
        <row r="256">
          <cell r="E256">
            <v>101903</v>
          </cell>
        </row>
        <row r="257">
          <cell r="E257">
            <v>101921</v>
          </cell>
        </row>
        <row r="258">
          <cell r="E258">
            <v>101923</v>
          </cell>
        </row>
        <row r="259">
          <cell r="E259">
            <v>102007</v>
          </cell>
        </row>
        <row r="260">
          <cell r="E260">
            <v>102009</v>
          </cell>
        </row>
        <row r="261">
          <cell r="E261">
            <v>102011</v>
          </cell>
        </row>
        <row r="262">
          <cell r="E262">
            <v>102015</v>
          </cell>
        </row>
        <row r="263">
          <cell r="E263">
            <v>102016</v>
          </cell>
        </row>
        <row r="264">
          <cell r="E264">
            <v>102017</v>
          </cell>
        </row>
        <row r="265">
          <cell r="E265">
            <v>102018</v>
          </cell>
        </row>
        <row r="266">
          <cell r="E266">
            <v>102025</v>
          </cell>
        </row>
        <row r="267">
          <cell r="E267">
            <v>102029</v>
          </cell>
        </row>
        <row r="268">
          <cell r="E268">
            <v>102052</v>
          </cell>
        </row>
        <row r="269">
          <cell r="E269">
            <v>102055</v>
          </cell>
        </row>
        <row r="270">
          <cell r="E270">
            <v>102056</v>
          </cell>
        </row>
        <row r="271">
          <cell r="E271">
            <v>102062</v>
          </cell>
        </row>
        <row r="272">
          <cell r="E272">
            <v>102071</v>
          </cell>
        </row>
        <row r="273">
          <cell r="E273">
            <v>102076</v>
          </cell>
        </row>
        <row r="274">
          <cell r="E274">
            <v>102080</v>
          </cell>
        </row>
        <row r="275">
          <cell r="E275">
            <v>102081</v>
          </cell>
        </row>
        <row r="276">
          <cell r="E276">
            <v>102112</v>
          </cell>
        </row>
        <row r="277">
          <cell r="E277">
            <v>102122</v>
          </cell>
        </row>
        <row r="278">
          <cell r="E278">
            <v>102126</v>
          </cell>
        </row>
        <row r="279">
          <cell r="E279">
            <v>102146</v>
          </cell>
        </row>
        <row r="280">
          <cell r="E280">
            <v>102174</v>
          </cell>
        </row>
        <row r="281">
          <cell r="E281">
            <v>102189</v>
          </cell>
        </row>
        <row r="282">
          <cell r="E282">
            <v>102194</v>
          </cell>
        </row>
        <row r="283">
          <cell r="E283">
            <v>102200</v>
          </cell>
        </row>
        <row r="284">
          <cell r="E284">
            <v>102205</v>
          </cell>
        </row>
        <row r="285">
          <cell r="E285">
            <v>102221</v>
          </cell>
        </row>
        <row r="286">
          <cell r="E286">
            <v>102227</v>
          </cell>
        </row>
        <row r="287">
          <cell r="E287">
            <v>102264</v>
          </cell>
        </row>
        <row r="288">
          <cell r="E288">
            <v>102298</v>
          </cell>
        </row>
        <row r="289">
          <cell r="E289">
            <v>102318</v>
          </cell>
        </row>
        <row r="290">
          <cell r="E290">
            <v>102335</v>
          </cell>
        </row>
        <row r="291">
          <cell r="E291">
            <v>102336</v>
          </cell>
        </row>
        <row r="292">
          <cell r="E292">
            <v>102338</v>
          </cell>
        </row>
        <row r="293">
          <cell r="E293">
            <v>102345</v>
          </cell>
        </row>
        <row r="294">
          <cell r="E294">
            <v>102359</v>
          </cell>
        </row>
        <row r="295">
          <cell r="E295">
            <v>102361</v>
          </cell>
        </row>
        <row r="296">
          <cell r="E296">
            <v>102364</v>
          </cell>
        </row>
        <row r="297">
          <cell r="E297">
            <v>102365</v>
          </cell>
        </row>
        <row r="298">
          <cell r="E298">
            <v>102366</v>
          </cell>
        </row>
        <row r="299">
          <cell r="E299">
            <v>102367</v>
          </cell>
        </row>
        <row r="300">
          <cell r="E300">
            <v>102386</v>
          </cell>
        </row>
        <row r="301">
          <cell r="E301">
            <v>102421</v>
          </cell>
        </row>
        <row r="302">
          <cell r="E302">
            <v>102438</v>
          </cell>
        </row>
        <row r="303">
          <cell r="E303">
            <v>102455</v>
          </cell>
        </row>
        <row r="304">
          <cell r="E304">
            <v>102465</v>
          </cell>
        </row>
        <row r="305">
          <cell r="E305">
            <v>102493</v>
          </cell>
        </row>
        <row r="306">
          <cell r="E306">
            <v>102494</v>
          </cell>
        </row>
        <row r="307">
          <cell r="E307">
            <v>102509</v>
          </cell>
        </row>
        <row r="308">
          <cell r="E308">
            <v>102522</v>
          </cell>
        </row>
        <row r="309">
          <cell r="E309">
            <v>102540</v>
          </cell>
        </row>
        <row r="310">
          <cell r="E310">
            <v>102541</v>
          </cell>
        </row>
        <row r="311">
          <cell r="E311">
            <v>102543</v>
          </cell>
        </row>
        <row r="312">
          <cell r="E312">
            <v>102544</v>
          </cell>
        </row>
        <row r="313">
          <cell r="E313">
            <v>102545</v>
          </cell>
        </row>
        <row r="314">
          <cell r="E314">
            <v>102547</v>
          </cell>
        </row>
        <row r="315">
          <cell r="E315">
            <v>102548</v>
          </cell>
        </row>
        <row r="316">
          <cell r="E316">
            <v>102552</v>
          </cell>
        </row>
        <row r="317">
          <cell r="E317">
            <v>102553</v>
          </cell>
        </row>
        <row r="318">
          <cell r="E318">
            <v>102564</v>
          </cell>
        </row>
        <row r="319">
          <cell r="E319">
            <v>102572</v>
          </cell>
        </row>
        <row r="320">
          <cell r="E320">
            <v>102573</v>
          </cell>
        </row>
        <row r="321">
          <cell r="E321">
            <v>102589</v>
          </cell>
        </row>
        <row r="322">
          <cell r="E322">
            <v>102591</v>
          </cell>
        </row>
        <row r="323">
          <cell r="E323">
            <v>102592</v>
          </cell>
        </row>
        <row r="324">
          <cell r="E324">
            <v>102593</v>
          </cell>
        </row>
        <row r="325">
          <cell r="E325">
            <v>102596</v>
          </cell>
        </row>
        <row r="326">
          <cell r="E326">
            <v>102626</v>
          </cell>
        </row>
        <row r="327">
          <cell r="E327">
            <v>102627</v>
          </cell>
        </row>
        <row r="328">
          <cell r="E328">
            <v>102631</v>
          </cell>
        </row>
        <row r="329">
          <cell r="E329">
            <v>102634</v>
          </cell>
        </row>
        <row r="330">
          <cell r="E330">
            <v>102635</v>
          </cell>
        </row>
        <row r="331">
          <cell r="E331">
            <v>102636</v>
          </cell>
        </row>
        <row r="332">
          <cell r="E332">
            <v>102641</v>
          </cell>
        </row>
        <row r="333">
          <cell r="E333">
            <v>102642</v>
          </cell>
        </row>
        <row r="334">
          <cell r="E334">
            <v>102645</v>
          </cell>
        </row>
        <row r="335">
          <cell r="E335">
            <v>102646</v>
          </cell>
        </row>
        <row r="336">
          <cell r="E336">
            <v>102647</v>
          </cell>
        </row>
        <row r="337">
          <cell r="E337">
            <v>102648</v>
          </cell>
        </row>
        <row r="338">
          <cell r="E338">
            <v>102649</v>
          </cell>
        </row>
        <row r="339">
          <cell r="E339">
            <v>102650</v>
          </cell>
        </row>
        <row r="340">
          <cell r="E340">
            <v>102671</v>
          </cell>
        </row>
        <row r="341">
          <cell r="E341">
            <v>102672</v>
          </cell>
        </row>
        <row r="342">
          <cell r="E342">
            <v>102674</v>
          </cell>
        </row>
        <row r="343">
          <cell r="E343">
            <v>102695</v>
          </cell>
        </row>
        <row r="344">
          <cell r="E344">
            <v>102696</v>
          </cell>
        </row>
        <row r="345">
          <cell r="E345">
            <v>102699</v>
          </cell>
        </row>
        <row r="346">
          <cell r="E346">
            <v>102706</v>
          </cell>
        </row>
        <row r="347">
          <cell r="E347">
            <v>102712</v>
          </cell>
        </row>
        <row r="348">
          <cell r="E348">
            <v>102713</v>
          </cell>
        </row>
        <row r="349">
          <cell r="E349">
            <v>102722</v>
          </cell>
        </row>
        <row r="350">
          <cell r="E350">
            <v>102726</v>
          </cell>
        </row>
        <row r="351">
          <cell r="E351">
            <v>102761</v>
          </cell>
        </row>
        <row r="352">
          <cell r="E352">
            <v>102772</v>
          </cell>
        </row>
        <row r="353">
          <cell r="E353">
            <v>102773</v>
          </cell>
        </row>
        <row r="354">
          <cell r="E354">
            <v>102774</v>
          </cell>
        </row>
        <row r="355">
          <cell r="E355">
            <v>102776</v>
          </cell>
        </row>
        <row r="356">
          <cell r="E356">
            <v>102777</v>
          </cell>
        </row>
        <row r="357">
          <cell r="E357">
            <v>102801</v>
          </cell>
        </row>
        <row r="358">
          <cell r="E358">
            <v>102804</v>
          </cell>
        </row>
        <row r="359">
          <cell r="E359">
            <v>102805</v>
          </cell>
        </row>
        <row r="360">
          <cell r="E360">
            <v>102807</v>
          </cell>
        </row>
        <row r="361">
          <cell r="E361">
            <v>102808</v>
          </cell>
        </row>
        <row r="362">
          <cell r="E362">
            <v>102809</v>
          </cell>
        </row>
        <row r="363">
          <cell r="E363">
            <v>102882</v>
          </cell>
        </row>
        <row r="364">
          <cell r="E364">
            <v>102899</v>
          </cell>
        </row>
        <row r="365">
          <cell r="E365">
            <v>102919</v>
          </cell>
        </row>
        <row r="366">
          <cell r="E366">
            <v>102946</v>
          </cell>
        </row>
        <row r="367">
          <cell r="E367">
            <v>102947</v>
          </cell>
        </row>
        <row r="368">
          <cell r="E368">
            <v>102954</v>
          </cell>
        </row>
        <row r="369">
          <cell r="E369">
            <v>102955</v>
          </cell>
        </row>
        <row r="370">
          <cell r="E370">
            <v>102957</v>
          </cell>
        </row>
        <row r="371">
          <cell r="E371">
            <v>102958</v>
          </cell>
        </row>
        <row r="372">
          <cell r="E372">
            <v>102959</v>
          </cell>
        </row>
        <row r="373">
          <cell r="E373">
            <v>102964</v>
          </cell>
        </row>
        <row r="374">
          <cell r="E374">
            <v>102972</v>
          </cell>
        </row>
        <row r="375">
          <cell r="E375">
            <v>102974</v>
          </cell>
        </row>
        <row r="376">
          <cell r="E376">
            <v>102980</v>
          </cell>
        </row>
        <row r="377">
          <cell r="E377">
            <v>102987</v>
          </cell>
        </row>
        <row r="378">
          <cell r="E378">
            <v>103010</v>
          </cell>
        </row>
        <row r="379">
          <cell r="E379">
            <v>103011</v>
          </cell>
        </row>
        <row r="380">
          <cell r="E380">
            <v>103012</v>
          </cell>
        </row>
        <row r="381">
          <cell r="E381">
            <v>103013</v>
          </cell>
        </row>
        <row r="382">
          <cell r="E382">
            <v>103014</v>
          </cell>
        </row>
        <row r="383">
          <cell r="E383">
            <v>103015</v>
          </cell>
        </row>
        <row r="384">
          <cell r="E384">
            <v>103018</v>
          </cell>
        </row>
        <row r="385">
          <cell r="E385">
            <v>103020</v>
          </cell>
        </row>
        <row r="386">
          <cell r="E386">
            <v>103021</v>
          </cell>
        </row>
        <row r="387">
          <cell r="E387">
            <v>103022</v>
          </cell>
        </row>
        <row r="388">
          <cell r="E388">
            <v>103023</v>
          </cell>
        </row>
        <row r="389">
          <cell r="E389">
            <v>103024</v>
          </cell>
        </row>
        <row r="390">
          <cell r="E390">
            <v>103030</v>
          </cell>
        </row>
        <row r="391">
          <cell r="E391">
            <v>103040</v>
          </cell>
        </row>
        <row r="392">
          <cell r="E392">
            <v>103041</v>
          </cell>
        </row>
        <row r="393">
          <cell r="E393">
            <v>103042</v>
          </cell>
        </row>
        <row r="394">
          <cell r="E394">
            <v>103044</v>
          </cell>
        </row>
        <row r="395">
          <cell r="E395">
            <v>103046</v>
          </cell>
        </row>
        <row r="396">
          <cell r="E396">
            <v>103056</v>
          </cell>
        </row>
        <row r="397">
          <cell r="E397">
            <v>103057</v>
          </cell>
        </row>
        <row r="398">
          <cell r="E398">
            <v>103060</v>
          </cell>
        </row>
        <row r="399">
          <cell r="E399">
            <v>103064</v>
          </cell>
        </row>
        <row r="400">
          <cell r="E400">
            <v>103065</v>
          </cell>
        </row>
        <row r="401">
          <cell r="E401">
            <v>103066</v>
          </cell>
        </row>
        <row r="402">
          <cell r="E402">
            <v>103067</v>
          </cell>
        </row>
        <row r="403">
          <cell r="E403">
            <v>103068</v>
          </cell>
        </row>
        <row r="404">
          <cell r="E404">
            <v>103069</v>
          </cell>
        </row>
        <row r="405">
          <cell r="E405">
            <v>103070</v>
          </cell>
        </row>
        <row r="406">
          <cell r="E406">
            <v>103074</v>
          </cell>
        </row>
        <row r="407">
          <cell r="E407">
            <v>103075</v>
          </cell>
        </row>
        <row r="408">
          <cell r="E408">
            <v>103076</v>
          </cell>
        </row>
        <row r="409">
          <cell r="E409">
            <v>103077</v>
          </cell>
        </row>
        <row r="410">
          <cell r="E410">
            <v>103078</v>
          </cell>
        </row>
        <row r="411">
          <cell r="E411">
            <v>103079</v>
          </cell>
        </row>
        <row r="412">
          <cell r="E412">
            <v>103083</v>
          </cell>
        </row>
        <row r="413">
          <cell r="E413">
            <v>103084</v>
          </cell>
        </row>
        <row r="414">
          <cell r="E414">
            <v>103085</v>
          </cell>
        </row>
        <row r="415">
          <cell r="E415">
            <v>103086</v>
          </cell>
        </row>
        <row r="416">
          <cell r="E416">
            <v>103087</v>
          </cell>
        </row>
        <row r="417">
          <cell r="E417">
            <v>103088</v>
          </cell>
        </row>
        <row r="418">
          <cell r="E418">
            <v>103089</v>
          </cell>
        </row>
        <row r="419">
          <cell r="E419">
            <v>103094</v>
          </cell>
        </row>
        <row r="420">
          <cell r="E420">
            <v>103096</v>
          </cell>
        </row>
        <row r="421">
          <cell r="E421">
            <v>103100</v>
          </cell>
        </row>
        <row r="422">
          <cell r="E422">
            <v>103110</v>
          </cell>
        </row>
        <row r="423">
          <cell r="E423">
            <v>103127</v>
          </cell>
        </row>
        <row r="424">
          <cell r="E424">
            <v>103138</v>
          </cell>
        </row>
        <row r="425">
          <cell r="E425">
            <v>103139</v>
          </cell>
        </row>
        <row r="426">
          <cell r="E426">
            <v>103140</v>
          </cell>
        </row>
        <row r="427">
          <cell r="E427">
            <v>103141</v>
          </cell>
        </row>
        <row r="428">
          <cell r="E428">
            <v>103149</v>
          </cell>
        </row>
        <row r="429">
          <cell r="E429">
            <v>103158</v>
          </cell>
        </row>
        <row r="430">
          <cell r="E430">
            <v>103159</v>
          </cell>
        </row>
        <row r="431">
          <cell r="E431">
            <v>103160</v>
          </cell>
        </row>
        <row r="432">
          <cell r="E432">
            <v>103162</v>
          </cell>
        </row>
        <row r="433">
          <cell r="E433">
            <v>103180</v>
          </cell>
        </row>
        <row r="434">
          <cell r="E434">
            <v>103191</v>
          </cell>
        </row>
        <row r="435">
          <cell r="E435">
            <v>103194</v>
          </cell>
        </row>
        <row r="436">
          <cell r="E436">
            <v>103204</v>
          </cell>
        </row>
        <row r="437">
          <cell r="E437">
            <v>103217</v>
          </cell>
        </row>
        <row r="438">
          <cell r="E438">
            <v>103231</v>
          </cell>
        </row>
        <row r="439">
          <cell r="E439">
            <v>103232</v>
          </cell>
        </row>
        <row r="440">
          <cell r="E440">
            <v>103248</v>
          </cell>
        </row>
        <row r="441">
          <cell r="E441">
            <v>103253</v>
          </cell>
        </row>
        <row r="442">
          <cell r="E442">
            <v>103254</v>
          </cell>
        </row>
        <row r="443">
          <cell r="E443">
            <v>103259</v>
          </cell>
        </row>
        <row r="444">
          <cell r="E444">
            <v>103260</v>
          </cell>
        </row>
        <row r="445">
          <cell r="E445">
            <v>103264</v>
          </cell>
        </row>
        <row r="446">
          <cell r="E446">
            <v>103280</v>
          </cell>
        </row>
        <row r="447">
          <cell r="E447">
            <v>103284</v>
          </cell>
        </row>
        <row r="448">
          <cell r="E448">
            <v>103296</v>
          </cell>
        </row>
        <row r="449">
          <cell r="E449">
            <v>103308</v>
          </cell>
        </row>
        <row r="450">
          <cell r="E450">
            <v>103310</v>
          </cell>
        </row>
        <row r="451">
          <cell r="E451">
            <v>103312</v>
          </cell>
        </row>
        <row r="452">
          <cell r="E452">
            <v>103313</v>
          </cell>
        </row>
        <row r="453">
          <cell r="E453">
            <v>103322</v>
          </cell>
        </row>
        <row r="454">
          <cell r="E454">
            <v>103324</v>
          </cell>
        </row>
        <row r="455">
          <cell r="E455">
            <v>103354</v>
          </cell>
        </row>
        <row r="456">
          <cell r="E456">
            <v>103386</v>
          </cell>
        </row>
        <row r="457">
          <cell r="E457">
            <v>103388</v>
          </cell>
        </row>
        <row r="458">
          <cell r="E458">
            <v>103397</v>
          </cell>
        </row>
        <row r="459">
          <cell r="E459">
            <v>103400</v>
          </cell>
        </row>
        <row r="460">
          <cell r="E460">
            <v>103402</v>
          </cell>
        </row>
        <row r="461">
          <cell r="E461">
            <v>103405</v>
          </cell>
        </row>
        <row r="462">
          <cell r="E462">
            <v>103407</v>
          </cell>
        </row>
        <row r="463">
          <cell r="E463">
            <v>103411</v>
          </cell>
        </row>
        <row r="464">
          <cell r="E464">
            <v>103416</v>
          </cell>
        </row>
        <row r="465">
          <cell r="E465">
            <v>103417</v>
          </cell>
        </row>
        <row r="466">
          <cell r="E466">
            <v>103429</v>
          </cell>
        </row>
        <row r="467">
          <cell r="E467">
            <v>103435</v>
          </cell>
        </row>
        <row r="468">
          <cell r="E468">
            <v>103437</v>
          </cell>
        </row>
        <row r="469">
          <cell r="E469">
            <v>103440</v>
          </cell>
        </row>
        <row r="470">
          <cell r="E470">
            <v>103442</v>
          </cell>
        </row>
        <row r="471">
          <cell r="E471">
            <v>103444</v>
          </cell>
        </row>
        <row r="472">
          <cell r="E472">
            <v>103447</v>
          </cell>
        </row>
        <row r="473">
          <cell r="E473">
            <v>103448</v>
          </cell>
        </row>
        <row r="474">
          <cell r="E474">
            <v>103465</v>
          </cell>
        </row>
        <row r="475">
          <cell r="E475">
            <v>103467</v>
          </cell>
        </row>
        <row r="476">
          <cell r="E476">
            <v>103483</v>
          </cell>
        </row>
        <row r="477">
          <cell r="E477">
            <v>103484</v>
          </cell>
        </row>
        <row r="478">
          <cell r="E478">
            <v>103485</v>
          </cell>
        </row>
        <row r="479">
          <cell r="E479">
            <v>103491</v>
          </cell>
        </row>
        <row r="480">
          <cell r="E480">
            <v>103492</v>
          </cell>
        </row>
        <row r="481">
          <cell r="E481">
            <v>103507</v>
          </cell>
        </row>
        <row r="482">
          <cell r="E482">
            <v>103508</v>
          </cell>
        </row>
        <row r="483">
          <cell r="E483">
            <v>103510</v>
          </cell>
        </row>
        <row r="484">
          <cell r="E484">
            <v>103512</v>
          </cell>
        </row>
        <row r="485">
          <cell r="E485">
            <v>103514</v>
          </cell>
        </row>
        <row r="486">
          <cell r="E486">
            <v>103518</v>
          </cell>
        </row>
        <row r="487">
          <cell r="E487">
            <v>103519</v>
          </cell>
        </row>
        <row r="488">
          <cell r="E488">
            <v>103536</v>
          </cell>
        </row>
        <row r="489">
          <cell r="E489">
            <v>103563</v>
          </cell>
        </row>
        <row r="490">
          <cell r="E490">
            <v>103576</v>
          </cell>
        </row>
        <row r="491">
          <cell r="E491">
            <v>103593</v>
          </cell>
        </row>
        <row r="492">
          <cell r="E492">
            <v>103594</v>
          </cell>
        </row>
        <row r="493">
          <cell r="E493">
            <v>103600</v>
          </cell>
        </row>
        <row r="494">
          <cell r="E494">
            <v>103610</v>
          </cell>
        </row>
        <row r="495">
          <cell r="E495">
            <v>103611</v>
          </cell>
        </row>
        <row r="496">
          <cell r="E496">
            <v>103616</v>
          </cell>
        </row>
        <row r="497">
          <cell r="E497">
            <v>103618</v>
          </cell>
        </row>
        <row r="498">
          <cell r="E498">
            <v>103620</v>
          </cell>
        </row>
        <row r="499">
          <cell r="E499">
            <v>103632</v>
          </cell>
        </row>
        <row r="500">
          <cell r="E500">
            <v>103634</v>
          </cell>
        </row>
        <row r="501">
          <cell r="E501">
            <v>103651</v>
          </cell>
        </row>
        <row r="502">
          <cell r="E502">
            <v>103653</v>
          </cell>
        </row>
        <row r="503">
          <cell r="E503">
            <v>103660</v>
          </cell>
        </row>
        <row r="504">
          <cell r="E504">
            <v>103663</v>
          </cell>
        </row>
        <row r="505">
          <cell r="E505">
            <v>103668</v>
          </cell>
        </row>
        <row r="506">
          <cell r="E506">
            <v>103675</v>
          </cell>
        </row>
        <row r="507">
          <cell r="E507">
            <v>103676</v>
          </cell>
        </row>
        <row r="508">
          <cell r="E508">
            <v>103685</v>
          </cell>
        </row>
        <row r="509">
          <cell r="E509">
            <v>103686</v>
          </cell>
        </row>
        <row r="510">
          <cell r="E510">
            <v>103692</v>
          </cell>
        </row>
        <row r="511">
          <cell r="E511">
            <v>103697</v>
          </cell>
        </row>
        <row r="512">
          <cell r="E512">
            <v>103702</v>
          </cell>
        </row>
        <row r="513">
          <cell r="E513">
            <v>103711</v>
          </cell>
        </row>
        <row r="514">
          <cell r="E514">
            <v>103743</v>
          </cell>
        </row>
        <row r="515">
          <cell r="E515">
            <v>103744</v>
          </cell>
        </row>
        <row r="516">
          <cell r="E516">
            <v>103773</v>
          </cell>
        </row>
        <row r="517">
          <cell r="E517">
            <v>103781</v>
          </cell>
        </row>
        <row r="518">
          <cell r="E518">
            <v>103783</v>
          </cell>
        </row>
        <row r="519">
          <cell r="E519">
            <v>103785</v>
          </cell>
        </row>
        <row r="520">
          <cell r="E520">
            <v>103786</v>
          </cell>
        </row>
        <row r="521">
          <cell r="E521">
            <v>103788</v>
          </cell>
        </row>
        <row r="522">
          <cell r="E522">
            <v>103790</v>
          </cell>
        </row>
        <row r="523">
          <cell r="E523">
            <v>103792</v>
          </cell>
        </row>
        <row r="524">
          <cell r="E524">
            <v>103793</v>
          </cell>
        </row>
        <row r="525">
          <cell r="E525">
            <v>103795</v>
          </cell>
        </row>
        <row r="526">
          <cell r="E526">
            <v>103821</v>
          </cell>
        </row>
        <row r="527">
          <cell r="E527">
            <v>103840</v>
          </cell>
        </row>
        <row r="528">
          <cell r="E528">
            <v>103859</v>
          </cell>
        </row>
        <row r="529">
          <cell r="E529">
            <v>103866</v>
          </cell>
        </row>
        <row r="530">
          <cell r="E530">
            <v>103867</v>
          </cell>
        </row>
        <row r="531">
          <cell r="E531">
            <v>103874</v>
          </cell>
        </row>
        <row r="532">
          <cell r="E532">
            <v>103875</v>
          </cell>
        </row>
        <row r="533">
          <cell r="E533">
            <v>103877</v>
          </cell>
        </row>
        <row r="534">
          <cell r="E534">
            <v>103880</v>
          </cell>
        </row>
        <row r="535">
          <cell r="E535">
            <v>103887</v>
          </cell>
        </row>
        <row r="536">
          <cell r="E536">
            <v>103902</v>
          </cell>
        </row>
        <row r="537">
          <cell r="E537">
            <v>103922</v>
          </cell>
        </row>
        <row r="538">
          <cell r="E538">
            <v>103926</v>
          </cell>
        </row>
        <row r="539">
          <cell r="E539">
            <v>103927</v>
          </cell>
        </row>
        <row r="540">
          <cell r="E540">
            <v>103932</v>
          </cell>
        </row>
        <row r="541">
          <cell r="E541">
            <v>103962</v>
          </cell>
        </row>
        <row r="542">
          <cell r="E542">
            <v>103964</v>
          </cell>
        </row>
        <row r="543">
          <cell r="E543">
            <v>103975</v>
          </cell>
        </row>
        <row r="544">
          <cell r="E544">
            <v>103989</v>
          </cell>
        </row>
        <row r="545">
          <cell r="E545">
            <v>103990</v>
          </cell>
        </row>
        <row r="546">
          <cell r="E546">
            <v>104002</v>
          </cell>
        </row>
        <row r="547">
          <cell r="E547">
            <v>104005</v>
          </cell>
        </row>
        <row r="548">
          <cell r="E548">
            <v>104036</v>
          </cell>
        </row>
        <row r="549">
          <cell r="E549">
            <v>104039</v>
          </cell>
        </row>
        <row r="550">
          <cell r="E550">
            <v>104065</v>
          </cell>
        </row>
        <row r="551">
          <cell r="E551">
            <v>104066</v>
          </cell>
        </row>
        <row r="552">
          <cell r="E552">
            <v>104079</v>
          </cell>
        </row>
        <row r="553">
          <cell r="E553">
            <v>104080</v>
          </cell>
        </row>
        <row r="554">
          <cell r="E554">
            <v>104081</v>
          </cell>
        </row>
        <row r="555">
          <cell r="E555">
            <v>104082</v>
          </cell>
        </row>
        <row r="556">
          <cell r="E556">
            <v>104083</v>
          </cell>
        </row>
        <row r="557">
          <cell r="E557">
            <v>104084</v>
          </cell>
        </row>
        <row r="558">
          <cell r="E558">
            <v>104085</v>
          </cell>
        </row>
        <row r="559">
          <cell r="E559">
            <v>104086</v>
          </cell>
        </row>
        <row r="560">
          <cell r="E560">
            <v>104089</v>
          </cell>
        </row>
        <row r="561">
          <cell r="E561">
            <v>104090</v>
          </cell>
        </row>
        <row r="562">
          <cell r="E562">
            <v>104091</v>
          </cell>
        </row>
        <row r="563">
          <cell r="E563">
            <v>104092</v>
          </cell>
        </row>
        <row r="564">
          <cell r="E564">
            <v>104096</v>
          </cell>
        </row>
        <row r="565">
          <cell r="E565">
            <v>104097</v>
          </cell>
        </row>
        <row r="566">
          <cell r="E566">
            <v>104115</v>
          </cell>
        </row>
        <row r="567">
          <cell r="E567">
            <v>104119</v>
          </cell>
        </row>
        <row r="568">
          <cell r="E568">
            <v>104120</v>
          </cell>
        </row>
        <row r="569">
          <cell r="E569">
            <v>104121</v>
          </cell>
        </row>
        <row r="570">
          <cell r="E570">
            <v>104122</v>
          </cell>
        </row>
        <row r="571">
          <cell r="E571">
            <v>104132</v>
          </cell>
        </row>
        <row r="572">
          <cell r="E572">
            <v>104133</v>
          </cell>
        </row>
        <row r="573">
          <cell r="E573">
            <v>104139</v>
          </cell>
        </row>
        <row r="574">
          <cell r="E574">
            <v>104143</v>
          </cell>
        </row>
        <row r="575">
          <cell r="E575">
            <v>104147</v>
          </cell>
        </row>
        <row r="576">
          <cell r="E576">
            <v>104148</v>
          </cell>
        </row>
        <row r="577">
          <cell r="E577">
            <v>104152</v>
          </cell>
        </row>
        <row r="578">
          <cell r="E578">
            <v>104155</v>
          </cell>
        </row>
        <row r="579">
          <cell r="E579">
            <v>104161</v>
          </cell>
        </row>
        <row r="580">
          <cell r="E580">
            <v>104182</v>
          </cell>
        </row>
        <row r="581">
          <cell r="E581">
            <v>104193</v>
          </cell>
        </row>
        <row r="582">
          <cell r="E582">
            <v>104201</v>
          </cell>
        </row>
        <row r="583">
          <cell r="E583">
            <v>104206</v>
          </cell>
        </row>
        <row r="584">
          <cell r="E584">
            <v>104215</v>
          </cell>
        </row>
        <row r="585">
          <cell r="E585">
            <v>104229</v>
          </cell>
        </row>
        <row r="586">
          <cell r="E586">
            <v>104234</v>
          </cell>
        </row>
        <row r="587">
          <cell r="E587">
            <v>104237</v>
          </cell>
        </row>
        <row r="588">
          <cell r="E588">
            <v>104238</v>
          </cell>
        </row>
        <row r="589">
          <cell r="E589">
            <v>104249</v>
          </cell>
        </row>
        <row r="590">
          <cell r="E590">
            <v>104254</v>
          </cell>
        </row>
        <row r="591">
          <cell r="E591">
            <v>104260</v>
          </cell>
        </row>
        <row r="592">
          <cell r="E592">
            <v>104262</v>
          </cell>
        </row>
        <row r="593">
          <cell r="E593">
            <v>104263</v>
          </cell>
        </row>
        <row r="594">
          <cell r="E594">
            <v>104268</v>
          </cell>
        </row>
        <row r="595">
          <cell r="E595">
            <v>104269</v>
          </cell>
        </row>
        <row r="596">
          <cell r="E596">
            <v>104273</v>
          </cell>
        </row>
        <row r="597">
          <cell r="E597">
            <v>104290</v>
          </cell>
        </row>
        <row r="598">
          <cell r="E598">
            <v>104292</v>
          </cell>
        </row>
        <row r="599">
          <cell r="E599">
            <v>104296</v>
          </cell>
        </row>
        <row r="600">
          <cell r="E600">
            <v>104299</v>
          </cell>
        </row>
        <row r="601">
          <cell r="E601">
            <v>104344</v>
          </cell>
        </row>
        <row r="602">
          <cell r="E602">
            <v>104366</v>
          </cell>
        </row>
        <row r="603">
          <cell r="E603">
            <v>104370</v>
          </cell>
        </row>
        <row r="604">
          <cell r="E604">
            <v>104374</v>
          </cell>
        </row>
        <row r="605">
          <cell r="E605">
            <v>104376</v>
          </cell>
        </row>
        <row r="606">
          <cell r="E606">
            <v>104377</v>
          </cell>
        </row>
        <row r="607">
          <cell r="E607">
            <v>104378</v>
          </cell>
        </row>
        <row r="608">
          <cell r="E608">
            <v>104388</v>
          </cell>
        </row>
        <row r="609">
          <cell r="E609">
            <v>104402</v>
          </cell>
        </row>
        <row r="610">
          <cell r="E610">
            <v>104408</v>
          </cell>
        </row>
        <row r="611">
          <cell r="E611">
            <v>104409</v>
          </cell>
        </row>
        <row r="612">
          <cell r="E612">
            <v>104410</v>
          </cell>
        </row>
        <row r="613">
          <cell r="E613">
            <v>104414</v>
          </cell>
        </row>
        <row r="614">
          <cell r="E614">
            <v>104415</v>
          </cell>
        </row>
        <row r="615">
          <cell r="E615">
            <v>104418</v>
          </cell>
        </row>
        <row r="616">
          <cell r="E616">
            <v>104419</v>
          </cell>
        </row>
        <row r="617">
          <cell r="E617">
            <v>104420</v>
          </cell>
        </row>
        <row r="618">
          <cell r="E618">
            <v>104422</v>
          </cell>
        </row>
        <row r="619">
          <cell r="E619">
            <v>104424</v>
          </cell>
        </row>
        <row r="620">
          <cell r="E620">
            <v>104428</v>
          </cell>
        </row>
        <row r="621">
          <cell r="E621">
            <v>104430</v>
          </cell>
        </row>
        <row r="622">
          <cell r="E622">
            <v>104438</v>
          </cell>
        </row>
        <row r="623">
          <cell r="E623">
            <v>104441</v>
          </cell>
        </row>
        <row r="624">
          <cell r="E624">
            <v>104442</v>
          </cell>
        </row>
        <row r="625">
          <cell r="E625">
            <v>104490</v>
          </cell>
        </row>
        <row r="626">
          <cell r="E626">
            <v>104491</v>
          </cell>
        </row>
        <row r="627">
          <cell r="E627">
            <v>104492</v>
          </cell>
        </row>
        <row r="628">
          <cell r="E628">
            <v>104495</v>
          </cell>
        </row>
        <row r="629">
          <cell r="E629">
            <v>104500</v>
          </cell>
        </row>
        <row r="630">
          <cell r="E630">
            <v>104501</v>
          </cell>
        </row>
        <row r="631">
          <cell r="E631">
            <v>104510</v>
          </cell>
        </row>
        <row r="632">
          <cell r="E632">
            <v>104511</v>
          </cell>
        </row>
        <row r="633">
          <cell r="E633">
            <v>104512</v>
          </cell>
        </row>
        <row r="634">
          <cell r="E634">
            <v>104521</v>
          </cell>
        </row>
        <row r="635">
          <cell r="E635">
            <v>104525</v>
          </cell>
        </row>
        <row r="636">
          <cell r="E636">
            <v>104542</v>
          </cell>
        </row>
        <row r="637">
          <cell r="E637">
            <v>104547</v>
          </cell>
        </row>
        <row r="638">
          <cell r="E638">
            <v>104550</v>
          </cell>
        </row>
        <row r="639">
          <cell r="E639">
            <v>104552</v>
          </cell>
        </row>
        <row r="640">
          <cell r="E640">
            <v>104553</v>
          </cell>
        </row>
        <row r="641">
          <cell r="E641">
            <v>104555</v>
          </cell>
        </row>
        <row r="642">
          <cell r="E642">
            <v>104556</v>
          </cell>
        </row>
        <row r="643">
          <cell r="E643">
            <v>104557</v>
          </cell>
        </row>
        <row r="644">
          <cell r="E644">
            <v>104559</v>
          </cell>
        </row>
        <row r="645">
          <cell r="E645">
            <v>104560</v>
          </cell>
        </row>
        <row r="646">
          <cell r="E646">
            <v>104563</v>
          </cell>
        </row>
        <row r="647">
          <cell r="E647">
            <v>104574</v>
          </cell>
        </row>
        <row r="648">
          <cell r="E648">
            <v>104576</v>
          </cell>
        </row>
        <row r="649">
          <cell r="E649">
            <v>104583</v>
          </cell>
        </row>
        <row r="650">
          <cell r="E650">
            <v>104597</v>
          </cell>
        </row>
        <row r="651">
          <cell r="E651">
            <v>104598</v>
          </cell>
        </row>
        <row r="652">
          <cell r="E652">
            <v>104599</v>
          </cell>
        </row>
        <row r="653">
          <cell r="E653">
            <v>104600</v>
          </cell>
        </row>
        <row r="654">
          <cell r="E654">
            <v>104601</v>
          </cell>
        </row>
        <row r="655">
          <cell r="E655">
            <v>104604</v>
          </cell>
        </row>
        <row r="656">
          <cell r="E656">
            <v>104605</v>
          </cell>
        </row>
        <row r="657">
          <cell r="E657">
            <v>104613</v>
          </cell>
        </row>
        <row r="658">
          <cell r="E658">
            <v>104619</v>
          </cell>
        </row>
        <row r="659">
          <cell r="E659">
            <v>104620</v>
          </cell>
        </row>
        <row r="660">
          <cell r="E660">
            <v>104622</v>
          </cell>
        </row>
        <row r="661">
          <cell r="E661">
            <v>104623</v>
          </cell>
        </row>
        <row r="662">
          <cell r="E662">
            <v>104624</v>
          </cell>
        </row>
        <row r="663">
          <cell r="E663">
            <v>104628</v>
          </cell>
        </row>
        <row r="664">
          <cell r="E664">
            <v>104632</v>
          </cell>
        </row>
        <row r="665">
          <cell r="E665">
            <v>104633</v>
          </cell>
        </row>
        <row r="666">
          <cell r="E666">
            <v>104634</v>
          </cell>
        </row>
        <row r="667">
          <cell r="E667">
            <v>104636</v>
          </cell>
        </row>
        <row r="668">
          <cell r="E668">
            <v>104639</v>
          </cell>
        </row>
        <row r="669">
          <cell r="E669">
            <v>104652</v>
          </cell>
        </row>
        <row r="670">
          <cell r="E670">
            <v>104654</v>
          </cell>
        </row>
        <row r="671">
          <cell r="E671">
            <v>104660</v>
          </cell>
        </row>
        <row r="672">
          <cell r="E672">
            <v>104673</v>
          </cell>
        </row>
        <row r="673">
          <cell r="E673">
            <v>104674</v>
          </cell>
        </row>
        <row r="674">
          <cell r="E674">
            <v>104675</v>
          </cell>
        </row>
        <row r="675">
          <cell r="E675">
            <v>104678</v>
          </cell>
        </row>
        <row r="676">
          <cell r="E676">
            <v>104688</v>
          </cell>
        </row>
        <row r="677">
          <cell r="E677">
            <v>104692</v>
          </cell>
        </row>
        <row r="678">
          <cell r="E678">
            <v>104693</v>
          </cell>
        </row>
        <row r="679">
          <cell r="E679">
            <v>104699</v>
          </cell>
        </row>
        <row r="680">
          <cell r="E680">
            <v>104713</v>
          </cell>
        </row>
        <row r="681">
          <cell r="E681">
            <v>104716</v>
          </cell>
        </row>
        <row r="682">
          <cell r="E682">
            <v>104720</v>
          </cell>
        </row>
        <row r="683">
          <cell r="E683">
            <v>104721</v>
          </cell>
        </row>
        <row r="684">
          <cell r="E684">
            <v>104722</v>
          </cell>
        </row>
        <row r="685">
          <cell r="E685">
            <v>104726</v>
          </cell>
        </row>
        <row r="686">
          <cell r="E686">
            <v>104735</v>
          </cell>
        </row>
        <row r="687">
          <cell r="E687">
            <v>104738</v>
          </cell>
        </row>
        <row r="688">
          <cell r="E688">
            <v>104742</v>
          </cell>
        </row>
        <row r="689">
          <cell r="E689">
            <v>104746</v>
          </cell>
        </row>
        <row r="690">
          <cell r="E690">
            <v>104747</v>
          </cell>
        </row>
        <row r="691">
          <cell r="E691">
            <v>104751</v>
          </cell>
        </row>
        <row r="692">
          <cell r="E692">
            <v>104753</v>
          </cell>
        </row>
        <row r="693">
          <cell r="E693">
            <v>104755</v>
          </cell>
        </row>
        <row r="694">
          <cell r="E694">
            <v>104756</v>
          </cell>
        </row>
        <row r="695">
          <cell r="E695">
            <v>104758</v>
          </cell>
        </row>
        <row r="696">
          <cell r="E696">
            <v>104759</v>
          </cell>
        </row>
        <row r="697">
          <cell r="E697">
            <v>104761</v>
          </cell>
        </row>
        <row r="698">
          <cell r="E698">
            <v>104762</v>
          </cell>
        </row>
        <row r="699">
          <cell r="E699">
            <v>104763</v>
          </cell>
        </row>
        <row r="700">
          <cell r="E700">
            <v>104764</v>
          </cell>
        </row>
        <row r="701">
          <cell r="E701">
            <v>104773</v>
          </cell>
        </row>
        <row r="702">
          <cell r="E702">
            <v>104777</v>
          </cell>
        </row>
        <row r="703">
          <cell r="E703">
            <v>104779</v>
          </cell>
        </row>
        <row r="704">
          <cell r="E704">
            <v>104783</v>
          </cell>
        </row>
        <row r="705">
          <cell r="E705">
            <v>104784</v>
          </cell>
        </row>
        <row r="706">
          <cell r="E706">
            <v>104785</v>
          </cell>
        </row>
        <row r="707">
          <cell r="E707">
            <v>104786</v>
          </cell>
        </row>
        <row r="708">
          <cell r="E708">
            <v>104787</v>
          </cell>
        </row>
        <row r="709">
          <cell r="E709">
            <v>104788</v>
          </cell>
        </row>
        <row r="710">
          <cell r="E710">
            <v>104789</v>
          </cell>
        </row>
        <row r="711">
          <cell r="E711">
            <v>104794</v>
          </cell>
        </row>
        <row r="712">
          <cell r="E712">
            <v>104806</v>
          </cell>
        </row>
        <row r="713">
          <cell r="E713">
            <v>104809</v>
          </cell>
        </row>
        <row r="714">
          <cell r="E714">
            <v>104811</v>
          </cell>
        </row>
        <row r="715">
          <cell r="E715">
            <v>104812</v>
          </cell>
        </row>
        <row r="716">
          <cell r="E716">
            <v>104814</v>
          </cell>
        </row>
        <row r="717">
          <cell r="E717">
            <v>104815</v>
          </cell>
        </row>
        <row r="718">
          <cell r="E718">
            <v>104817</v>
          </cell>
        </row>
        <row r="719">
          <cell r="E719">
            <v>104820</v>
          </cell>
        </row>
        <row r="720">
          <cell r="E720">
            <v>104822</v>
          </cell>
        </row>
        <row r="721">
          <cell r="E721">
            <v>104823</v>
          </cell>
        </row>
        <row r="722">
          <cell r="E722">
            <v>104824</v>
          </cell>
        </row>
        <row r="723">
          <cell r="E723">
            <v>104829</v>
          </cell>
        </row>
        <row r="724">
          <cell r="E724">
            <v>104830</v>
          </cell>
        </row>
        <row r="725">
          <cell r="E725">
            <v>104831</v>
          </cell>
        </row>
        <row r="726">
          <cell r="E726">
            <v>104833</v>
          </cell>
        </row>
        <row r="727">
          <cell r="E727">
            <v>104834</v>
          </cell>
        </row>
        <row r="728">
          <cell r="E728">
            <v>104835</v>
          </cell>
        </row>
        <row r="729">
          <cell r="E729">
            <v>104841</v>
          </cell>
        </row>
        <row r="730">
          <cell r="E730">
            <v>104846</v>
          </cell>
        </row>
        <row r="731">
          <cell r="E731">
            <v>104847</v>
          </cell>
        </row>
        <row r="732">
          <cell r="E732">
            <v>104848</v>
          </cell>
        </row>
        <row r="733">
          <cell r="E733">
            <v>104849</v>
          </cell>
        </row>
        <row r="734">
          <cell r="E734">
            <v>104850</v>
          </cell>
        </row>
        <row r="735">
          <cell r="E735">
            <v>104851</v>
          </cell>
        </row>
        <row r="736">
          <cell r="E736">
            <v>104852</v>
          </cell>
        </row>
        <row r="737">
          <cell r="E737">
            <v>104853</v>
          </cell>
        </row>
        <row r="738">
          <cell r="E738">
            <v>104856</v>
          </cell>
        </row>
        <row r="739">
          <cell r="E739">
            <v>104861</v>
          </cell>
        </row>
        <row r="740">
          <cell r="E740">
            <v>104862</v>
          </cell>
        </row>
        <row r="741">
          <cell r="E741">
            <v>104863</v>
          </cell>
        </row>
        <row r="742">
          <cell r="E742">
            <v>104864</v>
          </cell>
        </row>
        <row r="743">
          <cell r="E743">
            <v>104873</v>
          </cell>
        </row>
        <row r="744">
          <cell r="E744">
            <v>104882</v>
          </cell>
        </row>
        <row r="745">
          <cell r="E745">
            <v>104883</v>
          </cell>
        </row>
        <row r="746">
          <cell r="E746">
            <v>104884</v>
          </cell>
        </row>
        <row r="747">
          <cell r="E747">
            <v>104885</v>
          </cell>
        </row>
        <row r="748">
          <cell r="E748">
            <v>104888</v>
          </cell>
        </row>
        <row r="749">
          <cell r="E749">
            <v>104889</v>
          </cell>
        </row>
        <row r="750">
          <cell r="E750">
            <v>104890</v>
          </cell>
        </row>
        <row r="751">
          <cell r="E751">
            <v>104892</v>
          </cell>
        </row>
        <row r="752">
          <cell r="E752">
            <v>104894</v>
          </cell>
        </row>
        <row r="753">
          <cell r="E753">
            <v>104895</v>
          </cell>
        </row>
        <row r="754">
          <cell r="E754">
            <v>104896</v>
          </cell>
        </row>
        <row r="755">
          <cell r="E755">
            <v>104897</v>
          </cell>
        </row>
        <row r="756">
          <cell r="E756">
            <v>104903</v>
          </cell>
        </row>
        <row r="757">
          <cell r="E757">
            <v>104904</v>
          </cell>
        </row>
        <row r="758">
          <cell r="E758">
            <v>104906</v>
          </cell>
        </row>
        <row r="759">
          <cell r="E759">
            <v>104907</v>
          </cell>
        </row>
        <row r="760">
          <cell r="E760">
            <v>104908</v>
          </cell>
        </row>
        <row r="761">
          <cell r="E761">
            <v>104909</v>
          </cell>
        </row>
        <row r="762">
          <cell r="E762">
            <v>104913</v>
          </cell>
        </row>
        <row r="763">
          <cell r="E763">
            <v>104914</v>
          </cell>
        </row>
        <row r="764">
          <cell r="E764">
            <v>104919</v>
          </cell>
        </row>
        <row r="765">
          <cell r="E765">
            <v>104922</v>
          </cell>
        </row>
        <row r="766">
          <cell r="E766">
            <v>104925</v>
          </cell>
        </row>
        <row r="767">
          <cell r="E767">
            <v>104926</v>
          </cell>
        </row>
        <row r="768">
          <cell r="E768">
            <v>104927</v>
          </cell>
        </row>
        <row r="769">
          <cell r="E769">
            <v>104933</v>
          </cell>
        </row>
        <row r="770">
          <cell r="E770">
            <v>104937</v>
          </cell>
        </row>
        <row r="771">
          <cell r="E771">
            <v>104939</v>
          </cell>
        </row>
        <row r="772">
          <cell r="E772">
            <v>104942</v>
          </cell>
        </row>
        <row r="773">
          <cell r="E773">
            <v>104944</v>
          </cell>
        </row>
        <row r="774">
          <cell r="E774">
            <v>104945</v>
          </cell>
        </row>
        <row r="775">
          <cell r="E775">
            <v>104946</v>
          </cell>
        </row>
        <row r="776">
          <cell r="E776">
            <v>104947</v>
          </cell>
        </row>
        <row r="777">
          <cell r="E777">
            <v>104948</v>
          </cell>
        </row>
        <row r="778">
          <cell r="E778">
            <v>104950</v>
          </cell>
        </row>
        <row r="779">
          <cell r="E779">
            <v>104954</v>
          </cell>
        </row>
        <row r="780">
          <cell r="E780">
            <v>104959</v>
          </cell>
        </row>
        <row r="781">
          <cell r="E781">
            <v>104980</v>
          </cell>
        </row>
        <row r="782">
          <cell r="E782">
            <v>104981</v>
          </cell>
        </row>
        <row r="783">
          <cell r="E783">
            <v>104982</v>
          </cell>
        </row>
        <row r="784">
          <cell r="E784">
            <v>104983</v>
          </cell>
        </row>
        <row r="785">
          <cell r="E785">
            <v>104987</v>
          </cell>
        </row>
        <row r="786">
          <cell r="E786">
            <v>104991</v>
          </cell>
        </row>
        <row r="787">
          <cell r="E787">
            <v>104996</v>
          </cell>
        </row>
        <row r="788">
          <cell r="E788">
            <v>104998</v>
          </cell>
        </row>
        <row r="789">
          <cell r="E789">
            <v>104999</v>
          </cell>
        </row>
        <row r="790">
          <cell r="E790">
            <v>105001</v>
          </cell>
        </row>
        <row r="791">
          <cell r="E791">
            <v>105006</v>
          </cell>
        </row>
        <row r="792">
          <cell r="E792">
            <v>105007</v>
          </cell>
        </row>
        <row r="793">
          <cell r="E793">
            <v>105008</v>
          </cell>
        </row>
        <row r="794">
          <cell r="E794">
            <v>105013</v>
          </cell>
        </row>
        <row r="795">
          <cell r="E795">
            <v>105015</v>
          </cell>
        </row>
        <row r="796">
          <cell r="E796">
            <v>105016</v>
          </cell>
        </row>
        <row r="797">
          <cell r="E797">
            <v>105017</v>
          </cell>
        </row>
        <row r="798">
          <cell r="E798">
            <v>105018</v>
          </cell>
        </row>
        <row r="799">
          <cell r="E799">
            <v>105020</v>
          </cell>
        </row>
        <row r="800">
          <cell r="E800">
            <v>105021</v>
          </cell>
        </row>
        <row r="801">
          <cell r="E801">
            <v>105022</v>
          </cell>
        </row>
        <row r="802">
          <cell r="E802">
            <v>105023</v>
          </cell>
        </row>
        <row r="803">
          <cell r="E803">
            <v>105025</v>
          </cell>
        </row>
        <row r="804">
          <cell r="E804">
            <v>105026</v>
          </cell>
        </row>
        <row r="805">
          <cell r="E805">
            <v>105028</v>
          </cell>
        </row>
        <row r="806">
          <cell r="E806">
            <v>105029</v>
          </cell>
        </row>
        <row r="807">
          <cell r="E807">
            <v>105033</v>
          </cell>
        </row>
        <row r="808">
          <cell r="E808">
            <v>105034</v>
          </cell>
        </row>
        <row r="809">
          <cell r="E809">
            <v>105054</v>
          </cell>
        </row>
        <row r="810">
          <cell r="E810">
            <v>105058</v>
          </cell>
        </row>
        <row r="811">
          <cell r="E811">
            <v>105059</v>
          </cell>
        </row>
        <row r="812">
          <cell r="E812">
            <v>105061</v>
          </cell>
        </row>
        <row r="813">
          <cell r="E813">
            <v>105064</v>
          </cell>
        </row>
        <row r="814">
          <cell r="E814">
            <v>105065</v>
          </cell>
        </row>
        <row r="815">
          <cell r="E815">
            <v>105072</v>
          </cell>
        </row>
        <row r="816">
          <cell r="E816">
            <v>105073</v>
          </cell>
        </row>
        <row r="817">
          <cell r="E817">
            <v>105076</v>
          </cell>
        </row>
        <row r="818">
          <cell r="E818">
            <v>105077</v>
          </cell>
        </row>
        <row r="819">
          <cell r="E819">
            <v>105078</v>
          </cell>
        </row>
        <row r="820">
          <cell r="E820">
            <v>105079</v>
          </cell>
        </row>
        <row r="821">
          <cell r="E821">
            <v>105080</v>
          </cell>
        </row>
        <row r="822">
          <cell r="E822">
            <v>105085</v>
          </cell>
        </row>
        <row r="823">
          <cell r="E823">
            <v>105092</v>
          </cell>
        </row>
        <row r="824">
          <cell r="E824">
            <v>105093</v>
          </cell>
        </row>
        <row r="825">
          <cell r="E825">
            <v>105094</v>
          </cell>
        </row>
        <row r="826">
          <cell r="E826">
            <v>105095</v>
          </cell>
        </row>
        <row r="827">
          <cell r="E827">
            <v>105104</v>
          </cell>
        </row>
        <row r="828">
          <cell r="E828">
            <v>105108</v>
          </cell>
        </row>
        <row r="829">
          <cell r="E829">
            <v>105111</v>
          </cell>
        </row>
        <row r="830">
          <cell r="E830">
            <v>105117</v>
          </cell>
        </row>
        <row r="831">
          <cell r="E831">
            <v>105118</v>
          </cell>
        </row>
        <row r="832">
          <cell r="E832">
            <v>105119</v>
          </cell>
        </row>
        <row r="833">
          <cell r="E833">
            <v>105120</v>
          </cell>
        </row>
        <row r="834">
          <cell r="E834">
            <v>105127</v>
          </cell>
        </row>
        <row r="835">
          <cell r="E835">
            <v>105128</v>
          </cell>
        </row>
        <row r="836">
          <cell r="E836">
            <v>105129</v>
          </cell>
        </row>
        <row r="837">
          <cell r="E837">
            <v>105131</v>
          </cell>
        </row>
        <row r="838">
          <cell r="E838">
            <v>105132</v>
          </cell>
        </row>
        <row r="839">
          <cell r="E839">
            <v>105133</v>
          </cell>
        </row>
        <row r="840">
          <cell r="E840">
            <v>105134</v>
          </cell>
        </row>
        <row r="841">
          <cell r="E841">
            <v>105135</v>
          </cell>
        </row>
        <row r="842">
          <cell r="E842">
            <v>105136</v>
          </cell>
        </row>
        <row r="843">
          <cell r="E843">
            <v>105139</v>
          </cell>
        </row>
        <row r="844">
          <cell r="E844">
            <v>105141</v>
          </cell>
        </row>
        <row r="845">
          <cell r="E845">
            <v>105142</v>
          </cell>
        </row>
        <row r="846">
          <cell r="E846">
            <v>105143</v>
          </cell>
        </row>
        <row r="847">
          <cell r="E847">
            <v>105144</v>
          </cell>
        </row>
        <row r="848">
          <cell r="E848">
            <v>105145</v>
          </cell>
        </row>
        <row r="849">
          <cell r="E849">
            <v>105146</v>
          </cell>
        </row>
        <row r="850">
          <cell r="E850">
            <v>105148</v>
          </cell>
        </row>
        <row r="851">
          <cell r="E851">
            <v>105149</v>
          </cell>
        </row>
        <row r="852">
          <cell r="E852">
            <v>105158</v>
          </cell>
        </row>
        <row r="853">
          <cell r="E853">
            <v>105159</v>
          </cell>
        </row>
        <row r="854">
          <cell r="E854">
            <v>105161</v>
          </cell>
        </row>
        <row r="855">
          <cell r="E855">
            <v>105162</v>
          </cell>
        </row>
        <row r="856">
          <cell r="E856">
            <v>105163</v>
          </cell>
        </row>
        <row r="857">
          <cell r="E857">
            <v>105164</v>
          </cell>
        </row>
        <row r="858">
          <cell r="E858">
            <v>105173</v>
          </cell>
        </row>
        <row r="859">
          <cell r="E859">
            <v>105177</v>
          </cell>
        </row>
        <row r="860">
          <cell r="E860">
            <v>105179</v>
          </cell>
        </row>
        <row r="861">
          <cell r="E861">
            <v>105180</v>
          </cell>
        </row>
        <row r="862">
          <cell r="E862">
            <v>105183</v>
          </cell>
        </row>
        <row r="863">
          <cell r="E863">
            <v>105184</v>
          </cell>
        </row>
        <row r="864">
          <cell r="E864">
            <v>105185</v>
          </cell>
        </row>
        <row r="865">
          <cell r="E865">
            <v>105186</v>
          </cell>
        </row>
        <row r="866">
          <cell r="E866">
            <v>105187</v>
          </cell>
        </row>
        <row r="867">
          <cell r="E867">
            <v>105188</v>
          </cell>
        </row>
        <row r="868">
          <cell r="E868">
            <v>105189</v>
          </cell>
        </row>
        <row r="869">
          <cell r="E869">
            <v>105191</v>
          </cell>
        </row>
        <row r="870">
          <cell r="E870">
            <v>105192</v>
          </cell>
        </row>
        <row r="871">
          <cell r="E871">
            <v>105193</v>
          </cell>
        </row>
        <row r="872">
          <cell r="E872">
            <v>105194</v>
          </cell>
        </row>
        <row r="873">
          <cell r="E873">
            <v>105195</v>
          </cell>
        </row>
        <row r="874">
          <cell r="E874">
            <v>105196</v>
          </cell>
        </row>
        <row r="875">
          <cell r="E875">
            <v>105197</v>
          </cell>
        </row>
        <row r="876">
          <cell r="E876">
            <v>105198</v>
          </cell>
        </row>
        <row r="877">
          <cell r="E877">
            <v>105199</v>
          </cell>
        </row>
        <row r="878">
          <cell r="E878">
            <v>105200</v>
          </cell>
        </row>
        <row r="879">
          <cell r="E879">
            <v>105201</v>
          </cell>
        </row>
        <row r="880">
          <cell r="E880">
            <v>105202</v>
          </cell>
        </row>
        <row r="881">
          <cell r="E881">
            <v>105209</v>
          </cell>
        </row>
        <row r="882">
          <cell r="E882">
            <v>105210</v>
          </cell>
        </row>
        <row r="883">
          <cell r="E883">
            <v>105211</v>
          </cell>
        </row>
        <row r="884">
          <cell r="E884">
            <v>105212</v>
          </cell>
        </row>
        <row r="885">
          <cell r="E885">
            <v>105213</v>
          </cell>
        </row>
        <row r="886">
          <cell r="E886">
            <v>105214</v>
          </cell>
        </row>
        <row r="887">
          <cell r="E887">
            <v>105215</v>
          </cell>
        </row>
        <row r="888">
          <cell r="E888">
            <v>105216</v>
          </cell>
        </row>
        <row r="889">
          <cell r="E889">
            <v>105217</v>
          </cell>
        </row>
        <row r="890">
          <cell r="E890">
            <v>105218</v>
          </cell>
        </row>
        <row r="891">
          <cell r="E891">
            <v>105220</v>
          </cell>
        </row>
        <row r="892">
          <cell r="E892">
            <v>105221</v>
          </cell>
        </row>
        <row r="893">
          <cell r="E893">
            <v>105222</v>
          </cell>
        </row>
        <row r="894">
          <cell r="E894">
            <v>105223</v>
          </cell>
        </row>
        <row r="895">
          <cell r="E895">
            <v>105224</v>
          </cell>
        </row>
        <row r="896">
          <cell r="E896">
            <v>105225</v>
          </cell>
        </row>
        <row r="897">
          <cell r="E897">
            <v>105226</v>
          </cell>
        </row>
        <row r="898">
          <cell r="E898">
            <v>105227</v>
          </cell>
        </row>
        <row r="899">
          <cell r="E899">
            <v>105228</v>
          </cell>
        </row>
        <row r="900">
          <cell r="E900">
            <v>105229</v>
          </cell>
        </row>
        <row r="901">
          <cell r="E901">
            <v>105231</v>
          </cell>
        </row>
        <row r="902">
          <cell r="E902">
            <v>105232</v>
          </cell>
        </row>
        <row r="903">
          <cell r="E903">
            <v>105233</v>
          </cell>
        </row>
        <row r="904">
          <cell r="E904">
            <v>105234</v>
          </cell>
        </row>
        <row r="905">
          <cell r="E905">
            <v>105237</v>
          </cell>
        </row>
        <row r="906">
          <cell r="E906">
            <v>105243</v>
          </cell>
        </row>
        <row r="907">
          <cell r="E907">
            <v>105244</v>
          </cell>
        </row>
        <row r="908">
          <cell r="E908">
            <v>105247</v>
          </cell>
        </row>
        <row r="909">
          <cell r="E909">
            <v>105248</v>
          </cell>
        </row>
        <row r="910">
          <cell r="E910">
            <v>105251</v>
          </cell>
        </row>
        <row r="911">
          <cell r="E911">
            <v>105252</v>
          </cell>
        </row>
        <row r="912">
          <cell r="E912">
            <v>105253</v>
          </cell>
        </row>
        <row r="913">
          <cell r="E913">
            <v>105255</v>
          </cell>
        </row>
        <row r="914">
          <cell r="E914">
            <v>105260</v>
          </cell>
        </row>
        <row r="915">
          <cell r="E915">
            <v>105264</v>
          </cell>
        </row>
        <row r="916">
          <cell r="E916">
            <v>105267</v>
          </cell>
        </row>
        <row r="917">
          <cell r="E917">
            <v>105269</v>
          </cell>
        </row>
        <row r="918">
          <cell r="E918">
            <v>105270</v>
          </cell>
        </row>
        <row r="919">
          <cell r="E919">
            <v>105271</v>
          </cell>
        </row>
        <row r="920">
          <cell r="E920">
            <v>105272</v>
          </cell>
        </row>
        <row r="921">
          <cell r="E921">
            <v>105273</v>
          </cell>
        </row>
        <row r="922">
          <cell r="E922">
            <v>105274</v>
          </cell>
        </row>
        <row r="923">
          <cell r="E923">
            <v>105275</v>
          </cell>
        </row>
        <row r="924">
          <cell r="E924">
            <v>105276</v>
          </cell>
        </row>
        <row r="925">
          <cell r="E925">
            <v>105277</v>
          </cell>
        </row>
        <row r="926">
          <cell r="E926">
            <v>105279</v>
          </cell>
        </row>
        <row r="927">
          <cell r="E927">
            <v>105280</v>
          </cell>
        </row>
        <row r="928">
          <cell r="E928">
            <v>105283</v>
          </cell>
        </row>
        <row r="929">
          <cell r="E929">
            <v>105284</v>
          </cell>
        </row>
        <row r="930">
          <cell r="E930">
            <v>105285</v>
          </cell>
        </row>
        <row r="931">
          <cell r="E931">
            <v>105286</v>
          </cell>
        </row>
        <row r="932">
          <cell r="E932">
            <v>105287</v>
          </cell>
        </row>
        <row r="933">
          <cell r="E933">
            <v>105288</v>
          </cell>
        </row>
        <row r="934">
          <cell r="E934">
            <v>105290</v>
          </cell>
        </row>
        <row r="935">
          <cell r="E935">
            <v>105293</v>
          </cell>
        </row>
        <row r="936">
          <cell r="E936">
            <v>105296</v>
          </cell>
        </row>
        <row r="937">
          <cell r="E937">
            <v>105306</v>
          </cell>
        </row>
        <row r="938">
          <cell r="E938">
            <v>105308</v>
          </cell>
        </row>
        <row r="939">
          <cell r="E939">
            <v>105309</v>
          </cell>
        </row>
        <row r="940">
          <cell r="E940">
            <v>105310</v>
          </cell>
        </row>
        <row r="941">
          <cell r="E941">
            <v>105311</v>
          </cell>
        </row>
        <row r="942">
          <cell r="E942">
            <v>105312</v>
          </cell>
        </row>
        <row r="943">
          <cell r="E943">
            <v>105313</v>
          </cell>
        </row>
        <row r="944">
          <cell r="E944">
            <v>105314</v>
          </cell>
        </row>
        <row r="945">
          <cell r="E945">
            <v>105315</v>
          </cell>
        </row>
        <row r="946">
          <cell r="E946">
            <v>105317</v>
          </cell>
        </row>
        <row r="947">
          <cell r="E947">
            <v>105325</v>
          </cell>
        </row>
        <row r="948">
          <cell r="E948">
            <v>105326</v>
          </cell>
        </row>
        <row r="949">
          <cell r="E949">
            <v>105327</v>
          </cell>
        </row>
        <row r="950">
          <cell r="E950">
            <v>105328</v>
          </cell>
        </row>
        <row r="951">
          <cell r="E951">
            <v>105329</v>
          </cell>
        </row>
        <row r="952">
          <cell r="E952">
            <v>105330</v>
          </cell>
        </row>
        <row r="953">
          <cell r="E953">
            <v>105331</v>
          </cell>
        </row>
        <row r="954">
          <cell r="E954">
            <v>105332</v>
          </cell>
        </row>
        <row r="955">
          <cell r="E955">
            <v>105333</v>
          </cell>
        </row>
        <row r="956">
          <cell r="E956">
            <v>105334</v>
          </cell>
        </row>
        <row r="957">
          <cell r="E957">
            <v>105338</v>
          </cell>
        </row>
        <row r="958">
          <cell r="E958">
            <v>105340</v>
          </cell>
        </row>
        <row r="959">
          <cell r="E959">
            <v>105343</v>
          </cell>
        </row>
        <row r="960">
          <cell r="E960">
            <v>105344</v>
          </cell>
        </row>
        <row r="961">
          <cell r="E961">
            <v>105345</v>
          </cell>
        </row>
        <row r="962">
          <cell r="E962">
            <v>105346</v>
          </cell>
        </row>
        <row r="963">
          <cell r="E963">
            <v>105347</v>
          </cell>
        </row>
        <row r="964">
          <cell r="E964">
            <v>105349</v>
          </cell>
        </row>
        <row r="965">
          <cell r="E965">
            <v>105350</v>
          </cell>
        </row>
        <row r="966">
          <cell r="E966">
            <v>105353</v>
          </cell>
        </row>
        <row r="967">
          <cell r="E967">
            <v>105354</v>
          </cell>
        </row>
        <row r="968">
          <cell r="E968">
            <v>105355</v>
          </cell>
        </row>
        <row r="969">
          <cell r="E969">
            <v>105356</v>
          </cell>
        </row>
        <row r="970">
          <cell r="E970">
            <v>105357</v>
          </cell>
        </row>
        <row r="971">
          <cell r="E971">
            <v>105358</v>
          </cell>
        </row>
        <row r="972">
          <cell r="E972">
            <v>105359</v>
          </cell>
        </row>
        <row r="973">
          <cell r="E973">
            <v>105360</v>
          </cell>
        </row>
        <row r="974">
          <cell r="E974">
            <v>105361</v>
          </cell>
        </row>
        <row r="975">
          <cell r="E975">
            <v>105363</v>
          </cell>
        </row>
        <row r="976">
          <cell r="E976">
            <v>105366</v>
          </cell>
        </row>
        <row r="977">
          <cell r="E977">
            <v>105367</v>
          </cell>
        </row>
        <row r="978">
          <cell r="E978">
            <v>105368</v>
          </cell>
        </row>
        <row r="979">
          <cell r="E979">
            <v>105369</v>
          </cell>
        </row>
        <row r="980">
          <cell r="E980">
            <v>105370</v>
          </cell>
        </row>
        <row r="981">
          <cell r="E981">
            <v>105371</v>
          </cell>
        </row>
        <row r="982">
          <cell r="E982">
            <v>105372</v>
          </cell>
        </row>
        <row r="983">
          <cell r="E983">
            <v>105373</v>
          </cell>
        </row>
        <row r="984">
          <cell r="E984">
            <v>105374</v>
          </cell>
        </row>
        <row r="985">
          <cell r="E985">
            <v>105375</v>
          </cell>
        </row>
        <row r="986">
          <cell r="E986">
            <v>105376</v>
          </cell>
        </row>
        <row r="987">
          <cell r="E987">
            <v>105377</v>
          </cell>
        </row>
        <row r="988">
          <cell r="E988">
            <v>105378</v>
          </cell>
        </row>
        <row r="989">
          <cell r="E989">
            <v>105379</v>
          </cell>
        </row>
        <row r="990">
          <cell r="E990">
            <v>105380</v>
          </cell>
        </row>
        <row r="991">
          <cell r="E991">
            <v>105381</v>
          </cell>
        </row>
        <row r="992">
          <cell r="E992">
            <v>105382</v>
          </cell>
        </row>
        <row r="993">
          <cell r="E993">
            <v>105385</v>
          </cell>
        </row>
        <row r="994">
          <cell r="E994">
            <v>105386</v>
          </cell>
        </row>
        <row r="995">
          <cell r="E995">
            <v>105387</v>
          </cell>
        </row>
        <row r="996">
          <cell r="E996">
            <v>105388</v>
          </cell>
        </row>
        <row r="997">
          <cell r="E997">
            <v>105389</v>
          </cell>
        </row>
        <row r="998">
          <cell r="E998">
            <v>105390</v>
          </cell>
        </row>
        <row r="999">
          <cell r="E999">
            <v>105391</v>
          </cell>
        </row>
        <row r="1000">
          <cell r="E1000">
            <v>105392</v>
          </cell>
        </row>
        <row r="1001">
          <cell r="E1001">
            <v>105393</v>
          </cell>
        </row>
        <row r="1002">
          <cell r="E1002">
            <v>105394</v>
          </cell>
        </row>
        <row r="1003">
          <cell r="E1003">
            <v>105395</v>
          </cell>
        </row>
        <row r="1004">
          <cell r="E1004">
            <v>105396</v>
          </cell>
        </row>
        <row r="1005">
          <cell r="E1005">
            <v>105397</v>
          </cell>
        </row>
        <row r="1006">
          <cell r="E1006">
            <v>105398</v>
          </cell>
        </row>
        <row r="1007">
          <cell r="E1007">
            <v>105409</v>
          </cell>
        </row>
        <row r="1008">
          <cell r="E1008">
            <v>105411</v>
          </cell>
        </row>
        <row r="1009">
          <cell r="E1009">
            <v>105412</v>
          </cell>
        </row>
        <row r="1010">
          <cell r="E1010">
            <v>105425</v>
          </cell>
        </row>
        <row r="1011">
          <cell r="E1011">
            <v>105435</v>
          </cell>
        </row>
        <row r="1012">
          <cell r="E1012">
            <v>105436</v>
          </cell>
        </row>
        <row r="1013">
          <cell r="E1013">
            <v>105438</v>
          </cell>
        </row>
        <row r="1014">
          <cell r="E1014">
            <v>105439</v>
          </cell>
        </row>
        <row r="1015">
          <cell r="E1015">
            <v>105440</v>
          </cell>
        </row>
        <row r="1016">
          <cell r="E1016">
            <v>105441</v>
          </cell>
        </row>
        <row r="1017">
          <cell r="E1017">
            <v>105442</v>
          </cell>
        </row>
        <row r="1018">
          <cell r="E1018">
            <v>105443</v>
          </cell>
        </row>
        <row r="1019">
          <cell r="E1019">
            <v>105444</v>
          </cell>
        </row>
        <row r="1020">
          <cell r="E1020">
            <v>105445</v>
          </cell>
        </row>
        <row r="1021">
          <cell r="E1021">
            <v>105446</v>
          </cell>
        </row>
        <row r="1022">
          <cell r="E1022">
            <v>105447</v>
          </cell>
        </row>
        <row r="1023">
          <cell r="E1023">
            <v>105448</v>
          </cell>
        </row>
        <row r="1024">
          <cell r="E1024">
            <v>105449</v>
          </cell>
        </row>
        <row r="1025">
          <cell r="E1025">
            <v>105450</v>
          </cell>
        </row>
        <row r="1026">
          <cell r="E1026">
            <v>105451</v>
          </cell>
        </row>
        <row r="1027">
          <cell r="E1027">
            <v>105466</v>
          </cell>
        </row>
        <row r="1028">
          <cell r="E1028">
            <v>105468</v>
          </cell>
        </row>
        <row r="1029">
          <cell r="E1029">
            <v>105469</v>
          </cell>
        </row>
        <row r="1030">
          <cell r="E1030">
            <v>105471</v>
          </cell>
        </row>
        <row r="1031">
          <cell r="E1031">
            <v>105472</v>
          </cell>
        </row>
        <row r="1032">
          <cell r="E1032">
            <v>105473</v>
          </cell>
        </row>
        <row r="1033">
          <cell r="E1033">
            <v>105474</v>
          </cell>
        </row>
        <row r="1034">
          <cell r="E1034">
            <v>105475</v>
          </cell>
        </row>
        <row r="1035">
          <cell r="E1035">
            <v>105476</v>
          </cell>
        </row>
        <row r="1036">
          <cell r="E1036">
            <v>105477</v>
          </cell>
        </row>
        <row r="1037">
          <cell r="E1037">
            <v>105478</v>
          </cell>
        </row>
        <row r="1038">
          <cell r="E1038">
            <v>105481</v>
          </cell>
        </row>
        <row r="1039">
          <cell r="E1039">
            <v>105482</v>
          </cell>
        </row>
        <row r="1040">
          <cell r="E1040">
            <v>105483</v>
          </cell>
        </row>
        <row r="1041">
          <cell r="E1041">
            <v>105488</v>
          </cell>
        </row>
        <row r="1042">
          <cell r="E1042">
            <v>105491</v>
          </cell>
        </row>
        <row r="1043">
          <cell r="E1043">
            <v>105496</v>
          </cell>
        </row>
        <row r="1044">
          <cell r="E1044">
            <v>105497</v>
          </cell>
        </row>
        <row r="1045">
          <cell r="E1045">
            <v>105498</v>
          </cell>
        </row>
        <row r="1046">
          <cell r="E1046">
            <v>105499</v>
          </cell>
        </row>
        <row r="1047">
          <cell r="E1047">
            <v>105500</v>
          </cell>
        </row>
        <row r="1048">
          <cell r="E1048">
            <v>105502</v>
          </cell>
        </row>
        <row r="1049">
          <cell r="E1049">
            <v>105503</v>
          </cell>
        </row>
        <row r="1050">
          <cell r="E1050">
            <v>105504</v>
          </cell>
        </row>
        <row r="1051">
          <cell r="E1051">
            <v>105508</v>
          </cell>
        </row>
        <row r="1052">
          <cell r="E1052">
            <v>105511</v>
          </cell>
        </row>
        <row r="1053">
          <cell r="E1053">
            <v>105512</v>
          </cell>
        </row>
        <row r="1054">
          <cell r="E1054">
            <v>105513</v>
          </cell>
        </row>
        <row r="1055">
          <cell r="E1055">
            <v>105514</v>
          </cell>
        </row>
        <row r="1056">
          <cell r="E1056">
            <v>105515</v>
          </cell>
        </row>
        <row r="1057">
          <cell r="E1057">
            <v>105516</v>
          </cell>
        </row>
        <row r="1058">
          <cell r="E1058">
            <v>105517</v>
          </cell>
        </row>
        <row r="1059">
          <cell r="E1059">
            <v>105518</v>
          </cell>
        </row>
        <row r="1060">
          <cell r="E1060">
            <v>105519</v>
          </cell>
        </row>
        <row r="1061">
          <cell r="E1061">
            <v>105520</v>
          </cell>
        </row>
        <row r="1062">
          <cell r="E1062">
            <v>105521</v>
          </cell>
        </row>
        <row r="1063">
          <cell r="E1063">
            <v>105522</v>
          </cell>
        </row>
        <row r="1064">
          <cell r="E1064">
            <v>105523</v>
          </cell>
        </row>
        <row r="1065">
          <cell r="E1065">
            <v>105524</v>
          </cell>
        </row>
        <row r="1066">
          <cell r="E1066">
            <v>105525</v>
          </cell>
        </row>
        <row r="1067">
          <cell r="E1067">
            <v>105526</v>
          </cell>
        </row>
        <row r="1068">
          <cell r="E1068">
            <v>105531</v>
          </cell>
        </row>
        <row r="1069">
          <cell r="E1069">
            <v>105533</v>
          </cell>
        </row>
        <row r="1070">
          <cell r="E1070">
            <v>105534</v>
          </cell>
        </row>
        <row r="1071">
          <cell r="E1071">
            <v>105535</v>
          </cell>
        </row>
        <row r="1072">
          <cell r="E1072">
            <v>105536</v>
          </cell>
        </row>
        <row r="1073">
          <cell r="E1073">
            <v>105538</v>
          </cell>
        </row>
        <row r="1074">
          <cell r="E1074">
            <v>105539</v>
          </cell>
        </row>
        <row r="1075">
          <cell r="E1075">
            <v>105542</v>
          </cell>
        </row>
        <row r="1076">
          <cell r="E1076">
            <v>105545</v>
          </cell>
        </row>
        <row r="1077">
          <cell r="E1077">
            <v>105547</v>
          </cell>
        </row>
        <row r="1078">
          <cell r="E1078">
            <v>105548</v>
          </cell>
        </row>
        <row r="1079">
          <cell r="E1079">
            <v>105550</v>
          </cell>
        </row>
        <row r="1080">
          <cell r="E1080">
            <v>105552</v>
          </cell>
        </row>
        <row r="1081">
          <cell r="E1081">
            <v>105555</v>
          </cell>
        </row>
        <row r="1082">
          <cell r="E1082">
            <v>105556</v>
          </cell>
        </row>
        <row r="1083">
          <cell r="E1083">
            <v>105562</v>
          </cell>
        </row>
        <row r="1084">
          <cell r="E1084">
            <v>105563</v>
          </cell>
        </row>
        <row r="1085">
          <cell r="E1085">
            <v>105566</v>
          </cell>
        </row>
        <row r="1086">
          <cell r="E1086">
            <v>105567</v>
          </cell>
        </row>
        <row r="1087">
          <cell r="E1087">
            <v>105570</v>
          </cell>
        </row>
        <row r="1088">
          <cell r="E1088">
            <v>105571</v>
          </cell>
        </row>
        <row r="1089">
          <cell r="E1089">
            <v>105573</v>
          </cell>
        </row>
        <row r="1090">
          <cell r="E1090">
            <v>105574</v>
          </cell>
        </row>
        <row r="1091">
          <cell r="E1091">
            <v>105585</v>
          </cell>
        </row>
        <row r="1092">
          <cell r="E1092">
            <v>105587</v>
          </cell>
        </row>
        <row r="1093">
          <cell r="E1093">
            <v>105589</v>
          </cell>
        </row>
        <row r="1094">
          <cell r="E1094">
            <v>105593</v>
          </cell>
        </row>
        <row r="1095">
          <cell r="E1095">
            <v>105594</v>
          </cell>
        </row>
        <row r="1096">
          <cell r="E1096">
            <v>105595</v>
          </cell>
        </row>
        <row r="1097">
          <cell r="E1097">
            <v>105596</v>
          </cell>
        </row>
        <row r="1098">
          <cell r="E1098">
            <v>105597</v>
          </cell>
        </row>
        <row r="1099">
          <cell r="E1099">
            <v>105599</v>
          </cell>
        </row>
        <row r="1100">
          <cell r="E1100">
            <v>105601</v>
          </cell>
        </row>
        <row r="1101">
          <cell r="E1101">
            <v>105603</v>
          </cell>
        </row>
        <row r="1102">
          <cell r="E1102">
            <v>105605</v>
          </cell>
        </row>
        <row r="1103">
          <cell r="E1103">
            <v>105606</v>
          </cell>
        </row>
        <row r="1104">
          <cell r="E1104">
            <v>105610</v>
          </cell>
        </row>
        <row r="1105">
          <cell r="E1105">
            <v>105611</v>
          </cell>
        </row>
        <row r="1106">
          <cell r="E1106">
            <v>105612</v>
          </cell>
        </row>
        <row r="1107">
          <cell r="E1107">
            <v>105613</v>
          </cell>
        </row>
        <row r="1108">
          <cell r="E1108">
            <v>105617</v>
          </cell>
        </row>
        <row r="1109">
          <cell r="E1109">
            <v>105618</v>
          </cell>
        </row>
        <row r="1110">
          <cell r="E1110">
            <v>105620</v>
          </cell>
        </row>
        <row r="1111">
          <cell r="E1111">
            <v>105621</v>
          </cell>
        </row>
        <row r="1112">
          <cell r="E1112">
            <v>105624</v>
          </cell>
        </row>
        <row r="1113">
          <cell r="E1113">
            <v>105625</v>
          </cell>
        </row>
        <row r="1114">
          <cell r="E1114">
            <v>105626</v>
          </cell>
        </row>
        <row r="1115">
          <cell r="E1115">
            <v>105627</v>
          </cell>
        </row>
        <row r="1116">
          <cell r="E1116">
            <v>105628</v>
          </cell>
        </row>
        <row r="1117">
          <cell r="E1117">
            <v>105630</v>
          </cell>
        </row>
        <row r="1118">
          <cell r="E1118">
            <v>105632</v>
          </cell>
        </row>
        <row r="1119">
          <cell r="E1119">
            <v>105633</v>
          </cell>
        </row>
        <row r="1120">
          <cell r="E1120">
            <v>105634</v>
          </cell>
        </row>
        <row r="1121">
          <cell r="E1121">
            <v>105635</v>
          </cell>
        </row>
        <row r="1122">
          <cell r="E1122">
            <v>105637</v>
          </cell>
        </row>
        <row r="1123">
          <cell r="E1123">
            <v>105640</v>
          </cell>
        </row>
        <row r="1124">
          <cell r="E1124">
            <v>105651</v>
          </cell>
        </row>
        <row r="1125">
          <cell r="E1125">
            <v>105652</v>
          </cell>
        </row>
        <row r="1126">
          <cell r="E1126">
            <v>105654</v>
          </cell>
        </row>
        <row r="1127">
          <cell r="E1127">
            <v>105656</v>
          </cell>
        </row>
        <row r="1128">
          <cell r="E1128">
            <v>105659</v>
          </cell>
        </row>
        <row r="1129">
          <cell r="E1129">
            <v>105671</v>
          </cell>
        </row>
        <row r="1130">
          <cell r="E1130">
            <v>105673</v>
          </cell>
        </row>
        <row r="1131">
          <cell r="E1131">
            <v>105675</v>
          </cell>
        </row>
        <row r="1132">
          <cell r="E1132">
            <v>105677</v>
          </cell>
        </row>
        <row r="1133">
          <cell r="E1133">
            <v>105679</v>
          </cell>
        </row>
        <row r="1134">
          <cell r="E1134">
            <v>105681</v>
          </cell>
        </row>
        <row r="1135">
          <cell r="E1135">
            <v>105682</v>
          </cell>
        </row>
        <row r="1136">
          <cell r="E1136">
            <v>105683</v>
          </cell>
        </row>
        <row r="1137">
          <cell r="E1137">
            <v>105684</v>
          </cell>
        </row>
        <row r="1138">
          <cell r="E1138">
            <v>105685</v>
          </cell>
        </row>
        <row r="1139">
          <cell r="E1139">
            <v>105687</v>
          </cell>
        </row>
        <row r="1140">
          <cell r="E1140">
            <v>105688</v>
          </cell>
        </row>
        <row r="1141">
          <cell r="E1141">
            <v>105689</v>
          </cell>
        </row>
        <row r="1142">
          <cell r="E1142">
            <v>105690</v>
          </cell>
        </row>
        <row r="1143">
          <cell r="E1143">
            <v>105691</v>
          </cell>
        </row>
        <row r="1144">
          <cell r="E1144">
            <v>105693</v>
          </cell>
        </row>
        <row r="1145">
          <cell r="E1145">
            <v>105695</v>
          </cell>
        </row>
        <row r="1146">
          <cell r="E1146">
            <v>105696</v>
          </cell>
        </row>
        <row r="1147">
          <cell r="E1147">
            <v>105697</v>
          </cell>
        </row>
        <row r="1148">
          <cell r="E1148">
            <v>105704</v>
          </cell>
        </row>
        <row r="1149">
          <cell r="E1149">
            <v>105713</v>
          </cell>
        </row>
        <row r="1150">
          <cell r="E1150">
            <v>105714</v>
          </cell>
        </row>
        <row r="1151">
          <cell r="E1151">
            <v>105715</v>
          </cell>
        </row>
        <row r="1152">
          <cell r="E1152">
            <v>105716</v>
          </cell>
        </row>
        <row r="1153">
          <cell r="E1153">
            <v>105720</v>
          </cell>
        </row>
        <row r="1154">
          <cell r="E1154">
            <v>105721</v>
          </cell>
        </row>
        <row r="1155">
          <cell r="E1155">
            <v>105722</v>
          </cell>
        </row>
        <row r="1156">
          <cell r="E1156">
            <v>105723</v>
          </cell>
        </row>
        <row r="1157">
          <cell r="E1157">
            <v>105724</v>
          </cell>
        </row>
        <row r="1158">
          <cell r="E1158">
            <v>105727</v>
          </cell>
        </row>
        <row r="1159">
          <cell r="E1159">
            <v>105730</v>
          </cell>
        </row>
        <row r="1160">
          <cell r="E1160">
            <v>105731</v>
          </cell>
        </row>
        <row r="1161">
          <cell r="E1161">
            <v>105733</v>
          </cell>
        </row>
        <row r="1162">
          <cell r="E1162">
            <v>105735</v>
          </cell>
        </row>
        <row r="1163">
          <cell r="E1163">
            <v>105736</v>
          </cell>
        </row>
        <row r="1164">
          <cell r="E1164">
            <v>105737</v>
          </cell>
        </row>
        <row r="1165">
          <cell r="E1165">
            <v>105739</v>
          </cell>
        </row>
        <row r="1166">
          <cell r="E1166">
            <v>105741</v>
          </cell>
        </row>
        <row r="1167">
          <cell r="E1167">
            <v>105747</v>
          </cell>
        </row>
        <row r="1168">
          <cell r="E1168">
            <v>105750</v>
          </cell>
        </row>
        <row r="1169">
          <cell r="E1169">
            <v>105753</v>
          </cell>
        </row>
        <row r="1170">
          <cell r="E1170">
            <v>105756</v>
          </cell>
        </row>
        <row r="1171">
          <cell r="E1171">
            <v>105757</v>
          </cell>
        </row>
        <row r="1172">
          <cell r="E1172">
            <v>105758</v>
          </cell>
        </row>
        <row r="1173">
          <cell r="E1173">
            <v>105759</v>
          </cell>
        </row>
        <row r="1174">
          <cell r="E1174">
            <v>105760</v>
          </cell>
        </row>
        <row r="1175">
          <cell r="E1175">
            <v>105761</v>
          </cell>
        </row>
        <row r="1176">
          <cell r="E1176">
            <v>105762</v>
          </cell>
        </row>
        <row r="1177">
          <cell r="E1177">
            <v>105763</v>
          </cell>
        </row>
        <row r="1178">
          <cell r="E1178">
            <v>105764</v>
          </cell>
        </row>
        <row r="1179">
          <cell r="E1179">
            <v>105765</v>
          </cell>
        </row>
        <row r="1180">
          <cell r="E1180">
            <v>105766</v>
          </cell>
        </row>
        <row r="1181">
          <cell r="E1181">
            <v>105767</v>
          </cell>
        </row>
        <row r="1182">
          <cell r="E1182">
            <v>105768</v>
          </cell>
        </row>
        <row r="1183">
          <cell r="E1183">
            <v>105769</v>
          </cell>
        </row>
        <row r="1184">
          <cell r="E1184">
            <v>105770</v>
          </cell>
        </row>
        <row r="1185">
          <cell r="E1185">
            <v>105771</v>
          </cell>
        </row>
        <row r="1186">
          <cell r="E1186">
            <v>105772</v>
          </cell>
        </row>
        <row r="1187">
          <cell r="E1187">
            <v>105773</v>
          </cell>
        </row>
        <row r="1188">
          <cell r="E1188">
            <v>105774</v>
          </cell>
        </row>
        <row r="1189">
          <cell r="E1189">
            <v>105775</v>
          </cell>
        </row>
        <row r="1190">
          <cell r="E1190">
            <v>105776</v>
          </cell>
        </row>
        <row r="1191">
          <cell r="E1191">
            <v>105777</v>
          </cell>
        </row>
        <row r="1192">
          <cell r="E1192">
            <v>105779</v>
          </cell>
        </row>
        <row r="1193">
          <cell r="E1193">
            <v>105780</v>
          </cell>
        </row>
        <row r="1194">
          <cell r="E1194">
            <v>105781</v>
          </cell>
        </row>
        <row r="1195">
          <cell r="E1195">
            <v>105782</v>
          </cell>
        </row>
        <row r="1196">
          <cell r="E1196">
            <v>105784</v>
          </cell>
        </row>
        <row r="1197">
          <cell r="E1197">
            <v>105785</v>
          </cell>
        </row>
        <row r="1198">
          <cell r="E1198">
            <v>105793</v>
          </cell>
        </row>
        <row r="1199">
          <cell r="E1199">
            <v>105794</v>
          </cell>
        </row>
        <row r="1200">
          <cell r="E1200">
            <v>105799</v>
          </cell>
        </row>
        <row r="1201">
          <cell r="E1201">
            <v>105800</v>
          </cell>
        </row>
        <row r="1202">
          <cell r="E1202">
            <v>105801</v>
          </cell>
        </row>
        <row r="1203">
          <cell r="E1203">
            <v>105802</v>
          </cell>
        </row>
        <row r="1204">
          <cell r="E1204">
            <v>105804</v>
          </cell>
        </row>
        <row r="1205">
          <cell r="E1205">
            <v>105807</v>
          </cell>
        </row>
        <row r="1206">
          <cell r="E1206">
            <v>105808</v>
          </cell>
        </row>
        <row r="1207">
          <cell r="E1207">
            <v>105809</v>
          </cell>
        </row>
        <row r="1208">
          <cell r="E1208">
            <v>105812</v>
          </cell>
        </row>
        <row r="1209">
          <cell r="E1209">
            <v>105813</v>
          </cell>
        </row>
        <row r="1210">
          <cell r="E1210">
            <v>105822</v>
          </cell>
        </row>
        <row r="1211">
          <cell r="E1211">
            <v>105823</v>
          </cell>
        </row>
        <row r="1212">
          <cell r="E1212">
            <v>105824</v>
          </cell>
        </row>
        <row r="1213">
          <cell r="E1213">
            <v>105826</v>
          </cell>
        </row>
        <row r="1214">
          <cell r="E1214">
            <v>105830</v>
          </cell>
        </row>
        <row r="1215">
          <cell r="E1215">
            <v>105831</v>
          </cell>
        </row>
        <row r="1216">
          <cell r="E1216">
            <v>105832</v>
          </cell>
        </row>
        <row r="1217">
          <cell r="E1217">
            <v>105833</v>
          </cell>
        </row>
        <row r="1218">
          <cell r="E1218">
            <v>105834</v>
          </cell>
        </row>
        <row r="1219">
          <cell r="E1219">
            <v>105835</v>
          </cell>
        </row>
        <row r="1220">
          <cell r="E1220">
            <v>105836</v>
          </cell>
        </row>
        <row r="1221">
          <cell r="E1221">
            <v>105843</v>
          </cell>
        </row>
        <row r="1222">
          <cell r="E1222">
            <v>105844</v>
          </cell>
        </row>
        <row r="1223">
          <cell r="E1223">
            <v>105846</v>
          </cell>
        </row>
        <row r="1224">
          <cell r="E1224">
            <v>105847</v>
          </cell>
        </row>
        <row r="1225">
          <cell r="E1225">
            <v>105848</v>
          </cell>
        </row>
        <row r="1226">
          <cell r="E1226">
            <v>105849</v>
          </cell>
        </row>
        <row r="1227">
          <cell r="E1227">
            <v>105850</v>
          </cell>
        </row>
        <row r="1228">
          <cell r="E1228">
            <v>105853</v>
          </cell>
        </row>
        <row r="1229">
          <cell r="E1229">
            <v>105857</v>
          </cell>
        </row>
        <row r="1230">
          <cell r="E1230">
            <v>105860</v>
          </cell>
        </row>
        <row r="1231">
          <cell r="E1231">
            <v>105863</v>
          </cell>
        </row>
        <row r="1232">
          <cell r="E1232">
            <v>105864</v>
          </cell>
        </row>
        <row r="1233">
          <cell r="E1233">
            <v>105866</v>
          </cell>
        </row>
        <row r="1234">
          <cell r="E1234">
            <v>105867</v>
          </cell>
        </row>
        <row r="1235">
          <cell r="E1235">
            <v>105870</v>
          </cell>
        </row>
        <row r="1236">
          <cell r="E1236">
            <v>105879</v>
          </cell>
        </row>
        <row r="1237">
          <cell r="E1237">
            <v>105880</v>
          </cell>
        </row>
        <row r="1238">
          <cell r="E1238">
            <v>105881</v>
          </cell>
        </row>
        <row r="1239">
          <cell r="E1239">
            <v>105887</v>
          </cell>
        </row>
        <row r="1240">
          <cell r="E1240">
            <v>105888</v>
          </cell>
        </row>
        <row r="1241">
          <cell r="E1241">
            <v>105889</v>
          </cell>
        </row>
        <row r="1242">
          <cell r="E1242">
            <v>105891</v>
          </cell>
        </row>
        <row r="1243">
          <cell r="E1243">
            <v>105894</v>
          </cell>
        </row>
        <row r="1244">
          <cell r="E1244">
            <v>105895</v>
          </cell>
        </row>
        <row r="1245">
          <cell r="E1245">
            <v>105903</v>
          </cell>
        </row>
        <row r="1246">
          <cell r="E1246">
            <v>105905</v>
          </cell>
        </row>
        <row r="1247">
          <cell r="E1247">
            <v>105906</v>
          </cell>
        </row>
        <row r="1248">
          <cell r="E1248">
            <v>105907</v>
          </cell>
        </row>
        <row r="1249">
          <cell r="E1249">
            <v>105909</v>
          </cell>
        </row>
        <row r="1250">
          <cell r="E1250">
            <v>105910</v>
          </cell>
        </row>
        <row r="1251">
          <cell r="E1251">
            <v>105912</v>
          </cell>
        </row>
        <row r="1252">
          <cell r="E1252">
            <v>105918</v>
          </cell>
        </row>
        <row r="1253">
          <cell r="E1253">
            <v>105922</v>
          </cell>
        </row>
        <row r="1254">
          <cell r="E1254">
            <v>105924</v>
          </cell>
        </row>
        <row r="1255">
          <cell r="E1255">
            <v>105925</v>
          </cell>
        </row>
        <row r="1256">
          <cell r="E1256">
            <v>105926</v>
          </cell>
        </row>
        <row r="1257">
          <cell r="E1257">
            <v>105927</v>
          </cell>
        </row>
        <row r="1258">
          <cell r="E1258">
            <v>105928</v>
          </cell>
        </row>
        <row r="1259">
          <cell r="E1259">
            <v>105929</v>
          </cell>
        </row>
        <row r="1260">
          <cell r="E1260">
            <v>105935</v>
          </cell>
        </row>
        <row r="1261">
          <cell r="E1261">
            <v>105937</v>
          </cell>
        </row>
        <row r="1262">
          <cell r="E1262">
            <v>105938</v>
          </cell>
        </row>
        <row r="1263">
          <cell r="E1263">
            <v>105939</v>
          </cell>
        </row>
        <row r="1264">
          <cell r="E1264">
            <v>105940</v>
          </cell>
        </row>
        <row r="1265">
          <cell r="E1265">
            <v>105941</v>
          </cell>
        </row>
        <row r="1266">
          <cell r="E1266">
            <v>105942</v>
          </cell>
        </row>
        <row r="1267">
          <cell r="E1267">
            <v>105943</v>
          </cell>
        </row>
        <row r="1268">
          <cell r="E1268">
            <v>105944</v>
          </cell>
        </row>
        <row r="1269">
          <cell r="E1269">
            <v>105945</v>
          </cell>
        </row>
        <row r="1270">
          <cell r="E1270">
            <v>105954</v>
          </cell>
        </row>
        <row r="1271">
          <cell r="E1271">
            <v>105955</v>
          </cell>
        </row>
        <row r="1272">
          <cell r="E1272">
            <v>105958</v>
          </cell>
        </row>
        <row r="1273">
          <cell r="E1273">
            <v>105959</v>
          </cell>
        </row>
        <row r="1274">
          <cell r="E1274">
            <v>105962</v>
          </cell>
        </row>
        <row r="1275">
          <cell r="E1275">
            <v>105966</v>
          </cell>
        </row>
        <row r="1276">
          <cell r="E1276">
            <v>105967</v>
          </cell>
        </row>
        <row r="1277">
          <cell r="E1277">
            <v>105968</v>
          </cell>
        </row>
        <row r="1278">
          <cell r="E1278">
            <v>105974</v>
          </cell>
        </row>
        <row r="1279">
          <cell r="E1279">
            <v>105977</v>
          </cell>
        </row>
        <row r="1280">
          <cell r="E1280">
            <v>105978</v>
          </cell>
        </row>
        <row r="1281">
          <cell r="E1281">
            <v>105983</v>
          </cell>
        </row>
        <row r="1282">
          <cell r="E1282">
            <v>105984</v>
          </cell>
        </row>
        <row r="1283">
          <cell r="E1283">
            <v>105985</v>
          </cell>
        </row>
        <row r="1284">
          <cell r="E1284">
            <v>105987</v>
          </cell>
        </row>
        <row r="1285">
          <cell r="E1285">
            <v>105989</v>
          </cell>
        </row>
        <row r="1286">
          <cell r="E1286">
            <v>105999</v>
          </cell>
        </row>
        <row r="1287">
          <cell r="E1287">
            <v>106000</v>
          </cell>
        </row>
        <row r="1288">
          <cell r="E1288">
            <v>106001</v>
          </cell>
        </row>
        <row r="1289">
          <cell r="E1289">
            <v>106002</v>
          </cell>
        </row>
        <row r="1290">
          <cell r="E1290">
            <v>106003</v>
          </cell>
        </row>
        <row r="1291">
          <cell r="E1291">
            <v>106004</v>
          </cell>
        </row>
        <row r="1292">
          <cell r="E1292">
            <v>106005</v>
          </cell>
        </row>
        <row r="1293">
          <cell r="E1293">
            <v>106008</v>
          </cell>
        </row>
        <row r="1294">
          <cell r="E1294">
            <v>106017</v>
          </cell>
        </row>
        <row r="1295">
          <cell r="E1295">
            <v>106025</v>
          </cell>
        </row>
        <row r="1296">
          <cell r="E1296">
            <v>106028</v>
          </cell>
        </row>
        <row r="1297">
          <cell r="E1297">
            <v>106030</v>
          </cell>
        </row>
        <row r="1298">
          <cell r="E1298">
            <v>106031</v>
          </cell>
        </row>
        <row r="1299">
          <cell r="E1299">
            <v>106032</v>
          </cell>
        </row>
        <row r="1300">
          <cell r="E1300">
            <v>106033</v>
          </cell>
        </row>
        <row r="1301">
          <cell r="E1301">
            <v>106034</v>
          </cell>
        </row>
        <row r="1302">
          <cell r="E1302">
            <v>106036</v>
          </cell>
        </row>
        <row r="1303">
          <cell r="E1303">
            <v>106039</v>
          </cell>
        </row>
        <row r="1304">
          <cell r="E1304">
            <v>106041</v>
          </cell>
        </row>
        <row r="1305">
          <cell r="E1305">
            <v>106045</v>
          </cell>
        </row>
        <row r="1306">
          <cell r="E1306">
            <v>106046</v>
          </cell>
        </row>
        <row r="1307">
          <cell r="E1307">
            <v>106048</v>
          </cell>
        </row>
        <row r="1308">
          <cell r="E1308">
            <v>106052</v>
          </cell>
        </row>
        <row r="1309">
          <cell r="E1309">
            <v>106053</v>
          </cell>
        </row>
        <row r="1310">
          <cell r="E1310">
            <v>106057</v>
          </cell>
        </row>
        <row r="1311">
          <cell r="E1311">
            <v>106058</v>
          </cell>
        </row>
        <row r="1312">
          <cell r="E1312">
            <v>106059</v>
          </cell>
        </row>
        <row r="1313">
          <cell r="E1313">
            <v>106061</v>
          </cell>
        </row>
        <row r="1314">
          <cell r="E1314">
            <v>106062</v>
          </cell>
        </row>
        <row r="1315">
          <cell r="E1315">
            <v>106066</v>
          </cell>
        </row>
        <row r="1316">
          <cell r="E1316">
            <v>106067</v>
          </cell>
        </row>
        <row r="1317">
          <cell r="E1317">
            <v>106068</v>
          </cell>
        </row>
        <row r="1318">
          <cell r="E1318">
            <v>106069</v>
          </cell>
        </row>
        <row r="1319">
          <cell r="E1319">
            <v>106070</v>
          </cell>
        </row>
        <row r="1320">
          <cell r="E1320">
            <v>106071</v>
          </cell>
        </row>
        <row r="1321">
          <cell r="E1321">
            <v>106072</v>
          </cell>
        </row>
        <row r="1322">
          <cell r="E1322">
            <v>106074</v>
          </cell>
        </row>
        <row r="1323">
          <cell r="E1323">
            <v>106075</v>
          </cell>
        </row>
        <row r="1324">
          <cell r="E1324">
            <v>106076</v>
          </cell>
        </row>
        <row r="1325">
          <cell r="E1325">
            <v>106077</v>
          </cell>
        </row>
        <row r="1326">
          <cell r="E1326">
            <v>106078</v>
          </cell>
        </row>
        <row r="1327">
          <cell r="E1327">
            <v>106079</v>
          </cell>
        </row>
        <row r="1328">
          <cell r="E1328">
            <v>106080</v>
          </cell>
        </row>
        <row r="1329">
          <cell r="E1329">
            <v>106081</v>
          </cell>
        </row>
        <row r="1330">
          <cell r="E1330">
            <v>106082</v>
          </cell>
        </row>
        <row r="1331">
          <cell r="E1331">
            <v>106083</v>
          </cell>
        </row>
        <row r="1332">
          <cell r="E1332">
            <v>106084</v>
          </cell>
        </row>
        <row r="1333">
          <cell r="E1333">
            <v>106085</v>
          </cell>
        </row>
        <row r="1334">
          <cell r="E1334">
            <v>106086</v>
          </cell>
        </row>
        <row r="1335">
          <cell r="E1335">
            <v>106087</v>
          </cell>
        </row>
        <row r="1336">
          <cell r="E1336">
            <v>106088</v>
          </cell>
        </row>
        <row r="1337">
          <cell r="E1337">
            <v>106089</v>
          </cell>
        </row>
        <row r="1338">
          <cell r="E1338">
            <v>106090</v>
          </cell>
        </row>
        <row r="1339">
          <cell r="E1339">
            <v>106091</v>
          </cell>
        </row>
        <row r="1340">
          <cell r="E1340">
            <v>106096</v>
          </cell>
        </row>
        <row r="1341">
          <cell r="E1341">
            <v>106097</v>
          </cell>
        </row>
        <row r="1342">
          <cell r="E1342">
            <v>106098</v>
          </cell>
        </row>
        <row r="1343">
          <cell r="E1343">
            <v>106100</v>
          </cell>
        </row>
        <row r="1344">
          <cell r="E1344">
            <v>106103</v>
          </cell>
        </row>
        <row r="1345">
          <cell r="E1345">
            <v>106104</v>
          </cell>
        </row>
        <row r="1346">
          <cell r="E1346">
            <v>106106</v>
          </cell>
        </row>
        <row r="1347">
          <cell r="E1347">
            <v>106107</v>
          </cell>
        </row>
        <row r="1348">
          <cell r="E1348">
            <v>106108</v>
          </cell>
        </row>
        <row r="1349">
          <cell r="E1349">
            <v>106111</v>
          </cell>
        </row>
        <row r="1350">
          <cell r="E1350">
            <v>106115</v>
          </cell>
        </row>
        <row r="1351">
          <cell r="E1351">
            <v>106117</v>
          </cell>
        </row>
        <row r="1352">
          <cell r="E1352">
            <v>106118</v>
          </cell>
        </row>
        <row r="1353">
          <cell r="E1353">
            <v>106123</v>
          </cell>
        </row>
        <row r="1354">
          <cell r="E1354">
            <v>106124</v>
          </cell>
        </row>
        <row r="1355">
          <cell r="E1355">
            <v>106125</v>
          </cell>
        </row>
        <row r="1356">
          <cell r="E1356">
            <v>106126</v>
          </cell>
        </row>
        <row r="1357">
          <cell r="E1357">
            <v>106127</v>
          </cell>
        </row>
        <row r="1358">
          <cell r="E1358">
            <v>106128</v>
          </cell>
        </row>
        <row r="1359">
          <cell r="E1359">
            <v>106129</v>
          </cell>
        </row>
        <row r="1360">
          <cell r="E1360">
            <v>106130</v>
          </cell>
        </row>
        <row r="1361">
          <cell r="E1361">
            <v>106131</v>
          </cell>
        </row>
        <row r="1362">
          <cell r="E1362">
            <v>106132</v>
          </cell>
        </row>
        <row r="1363">
          <cell r="E1363">
            <v>106133</v>
          </cell>
        </row>
        <row r="1364">
          <cell r="E1364">
            <v>106134</v>
          </cell>
        </row>
        <row r="1365">
          <cell r="E1365">
            <v>106137</v>
          </cell>
        </row>
        <row r="1366">
          <cell r="E1366">
            <v>106140</v>
          </cell>
        </row>
        <row r="1367">
          <cell r="E1367">
            <v>106143</v>
          </cell>
        </row>
        <row r="1368">
          <cell r="E1368">
            <v>106146</v>
          </cell>
        </row>
        <row r="1369">
          <cell r="E1369">
            <v>106149</v>
          </cell>
        </row>
        <row r="1370">
          <cell r="E1370">
            <v>106152</v>
          </cell>
        </row>
        <row r="1371">
          <cell r="E1371">
            <v>106154</v>
          </cell>
        </row>
        <row r="1372">
          <cell r="E1372">
            <v>106155</v>
          </cell>
        </row>
        <row r="1373">
          <cell r="E1373">
            <v>106156</v>
          </cell>
        </row>
        <row r="1374">
          <cell r="E1374">
            <v>106157</v>
          </cell>
        </row>
        <row r="1375">
          <cell r="E1375">
            <v>106158</v>
          </cell>
        </row>
        <row r="1376">
          <cell r="E1376">
            <v>106162</v>
          </cell>
        </row>
        <row r="1377">
          <cell r="E1377">
            <v>106163</v>
          </cell>
        </row>
        <row r="1378">
          <cell r="E1378">
            <v>106164</v>
          </cell>
        </row>
        <row r="1379">
          <cell r="E1379">
            <v>106165</v>
          </cell>
        </row>
        <row r="1380">
          <cell r="E1380">
            <v>106166</v>
          </cell>
        </row>
        <row r="1381">
          <cell r="E1381">
            <v>106167</v>
          </cell>
        </row>
        <row r="1382">
          <cell r="E1382">
            <v>106168</v>
          </cell>
        </row>
        <row r="1383">
          <cell r="E1383">
            <v>106170</v>
          </cell>
        </row>
        <row r="1384">
          <cell r="E1384">
            <v>106171</v>
          </cell>
        </row>
        <row r="1385">
          <cell r="E1385">
            <v>106172</v>
          </cell>
        </row>
        <row r="1386">
          <cell r="E1386">
            <v>106173</v>
          </cell>
        </row>
        <row r="1387">
          <cell r="E1387">
            <v>106174</v>
          </cell>
        </row>
        <row r="1388">
          <cell r="E1388">
            <v>106175</v>
          </cell>
        </row>
        <row r="1389">
          <cell r="E1389">
            <v>106179</v>
          </cell>
        </row>
        <row r="1390">
          <cell r="E1390">
            <v>106181</v>
          </cell>
        </row>
        <row r="1391">
          <cell r="E1391">
            <v>106182</v>
          </cell>
        </row>
        <row r="1392">
          <cell r="E1392">
            <v>106185</v>
          </cell>
        </row>
        <row r="1393">
          <cell r="E1393">
            <v>106187</v>
          </cell>
        </row>
        <row r="1394">
          <cell r="E1394">
            <v>106189</v>
          </cell>
        </row>
        <row r="1395">
          <cell r="E1395">
            <v>106193</v>
          </cell>
        </row>
        <row r="1396">
          <cell r="E1396">
            <v>106194</v>
          </cell>
        </row>
        <row r="1397">
          <cell r="E1397">
            <v>106195</v>
          </cell>
        </row>
        <row r="1398">
          <cell r="E1398">
            <v>106200</v>
          </cell>
        </row>
        <row r="1399">
          <cell r="E1399">
            <v>106201</v>
          </cell>
        </row>
        <row r="1400">
          <cell r="E1400">
            <v>106202</v>
          </cell>
        </row>
        <row r="1401">
          <cell r="E1401">
            <v>106203</v>
          </cell>
        </row>
        <row r="1402">
          <cell r="E1402">
            <v>106205</v>
          </cell>
        </row>
        <row r="1403">
          <cell r="E1403">
            <v>106206</v>
          </cell>
        </row>
        <row r="1404">
          <cell r="E1404">
            <v>106207</v>
          </cell>
        </row>
        <row r="1405">
          <cell r="E1405">
            <v>106208</v>
          </cell>
        </row>
        <row r="1406">
          <cell r="E1406">
            <v>106209</v>
          </cell>
        </row>
        <row r="1407">
          <cell r="E1407">
            <v>106219</v>
          </cell>
        </row>
        <row r="1408">
          <cell r="E1408">
            <v>106220</v>
          </cell>
        </row>
        <row r="1409">
          <cell r="E1409">
            <v>106226</v>
          </cell>
        </row>
        <row r="1410">
          <cell r="E1410">
            <v>106227</v>
          </cell>
        </row>
        <row r="1411">
          <cell r="E1411">
            <v>106229</v>
          </cell>
        </row>
        <row r="1412">
          <cell r="E1412">
            <v>106230</v>
          </cell>
        </row>
        <row r="1413">
          <cell r="E1413">
            <v>106233</v>
          </cell>
        </row>
        <row r="1414">
          <cell r="E1414">
            <v>106234</v>
          </cell>
        </row>
        <row r="1415">
          <cell r="E1415">
            <v>106237</v>
          </cell>
        </row>
        <row r="1416">
          <cell r="E1416">
            <v>106238</v>
          </cell>
        </row>
        <row r="1417">
          <cell r="E1417">
            <v>106239</v>
          </cell>
        </row>
        <row r="1418">
          <cell r="E1418">
            <v>106240</v>
          </cell>
        </row>
        <row r="1419">
          <cell r="E1419">
            <v>106241</v>
          </cell>
        </row>
        <row r="1420">
          <cell r="E1420">
            <v>106243</v>
          </cell>
        </row>
        <row r="1421">
          <cell r="E1421">
            <v>106244</v>
          </cell>
        </row>
        <row r="1422">
          <cell r="E1422">
            <v>106246</v>
          </cell>
        </row>
        <row r="1423">
          <cell r="E1423">
            <v>106247</v>
          </cell>
        </row>
        <row r="1424">
          <cell r="E1424">
            <v>106248</v>
          </cell>
        </row>
        <row r="1425">
          <cell r="E1425">
            <v>106251</v>
          </cell>
        </row>
        <row r="1426">
          <cell r="E1426">
            <v>106252</v>
          </cell>
        </row>
        <row r="1427">
          <cell r="E1427">
            <v>106253</v>
          </cell>
        </row>
        <row r="1428">
          <cell r="E1428">
            <v>106255</v>
          </cell>
        </row>
        <row r="1429">
          <cell r="E1429">
            <v>106259</v>
          </cell>
        </row>
        <row r="1430">
          <cell r="E1430">
            <v>106260</v>
          </cell>
        </row>
        <row r="1431">
          <cell r="E1431">
            <v>106262</v>
          </cell>
        </row>
        <row r="1432">
          <cell r="E1432">
            <v>106263</v>
          </cell>
        </row>
        <row r="1433">
          <cell r="E1433">
            <v>106264</v>
          </cell>
        </row>
        <row r="1434">
          <cell r="E1434">
            <v>106265</v>
          </cell>
        </row>
        <row r="1435">
          <cell r="E1435">
            <v>106272</v>
          </cell>
        </row>
        <row r="1436">
          <cell r="E1436">
            <v>106273</v>
          </cell>
        </row>
        <row r="1437">
          <cell r="E1437">
            <v>106277</v>
          </cell>
        </row>
        <row r="1438">
          <cell r="E1438">
            <v>106278</v>
          </cell>
        </row>
        <row r="1439">
          <cell r="E1439">
            <v>106279</v>
          </cell>
        </row>
        <row r="1440">
          <cell r="E1440">
            <v>106282</v>
          </cell>
        </row>
        <row r="1441">
          <cell r="E1441">
            <v>106283</v>
          </cell>
        </row>
        <row r="1442">
          <cell r="E1442">
            <v>106284</v>
          </cell>
        </row>
        <row r="1443">
          <cell r="E1443">
            <v>106285</v>
          </cell>
        </row>
        <row r="1444">
          <cell r="E1444">
            <v>106291</v>
          </cell>
        </row>
        <row r="1445">
          <cell r="E1445">
            <v>106294</v>
          </cell>
        </row>
        <row r="1446">
          <cell r="E1446">
            <v>106295</v>
          </cell>
        </row>
        <row r="1447">
          <cell r="E1447">
            <v>106296</v>
          </cell>
        </row>
        <row r="1448">
          <cell r="E1448">
            <v>106298</v>
          </cell>
        </row>
        <row r="1449">
          <cell r="E1449">
            <v>106299</v>
          </cell>
        </row>
        <row r="1450">
          <cell r="E1450">
            <v>106300</v>
          </cell>
        </row>
        <row r="1451">
          <cell r="E1451">
            <v>106301</v>
          </cell>
        </row>
        <row r="1452">
          <cell r="E1452">
            <v>106302</v>
          </cell>
        </row>
        <row r="1453">
          <cell r="E1453">
            <v>106303</v>
          </cell>
        </row>
        <row r="1454">
          <cell r="E1454">
            <v>106311</v>
          </cell>
        </row>
        <row r="1455">
          <cell r="E1455">
            <v>106312</v>
          </cell>
        </row>
        <row r="1456">
          <cell r="E1456">
            <v>106313</v>
          </cell>
        </row>
        <row r="1457">
          <cell r="E1457">
            <v>106314</v>
          </cell>
        </row>
        <row r="1458">
          <cell r="E1458">
            <v>106315</v>
          </cell>
        </row>
        <row r="1459">
          <cell r="E1459">
            <v>106320</v>
          </cell>
        </row>
        <row r="1460">
          <cell r="E1460">
            <v>106322</v>
          </cell>
        </row>
        <row r="1461">
          <cell r="E1461">
            <v>106324</v>
          </cell>
        </row>
        <row r="1462">
          <cell r="E1462">
            <v>106325</v>
          </cell>
        </row>
        <row r="1463">
          <cell r="E1463">
            <v>106329</v>
          </cell>
        </row>
        <row r="1464">
          <cell r="E1464">
            <v>106331</v>
          </cell>
        </row>
        <row r="1465">
          <cell r="E1465">
            <v>106332</v>
          </cell>
        </row>
        <row r="1466">
          <cell r="E1466">
            <v>106334</v>
          </cell>
        </row>
        <row r="1467">
          <cell r="E1467">
            <v>106336</v>
          </cell>
        </row>
        <row r="1468">
          <cell r="E1468">
            <v>106337</v>
          </cell>
        </row>
        <row r="1469">
          <cell r="E1469">
            <v>106338</v>
          </cell>
        </row>
        <row r="1470">
          <cell r="E1470">
            <v>106339</v>
          </cell>
        </row>
        <row r="1471">
          <cell r="E1471">
            <v>106341</v>
          </cell>
        </row>
        <row r="1472">
          <cell r="E1472">
            <v>106343</v>
          </cell>
        </row>
        <row r="1473">
          <cell r="E1473">
            <v>106344</v>
          </cell>
        </row>
        <row r="1474">
          <cell r="E1474">
            <v>106345</v>
          </cell>
        </row>
        <row r="1475">
          <cell r="E1475">
            <v>106346</v>
          </cell>
        </row>
        <row r="1476">
          <cell r="E1476">
            <v>106350</v>
          </cell>
        </row>
        <row r="1477">
          <cell r="E1477">
            <v>106353</v>
          </cell>
        </row>
        <row r="1478">
          <cell r="E1478">
            <v>106355</v>
          </cell>
        </row>
        <row r="1479">
          <cell r="E1479">
            <v>106356</v>
          </cell>
        </row>
        <row r="1480">
          <cell r="E1480">
            <v>106357</v>
          </cell>
        </row>
        <row r="1481">
          <cell r="E1481">
            <v>106361</v>
          </cell>
        </row>
        <row r="1482">
          <cell r="E1482">
            <v>106362</v>
          </cell>
        </row>
        <row r="1483">
          <cell r="E1483">
            <v>106364</v>
          </cell>
        </row>
        <row r="1484">
          <cell r="E1484">
            <v>106365</v>
          </cell>
        </row>
        <row r="1485">
          <cell r="E1485">
            <v>106367</v>
          </cell>
        </row>
        <row r="1486">
          <cell r="E1486">
            <v>106368</v>
          </cell>
        </row>
        <row r="1487">
          <cell r="E1487">
            <v>106369</v>
          </cell>
        </row>
        <row r="1488">
          <cell r="E1488">
            <v>106371</v>
          </cell>
        </row>
        <row r="1489">
          <cell r="E1489">
            <v>106372</v>
          </cell>
        </row>
        <row r="1490">
          <cell r="E1490">
            <v>106373</v>
          </cell>
        </row>
        <row r="1491">
          <cell r="E1491">
            <v>106384</v>
          </cell>
        </row>
        <row r="1492">
          <cell r="E1492">
            <v>106385</v>
          </cell>
        </row>
        <row r="1493">
          <cell r="E1493">
            <v>106386</v>
          </cell>
        </row>
        <row r="1494">
          <cell r="E1494">
            <v>106396</v>
          </cell>
        </row>
        <row r="1495">
          <cell r="E1495">
            <v>106397</v>
          </cell>
        </row>
        <row r="1496">
          <cell r="E1496">
            <v>106398</v>
          </cell>
        </row>
        <row r="1497">
          <cell r="E1497">
            <v>106399</v>
          </cell>
        </row>
        <row r="1498">
          <cell r="E1498">
            <v>106400</v>
          </cell>
        </row>
        <row r="1499">
          <cell r="E1499">
            <v>106405</v>
          </cell>
        </row>
        <row r="1500">
          <cell r="E1500">
            <v>106408</v>
          </cell>
        </row>
        <row r="1501">
          <cell r="E1501">
            <v>106411</v>
          </cell>
        </row>
        <row r="1502">
          <cell r="E1502">
            <v>106414</v>
          </cell>
        </row>
        <row r="1503">
          <cell r="E1503">
            <v>106417</v>
          </cell>
        </row>
        <row r="1504">
          <cell r="E1504">
            <v>106424</v>
          </cell>
        </row>
        <row r="1505">
          <cell r="E1505">
            <v>106427</v>
          </cell>
        </row>
        <row r="1506">
          <cell r="E1506">
            <v>106433</v>
          </cell>
        </row>
        <row r="1507">
          <cell r="E1507">
            <v>106435</v>
          </cell>
        </row>
        <row r="1508">
          <cell r="E1508">
            <v>106449</v>
          </cell>
        </row>
        <row r="1509">
          <cell r="E1509">
            <v>106458</v>
          </cell>
        </row>
        <row r="1510">
          <cell r="E1510">
            <v>106472</v>
          </cell>
        </row>
        <row r="1511">
          <cell r="E1511">
            <v>106478</v>
          </cell>
        </row>
        <row r="1512">
          <cell r="E1512">
            <v>106479</v>
          </cell>
        </row>
        <row r="1513">
          <cell r="E1513">
            <v>106506</v>
          </cell>
        </row>
        <row r="1514">
          <cell r="E1514">
            <v>106512</v>
          </cell>
        </row>
        <row r="1515">
          <cell r="E1515">
            <v>106513</v>
          </cell>
        </row>
        <row r="1516">
          <cell r="E1516">
            <v>106514</v>
          </cell>
        </row>
        <row r="1517">
          <cell r="E1517">
            <v>106515</v>
          </cell>
        </row>
        <row r="1518">
          <cell r="E1518">
            <v>106516</v>
          </cell>
        </row>
        <row r="1519">
          <cell r="E1519">
            <v>106517</v>
          </cell>
        </row>
        <row r="1520">
          <cell r="E1520">
            <v>106518</v>
          </cell>
        </row>
        <row r="1521">
          <cell r="E1521">
            <v>106523</v>
          </cell>
        </row>
        <row r="1522">
          <cell r="E1522">
            <v>106524</v>
          </cell>
        </row>
        <row r="1523">
          <cell r="E1523">
            <v>106525</v>
          </cell>
        </row>
        <row r="1524">
          <cell r="E1524">
            <v>106526</v>
          </cell>
        </row>
        <row r="1525">
          <cell r="E1525">
            <v>106527</v>
          </cell>
        </row>
        <row r="1526">
          <cell r="E1526">
            <v>106530</v>
          </cell>
        </row>
        <row r="1527">
          <cell r="E1527">
            <v>106533</v>
          </cell>
        </row>
        <row r="1528">
          <cell r="E1528">
            <v>106543</v>
          </cell>
        </row>
        <row r="1529">
          <cell r="E1529">
            <v>106545</v>
          </cell>
        </row>
        <row r="1530">
          <cell r="E1530">
            <v>106548</v>
          </cell>
        </row>
        <row r="1531">
          <cell r="E1531">
            <v>106550</v>
          </cell>
        </row>
        <row r="1532">
          <cell r="E1532">
            <v>106554</v>
          </cell>
        </row>
        <row r="1533">
          <cell r="E1533">
            <v>106555</v>
          </cell>
        </row>
        <row r="1534">
          <cell r="E1534">
            <v>106556</v>
          </cell>
        </row>
        <row r="1535">
          <cell r="E1535">
            <v>106557</v>
          </cell>
        </row>
        <row r="1536">
          <cell r="E1536">
            <v>106558</v>
          </cell>
        </row>
        <row r="1537">
          <cell r="E1537">
            <v>106559</v>
          </cell>
        </row>
        <row r="1538">
          <cell r="E1538">
            <v>106560</v>
          </cell>
        </row>
        <row r="1539">
          <cell r="E1539">
            <v>106561</v>
          </cell>
        </row>
        <row r="1540">
          <cell r="E1540">
            <v>106562</v>
          </cell>
        </row>
        <row r="1541">
          <cell r="E1541">
            <v>106563</v>
          </cell>
        </row>
        <row r="1542">
          <cell r="E1542">
            <v>106564</v>
          </cell>
        </row>
        <row r="1543">
          <cell r="E1543">
            <v>106565</v>
          </cell>
        </row>
        <row r="1544">
          <cell r="E1544">
            <v>106566</v>
          </cell>
        </row>
        <row r="1545">
          <cell r="E1545">
            <v>106567</v>
          </cell>
        </row>
        <row r="1546">
          <cell r="E1546">
            <v>106568</v>
          </cell>
        </row>
        <row r="1547">
          <cell r="E1547">
            <v>106570</v>
          </cell>
        </row>
        <row r="1548">
          <cell r="E1548">
            <v>106585</v>
          </cell>
        </row>
        <row r="1549">
          <cell r="E1549">
            <v>106586</v>
          </cell>
        </row>
        <row r="1550">
          <cell r="E1550">
            <v>106587</v>
          </cell>
        </row>
        <row r="1551">
          <cell r="E1551">
            <v>106588</v>
          </cell>
        </row>
        <row r="1552">
          <cell r="E1552">
            <v>106637</v>
          </cell>
        </row>
        <row r="1553">
          <cell r="E1553">
            <v>106657</v>
          </cell>
        </row>
        <row r="1554">
          <cell r="E1554">
            <v>106658</v>
          </cell>
        </row>
        <row r="1555">
          <cell r="E1555">
            <v>106659</v>
          </cell>
        </row>
        <row r="1556">
          <cell r="E1556">
            <v>106684</v>
          </cell>
        </row>
        <row r="1557">
          <cell r="E1557">
            <v>106685</v>
          </cell>
        </row>
        <row r="1558">
          <cell r="E1558">
            <v>106686</v>
          </cell>
        </row>
        <row r="1559">
          <cell r="E1559">
            <v>106687</v>
          </cell>
        </row>
        <row r="1560">
          <cell r="E1560">
            <v>106694</v>
          </cell>
        </row>
        <row r="1561">
          <cell r="E1561">
            <v>106710</v>
          </cell>
        </row>
        <row r="1562">
          <cell r="E1562">
            <v>106711</v>
          </cell>
        </row>
        <row r="1563">
          <cell r="E1563">
            <v>106712</v>
          </cell>
        </row>
        <row r="1564">
          <cell r="E1564">
            <v>106714</v>
          </cell>
        </row>
        <row r="1565">
          <cell r="E1565">
            <v>106721</v>
          </cell>
        </row>
        <row r="1566">
          <cell r="E1566">
            <v>106722</v>
          </cell>
        </row>
        <row r="1567">
          <cell r="E1567">
            <v>106723</v>
          </cell>
        </row>
        <row r="1568">
          <cell r="E1568">
            <v>106725</v>
          </cell>
        </row>
        <row r="1569">
          <cell r="E1569">
            <v>106726</v>
          </cell>
        </row>
        <row r="1570">
          <cell r="E1570">
            <v>106730</v>
          </cell>
        </row>
        <row r="1571">
          <cell r="E1571">
            <v>106731</v>
          </cell>
        </row>
        <row r="1572">
          <cell r="E1572">
            <v>106734</v>
          </cell>
        </row>
        <row r="1573">
          <cell r="E1573">
            <v>106735</v>
          </cell>
        </row>
        <row r="1574">
          <cell r="E1574">
            <v>106736</v>
          </cell>
        </row>
        <row r="1575">
          <cell r="E1575">
            <v>106742</v>
          </cell>
        </row>
        <row r="1576">
          <cell r="E1576">
            <v>106744</v>
          </cell>
        </row>
        <row r="1577">
          <cell r="E1577">
            <v>106745</v>
          </cell>
        </row>
        <row r="1578">
          <cell r="E1578">
            <v>106760</v>
          </cell>
        </row>
        <row r="1579">
          <cell r="E1579">
            <v>106766</v>
          </cell>
        </row>
        <row r="1580">
          <cell r="E1580">
            <v>106767</v>
          </cell>
        </row>
        <row r="1581">
          <cell r="E1581">
            <v>106769</v>
          </cell>
        </row>
        <row r="1582">
          <cell r="E1582">
            <v>106770</v>
          </cell>
        </row>
        <row r="1583">
          <cell r="E1583">
            <v>106782</v>
          </cell>
        </row>
        <row r="1584">
          <cell r="E1584">
            <v>106794</v>
          </cell>
        </row>
        <row r="1585">
          <cell r="E1585">
            <v>106811</v>
          </cell>
        </row>
        <row r="1586">
          <cell r="E1586">
            <v>106861</v>
          </cell>
        </row>
        <row r="1587">
          <cell r="E1587">
            <v>106911</v>
          </cell>
        </row>
        <row r="1588">
          <cell r="E1588">
            <v>106912</v>
          </cell>
        </row>
        <row r="1589">
          <cell r="E1589">
            <v>106928</v>
          </cell>
        </row>
        <row r="1590">
          <cell r="E1590">
            <v>106971</v>
          </cell>
        </row>
        <row r="1591">
          <cell r="E1591">
            <v>106994</v>
          </cell>
        </row>
        <row r="1592">
          <cell r="E1592">
            <v>107037</v>
          </cell>
        </row>
        <row r="1593">
          <cell r="E1593">
            <v>107038</v>
          </cell>
        </row>
        <row r="1594">
          <cell r="E1594">
            <v>107045</v>
          </cell>
        </row>
        <row r="1595">
          <cell r="E1595">
            <v>107046</v>
          </cell>
        </row>
        <row r="1596">
          <cell r="E1596">
            <v>107047</v>
          </cell>
        </row>
        <row r="1597">
          <cell r="E1597">
            <v>107063</v>
          </cell>
        </row>
        <row r="1598">
          <cell r="E1598">
            <v>107068</v>
          </cell>
        </row>
        <row r="1599">
          <cell r="E1599">
            <v>107072</v>
          </cell>
        </row>
        <row r="1600">
          <cell r="E1600">
            <v>107078</v>
          </cell>
        </row>
        <row r="1601">
          <cell r="E1601">
            <v>107079</v>
          </cell>
        </row>
        <row r="1602">
          <cell r="E1602">
            <v>107080</v>
          </cell>
        </row>
        <row r="1603">
          <cell r="E1603">
            <v>107083</v>
          </cell>
        </row>
        <row r="1604">
          <cell r="E1604">
            <v>107129</v>
          </cell>
        </row>
        <row r="1605">
          <cell r="E1605">
            <v>107143</v>
          </cell>
        </row>
        <row r="1606">
          <cell r="E1606">
            <v>107177</v>
          </cell>
        </row>
        <row r="1607">
          <cell r="E1607">
            <v>107179</v>
          </cell>
        </row>
        <row r="1608">
          <cell r="E1608">
            <v>107180</v>
          </cell>
        </row>
        <row r="1609">
          <cell r="E1609">
            <v>107181</v>
          </cell>
        </row>
        <row r="1610">
          <cell r="E1610">
            <v>107182</v>
          </cell>
        </row>
        <row r="1611">
          <cell r="E1611">
            <v>107184</v>
          </cell>
        </row>
        <row r="1612">
          <cell r="E1612">
            <v>107185</v>
          </cell>
        </row>
        <row r="1613">
          <cell r="E1613">
            <v>107186</v>
          </cell>
        </row>
        <row r="1614">
          <cell r="E1614">
            <v>107187</v>
          </cell>
        </row>
        <row r="1615">
          <cell r="E1615">
            <v>107188</v>
          </cell>
        </row>
        <row r="1616">
          <cell r="E1616">
            <v>107190</v>
          </cell>
        </row>
        <row r="1617">
          <cell r="E1617">
            <v>107191</v>
          </cell>
        </row>
        <row r="1618">
          <cell r="E1618">
            <v>107192</v>
          </cell>
        </row>
        <row r="1619">
          <cell r="E1619">
            <v>107194</v>
          </cell>
        </row>
        <row r="1620">
          <cell r="E1620">
            <v>107195</v>
          </cell>
        </row>
        <row r="1621">
          <cell r="E1621">
            <v>107197</v>
          </cell>
        </row>
        <row r="1622">
          <cell r="E1622">
            <v>107199</v>
          </cell>
        </row>
        <row r="1623">
          <cell r="E1623">
            <v>107201</v>
          </cell>
        </row>
        <row r="1624">
          <cell r="E1624">
            <v>107203</v>
          </cell>
        </row>
        <row r="1625">
          <cell r="E1625">
            <v>107204</v>
          </cell>
        </row>
        <row r="1626">
          <cell r="E1626">
            <v>107205</v>
          </cell>
        </row>
        <row r="1627">
          <cell r="E1627">
            <v>107206</v>
          </cell>
        </row>
        <row r="1628">
          <cell r="E1628">
            <v>107208</v>
          </cell>
        </row>
        <row r="1629">
          <cell r="E1629">
            <v>107210</v>
          </cell>
        </row>
        <row r="1630">
          <cell r="E1630">
            <v>107211</v>
          </cell>
        </row>
        <row r="1631">
          <cell r="E1631">
            <v>107212</v>
          </cell>
        </row>
        <row r="1632">
          <cell r="E1632">
            <v>107213</v>
          </cell>
        </row>
        <row r="1633">
          <cell r="E1633">
            <v>107214</v>
          </cell>
        </row>
        <row r="1634">
          <cell r="E1634">
            <v>107217</v>
          </cell>
        </row>
        <row r="1635">
          <cell r="E1635">
            <v>107300</v>
          </cell>
        </row>
        <row r="1636">
          <cell r="E1636">
            <v>107303</v>
          </cell>
        </row>
        <row r="1637">
          <cell r="E1637">
            <v>107314</v>
          </cell>
        </row>
        <row r="1638">
          <cell r="E1638">
            <v>107315</v>
          </cell>
        </row>
        <row r="1639">
          <cell r="E1639">
            <v>107317</v>
          </cell>
        </row>
        <row r="1640">
          <cell r="E1640">
            <v>107331</v>
          </cell>
        </row>
        <row r="1641">
          <cell r="E1641">
            <v>107334</v>
          </cell>
        </row>
        <row r="1642">
          <cell r="E1642">
            <v>107335</v>
          </cell>
        </row>
        <row r="1643">
          <cell r="E1643">
            <v>107341</v>
          </cell>
        </row>
        <row r="1644">
          <cell r="E1644">
            <v>107342</v>
          </cell>
        </row>
        <row r="1645">
          <cell r="E1645">
            <v>107344</v>
          </cell>
        </row>
        <row r="1646">
          <cell r="E1646">
            <v>107354</v>
          </cell>
        </row>
        <row r="1647">
          <cell r="E1647">
            <v>107356</v>
          </cell>
        </row>
        <row r="1648">
          <cell r="E1648">
            <v>107359</v>
          </cell>
        </row>
        <row r="1649">
          <cell r="E1649">
            <v>107360</v>
          </cell>
        </row>
        <row r="1650">
          <cell r="E1650">
            <v>107369</v>
          </cell>
        </row>
        <row r="1651">
          <cell r="E1651">
            <v>107371</v>
          </cell>
        </row>
        <row r="1652">
          <cell r="E1652">
            <v>107372</v>
          </cell>
        </row>
        <row r="1653">
          <cell r="E1653">
            <v>107373</v>
          </cell>
        </row>
        <row r="1654">
          <cell r="E1654">
            <v>107388</v>
          </cell>
        </row>
        <row r="1655">
          <cell r="E1655">
            <v>107395</v>
          </cell>
        </row>
        <row r="1656">
          <cell r="E1656">
            <v>107400</v>
          </cell>
        </row>
        <row r="1657">
          <cell r="E1657">
            <v>107401</v>
          </cell>
        </row>
        <row r="1658">
          <cell r="E1658">
            <v>107402</v>
          </cell>
        </row>
        <row r="1659">
          <cell r="E1659">
            <v>107404</v>
          </cell>
        </row>
        <row r="1660">
          <cell r="E1660">
            <v>107411</v>
          </cell>
        </row>
        <row r="1661">
          <cell r="E1661">
            <v>107424</v>
          </cell>
        </row>
        <row r="1662">
          <cell r="E1662">
            <v>107425</v>
          </cell>
        </row>
        <row r="1663">
          <cell r="E1663">
            <v>107426</v>
          </cell>
        </row>
        <row r="1664">
          <cell r="E1664">
            <v>107427</v>
          </cell>
        </row>
        <row r="1665">
          <cell r="E1665">
            <v>107428</v>
          </cell>
        </row>
        <row r="1666">
          <cell r="E1666">
            <v>107429</v>
          </cell>
        </row>
        <row r="1667">
          <cell r="E1667">
            <v>107430</v>
          </cell>
        </row>
        <row r="1668">
          <cell r="E1668">
            <v>107431</v>
          </cell>
        </row>
        <row r="1669">
          <cell r="E1669">
            <v>107432</v>
          </cell>
        </row>
        <row r="1670">
          <cell r="E1670">
            <v>107436</v>
          </cell>
        </row>
        <row r="1671">
          <cell r="E1671">
            <v>107437</v>
          </cell>
        </row>
        <row r="1672">
          <cell r="E1672">
            <v>107438</v>
          </cell>
        </row>
        <row r="1673">
          <cell r="E1673">
            <v>107439</v>
          </cell>
        </row>
        <row r="1674">
          <cell r="E1674">
            <v>107441</v>
          </cell>
        </row>
        <row r="1675">
          <cell r="E1675">
            <v>107442</v>
          </cell>
        </row>
        <row r="1676">
          <cell r="E1676">
            <v>107450</v>
          </cell>
        </row>
        <row r="1677">
          <cell r="E1677">
            <v>107453</v>
          </cell>
        </row>
        <row r="1678">
          <cell r="E1678">
            <v>107456</v>
          </cell>
        </row>
        <row r="1679">
          <cell r="E1679">
            <v>107457</v>
          </cell>
        </row>
        <row r="1680">
          <cell r="E1680">
            <v>107465</v>
          </cell>
        </row>
        <row r="1681">
          <cell r="E1681">
            <v>107466</v>
          </cell>
        </row>
        <row r="1682">
          <cell r="E1682">
            <v>107469</v>
          </cell>
        </row>
        <row r="1683">
          <cell r="E1683">
            <v>107478</v>
          </cell>
        </row>
        <row r="1684">
          <cell r="E1684">
            <v>107487</v>
          </cell>
        </row>
        <row r="1685">
          <cell r="E1685">
            <v>107488</v>
          </cell>
        </row>
        <row r="1686">
          <cell r="E1686">
            <v>107503</v>
          </cell>
        </row>
        <row r="1687">
          <cell r="E1687">
            <v>107508</v>
          </cell>
        </row>
        <row r="1688">
          <cell r="E1688">
            <v>107509</v>
          </cell>
        </row>
        <row r="1689">
          <cell r="E1689">
            <v>107510</v>
          </cell>
        </row>
        <row r="1690">
          <cell r="E1690">
            <v>107511</v>
          </cell>
        </row>
        <row r="1691">
          <cell r="E1691">
            <v>107514</v>
          </cell>
        </row>
        <row r="1692">
          <cell r="E1692">
            <v>107515</v>
          </cell>
        </row>
        <row r="1693">
          <cell r="E1693">
            <v>107516</v>
          </cell>
        </row>
        <row r="1694">
          <cell r="E1694">
            <v>107517</v>
          </cell>
        </row>
        <row r="1695">
          <cell r="E1695">
            <v>107518</v>
          </cell>
        </row>
        <row r="1696">
          <cell r="E1696">
            <v>107519</v>
          </cell>
        </row>
        <row r="1697">
          <cell r="E1697">
            <v>107529</v>
          </cell>
        </row>
        <row r="1698">
          <cell r="E1698">
            <v>107535</v>
          </cell>
        </row>
        <row r="1699">
          <cell r="E1699">
            <v>107536</v>
          </cell>
        </row>
        <row r="1700">
          <cell r="E1700">
            <v>107537</v>
          </cell>
        </row>
        <row r="1701">
          <cell r="E1701">
            <v>107538</v>
          </cell>
        </row>
        <row r="1702">
          <cell r="E1702">
            <v>107539</v>
          </cell>
        </row>
        <row r="1703">
          <cell r="E1703">
            <v>107540</v>
          </cell>
        </row>
        <row r="1704">
          <cell r="E1704">
            <v>107541</v>
          </cell>
        </row>
        <row r="1705">
          <cell r="E1705">
            <v>107549</v>
          </cell>
        </row>
        <row r="1706">
          <cell r="E1706">
            <v>107553</v>
          </cell>
        </row>
        <row r="1707">
          <cell r="E1707">
            <v>107559</v>
          </cell>
        </row>
        <row r="1708">
          <cell r="E1708">
            <v>107560</v>
          </cell>
        </row>
        <row r="1709">
          <cell r="E1709">
            <v>107565</v>
          </cell>
        </row>
        <row r="1710">
          <cell r="E1710">
            <v>107566</v>
          </cell>
        </row>
        <row r="1711">
          <cell r="E1711">
            <v>107571</v>
          </cell>
        </row>
        <row r="1712">
          <cell r="E1712">
            <v>107572</v>
          </cell>
        </row>
        <row r="1713">
          <cell r="E1713">
            <v>107581</v>
          </cell>
        </row>
        <row r="1714">
          <cell r="E1714">
            <v>107582</v>
          </cell>
        </row>
        <row r="1715">
          <cell r="E1715">
            <v>107588</v>
          </cell>
        </row>
        <row r="1716">
          <cell r="E1716">
            <v>107591</v>
          </cell>
        </row>
        <row r="1717">
          <cell r="E1717">
            <v>107617</v>
          </cell>
        </row>
        <row r="1718">
          <cell r="E1718">
            <v>107659</v>
          </cell>
        </row>
        <row r="1719">
          <cell r="E1719">
            <v>107726</v>
          </cell>
        </row>
        <row r="1720">
          <cell r="E1720">
            <v>107731</v>
          </cell>
        </row>
        <row r="1721">
          <cell r="E1721">
            <v>107807</v>
          </cell>
        </row>
        <row r="1722">
          <cell r="E1722">
            <v>107823</v>
          </cell>
        </row>
        <row r="1723">
          <cell r="E1723">
            <v>107839</v>
          </cell>
        </row>
        <row r="1724">
          <cell r="E1724">
            <v>107855</v>
          </cell>
        </row>
        <row r="1725">
          <cell r="E1725">
            <v>107856</v>
          </cell>
        </row>
        <row r="1726">
          <cell r="E1726">
            <v>107857</v>
          </cell>
        </row>
        <row r="1727">
          <cell r="E1727">
            <v>107858</v>
          </cell>
        </row>
        <row r="1728">
          <cell r="E1728">
            <v>107958</v>
          </cell>
        </row>
        <row r="1729">
          <cell r="E1729">
            <v>107959</v>
          </cell>
        </row>
        <row r="1730">
          <cell r="E1730">
            <v>107960</v>
          </cell>
        </row>
        <row r="1731">
          <cell r="E1731">
            <v>107961</v>
          </cell>
        </row>
        <row r="1732">
          <cell r="E1732">
            <v>107962</v>
          </cell>
        </row>
        <row r="1733">
          <cell r="E1733">
            <v>107963</v>
          </cell>
        </row>
        <row r="1734">
          <cell r="E1734">
            <v>107964</v>
          </cell>
        </row>
        <row r="1735">
          <cell r="E1735">
            <v>107967</v>
          </cell>
        </row>
        <row r="1736">
          <cell r="E1736">
            <v>107970</v>
          </cell>
        </row>
        <row r="1737">
          <cell r="E1737">
            <v>107973</v>
          </cell>
        </row>
        <row r="1738">
          <cell r="E1738">
            <v>107975</v>
          </cell>
        </row>
        <row r="1739">
          <cell r="E1739">
            <v>107976</v>
          </cell>
        </row>
        <row r="1740">
          <cell r="E1740">
            <v>107984</v>
          </cell>
        </row>
        <row r="1741">
          <cell r="E1741">
            <v>107985</v>
          </cell>
        </row>
        <row r="1742">
          <cell r="E1742">
            <v>107986</v>
          </cell>
        </row>
        <row r="1743">
          <cell r="E1743">
            <v>108001</v>
          </cell>
        </row>
        <row r="1744">
          <cell r="E1744">
            <v>108002</v>
          </cell>
        </row>
        <row r="1745">
          <cell r="E1745">
            <v>108003</v>
          </cell>
        </row>
        <row r="1746">
          <cell r="E1746">
            <v>108013</v>
          </cell>
        </row>
        <row r="1747">
          <cell r="E1747">
            <v>108031</v>
          </cell>
        </row>
        <row r="1748">
          <cell r="E1748">
            <v>108074</v>
          </cell>
        </row>
        <row r="1749">
          <cell r="E1749">
            <v>108080</v>
          </cell>
        </row>
        <row r="1750">
          <cell r="E1750">
            <v>108081</v>
          </cell>
        </row>
        <row r="1751">
          <cell r="E1751">
            <v>108082</v>
          </cell>
        </row>
        <row r="1752">
          <cell r="E1752">
            <v>108083</v>
          </cell>
        </row>
        <row r="1753">
          <cell r="E1753">
            <v>108089</v>
          </cell>
        </row>
        <row r="1754">
          <cell r="E1754">
            <v>108090</v>
          </cell>
        </row>
        <row r="1755">
          <cell r="E1755">
            <v>108092</v>
          </cell>
        </row>
        <row r="1756">
          <cell r="E1756">
            <v>108094</v>
          </cell>
        </row>
        <row r="1757">
          <cell r="E1757">
            <v>108099</v>
          </cell>
        </row>
        <row r="1758">
          <cell r="E1758">
            <v>108109</v>
          </cell>
        </row>
        <row r="1759">
          <cell r="E1759">
            <v>108110</v>
          </cell>
        </row>
        <row r="1760">
          <cell r="E1760">
            <v>108111</v>
          </cell>
        </row>
        <row r="1761">
          <cell r="E1761">
            <v>108113</v>
          </cell>
        </row>
        <row r="1762">
          <cell r="E1762">
            <v>108117</v>
          </cell>
        </row>
        <row r="1763">
          <cell r="E1763">
            <v>108118</v>
          </cell>
        </row>
        <row r="1764">
          <cell r="E1764">
            <v>108124</v>
          </cell>
        </row>
        <row r="1765">
          <cell r="E1765">
            <v>108127</v>
          </cell>
        </row>
        <row r="1766">
          <cell r="E1766">
            <v>108132</v>
          </cell>
        </row>
        <row r="1767">
          <cell r="E1767">
            <v>108136</v>
          </cell>
        </row>
        <row r="1768">
          <cell r="E1768">
            <v>108137</v>
          </cell>
        </row>
        <row r="1769">
          <cell r="E1769">
            <v>108142</v>
          </cell>
        </row>
        <row r="1770">
          <cell r="E1770">
            <v>108145</v>
          </cell>
        </row>
        <row r="1771">
          <cell r="E1771">
            <v>108146</v>
          </cell>
        </row>
        <row r="1772">
          <cell r="E1772">
            <v>108147</v>
          </cell>
        </row>
        <row r="1773">
          <cell r="E1773">
            <v>108148</v>
          </cell>
        </row>
        <row r="1774">
          <cell r="E1774">
            <v>108149</v>
          </cell>
        </row>
        <row r="1775">
          <cell r="E1775">
            <v>108150</v>
          </cell>
        </row>
        <row r="1776">
          <cell r="E1776">
            <v>108151</v>
          </cell>
        </row>
        <row r="1777">
          <cell r="E1777">
            <v>108152</v>
          </cell>
        </row>
        <row r="1778">
          <cell r="E1778">
            <v>108153</v>
          </cell>
        </row>
        <row r="1779">
          <cell r="E1779">
            <v>108154</v>
          </cell>
        </row>
        <row r="1780">
          <cell r="E1780">
            <v>108155</v>
          </cell>
        </row>
        <row r="1781">
          <cell r="E1781">
            <v>108156</v>
          </cell>
        </row>
        <row r="1782">
          <cell r="E1782">
            <v>108157</v>
          </cell>
        </row>
        <row r="1783">
          <cell r="E1783">
            <v>108158</v>
          </cell>
        </row>
        <row r="1784">
          <cell r="E1784">
            <v>108164</v>
          </cell>
        </row>
        <row r="1785">
          <cell r="E1785">
            <v>108168</v>
          </cell>
        </row>
        <row r="1786">
          <cell r="E1786">
            <v>108173</v>
          </cell>
        </row>
        <row r="1787">
          <cell r="E1787">
            <v>108177</v>
          </cell>
        </row>
        <row r="1788">
          <cell r="E1788">
            <v>108180</v>
          </cell>
        </row>
        <row r="1789">
          <cell r="E1789">
            <v>108181</v>
          </cell>
        </row>
        <row r="1790">
          <cell r="E1790">
            <v>108186</v>
          </cell>
        </row>
        <row r="1791">
          <cell r="E1791">
            <v>108187</v>
          </cell>
        </row>
        <row r="1792">
          <cell r="E1792">
            <v>108188</v>
          </cell>
        </row>
        <row r="1793">
          <cell r="E1793">
            <v>108189</v>
          </cell>
        </row>
        <row r="1794">
          <cell r="E1794">
            <v>108190</v>
          </cell>
        </row>
        <row r="1795">
          <cell r="E1795">
            <v>108191</v>
          </cell>
        </row>
        <row r="1796">
          <cell r="E1796">
            <v>108192</v>
          </cell>
        </row>
        <row r="1797">
          <cell r="E1797">
            <v>108196</v>
          </cell>
        </row>
        <row r="1798">
          <cell r="E1798">
            <v>108197</v>
          </cell>
        </row>
        <row r="1799">
          <cell r="E1799">
            <v>108198</v>
          </cell>
        </row>
        <row r="1800">
          <cell r="E1800">
            <v>108199</v>
          </cell>
        </row>
        <row r="1801">
          <cell r="E1801">
            <v>108200</v>
          </cell>
        </row>
        <row r="1802">
          <cell r="E1802">
            <v>108201</v>
          </cell>
        </row>
        <row r="1803">
          <cell r="E1803">
            <v>108204</v>
          </cell>
        </row>
        <row r="1804">
          <cell r="E1804">
            <v>108207</v>
          </cell>
        </row>
        <row r="1805">
          <cell r="E1805">
            <v>108215</v>
          </cell>
        </row>
        <row r="1806">
          <cell r="E1806">
            <v>108216</v>
          </cell>
        </row>
        <row r="1807">
          <cell r="E1807">
            <v>108217</v>
          </cell>
        </row>
        <row r="1808">
          <cell r="E1808">
            <v>108218</v>
          </cell>
        </row>
        <row r="1809">
          <cell r="E1809">
            <v>108219</v>
          </cell>
        </row>
        <row r="1810">
          <cell r="E1810">
            <v>108222</v>
          </cell>
        </row>
        <row r="1811">
          <cell r="E1811">
            <v>108224</v>
          </cell>
        </row>
        <row r="1812">
          <cell r="E1812">
            <v>108230</v>
          </cell>
        </row>
        <row r="1813">
          <cell r="E1813">
            <v>108231</v>
          </cell>
        </row>
        <row r="1814">
          <cell r="E1814">
            <v>108232</v>
          </cell>
        </row>
        <row r="1815">
          <cell r="E1815">
            <v>108233</v>
          </cell>
        </row>
        <row r="1816">
          <cell r="E1816">
            <v>108234</v>
          </cell>
        </row>
        <row r="1817">
          <cell r="E1817">
            <v>108235</v>
          </cell>
        </row>
        <row r="1818">
          <cell r="E1818">
            <v>108236</v>
          </cell>
        </row>
        <row r="1819">
          <cell r="E1819">
            <v>108237</v>
          </cell>
        </row>
        <row r="1820">
          <cell r="E1820">
            <v>108247</v>
          </cell>
        </row>
        <row r="1821">
          <cell r="E1821">
            <v>108264</v>
          </cell>
        </row>
        <row r="1822">
          <cell r="E1822">
            <v>108265</v>
          </cell>
        </row>
        <row r="1823">
          <cell r="E1823">
            <v>108266</v>
          </cell>
        </row>
        <row r="1824">
          <cell r="E1824">
            <v>108267</v>
          </cell>
        </row>
        <row r="1825">
          <cell r="E1825">
            <v>108269</v>
          </cell>
        </row>
        <row r="1826">
          <cell r="E1826">
            <v>108271</v>
          </cell>
        </row>
        <row r="1827">
          <cell r="E1827">
            <v>108272</v>
          </cell>
        </row>
        <row r="1828">
          <cell r="E1828">
            <v>108273</v>
          </cell>
        </row>
        <row r="1829">
          <cell r="E1829">
            <v>108274</v>
          </cell>
        </row>
        <row r="1830">
          <cell r="E1830">
            <v>108275</v>
          </cell>
        </row>
        <row r="1831">
          <cell r="E1831">
            <v>108279</v>
          </cell>
        </row>
        <row r="1832">
          <cell r="E1832">
            <v>108280</v>
          </cell>
        </row>
        <row r="1833">
          <cell r="E1833">
            <v>108281</v>
          </cell>
        </row>
        <row r="1834">
          <cell r="E1834">
            <v>108282</v>
          </cell>
        </row>
        <row r="1835">
          <cell r="E1835">
            <v>108283</v>
          </cell>
        </row>
        <row r="1836">
          <cell r="E1836">
            <v>108284</v>
          </cell>
        </row>
        <row r="1837">
          <cell r="E1837">
            <v>108285</v>
          </cell>
        </row>
        <row r="1838">
          <cell r="E1838">
            <v>108286</v>
          </cell>
        </row>
        <row r="1839">
          <cell r="E1839">
            <v>108287</v>
          </cell>
        </row>
        <row r="1840">
          <cell r="E1840">
            <v>108288</v>
          </cell>
        </row>
        <row r="1841">
          <cell r="E1841">
            <v>108289</v>
          </cell>
        </row>
        <row r="1842">
          <cell r="E1842">
            <v>108291</v>
          </cell>
        </row>
        <row r="1843">
          <cell r="E1843">
            <v>108292</v>
          </cell>
        </row>
        <row r="1844">
          <cell r="E1844">
            <v>108293</v>
          </cell>
        </row>
        <row r="1845">
          <cell r="E1845">
            <v>108294</v>
          </cell>
        </row>
        <row r="1846">
          <cell r="E1846">
            <v>108295</v>
          </cell>
        </row>
        <row r="1847">
          <cell r="E1847">
            <v>108296</v>
          </cell>
        </row>
        <row r="1848">
          <cell r="E1848">
            <v>108297</v>
          </cell>
        </row>
        <row r="1849">
          <cell r="E1849">
            <v>108298</v>
          </cell>
        </row>
        <row r="1850">
          <cell r="E1850">
            <v>108304</v>
          </cell>
        </row>
        <row r="1851">
          <cell r="E1851">
            <v>108325</v>
          </cell>
        </row>
        <row r="1852">
          <cell r="E1852">
            <v>108330</v>
          </cell>
        </row>
        <row r="1853">
          <cell r="E1853">
            <v>108332</v>
          </cell>
        </row>
        <row r="1854">
          <cell r="E1854">
            <v>108335</v>
          </cell>
        </row>
        <row r="1855">
          <cell r="E1855">
            <v>108338</v>
          </cell>
        </row>
        <row r="1856">
          <cell r="E1856">
            <v>108339</v>
          </cell>
        </row>
        <row r="1857">
          <cell r="E1857">
            <v>108340</v>
          </cell>
        </row>
        <row r="1858">
          <cell r="E1858">
            <v>108341</v>
          </cell>
        </row>
        <row r="1859">
          <cell r="E1859">
            <v>108342</v>
          </cell>
        </row>
        <row r="1860">
          <cell r="E1860">
            <v>108343</v>
          </cell>
        </row>
        <row r="1861">
          <cell r="E1861">
            <v>108344</v>
          </cell>
        </row>
        <row r="1862">
          <cell r="E1862">
            <v>108345</v>
          </cell>
        </row>
        <row r="1863">
          <cell r="E1863">
            <v>108346</v>
          </cell>
        </row>
        <row r="1864">
          <cell r="E1864">
            <v>108354</v>
          </cell>
        </row>
        <row r="1865">
          <cell r="E1865">
            <v>108357</v>
          </cell>
        </row>
        <row r="1866">
          <cell r="E1866">
            <v>108362</v>
          </cell>
        </row>
        <row r="1867">
          <cell r="E1867">
            <v>108364</v>
          </cell>
        </row>
        <row r="1868">
          <cell r="E1868">
            <v>108368</v>
          </cell>
        </row>
        <row r="1869">
          <cell r="E1869">
            <v>108369</v>
          </cell>
        </row>
        <row r="1870">
          <cell r="E1870">
            <v>108373</v>
          </cell>
        </row>
        <row r="1871">
          <cell r="E1871">
            <v>108374</v>
          </cell>
        </row>
        <row r="1872">
          <cell r="E1872">
            <v>108376</v>
          </cell>
        </row>
        <row r="1873">
          <cell r="E1873">
            <v>108377</v>
          </cell>
        </row>
        <row r="1874">
          <cell r="E1874">
            <v>108386</v>
          </cell>
        </row>
        <row r="1875">
          <cell r="E1875">
            <v>108398</v>
          </cell>
        </row>
        <row r="1876">
          <cell r="E1876">
            <v>108403</v>
          </cell>
        </row>
        <row r="1877">
          <cell r="E1877">
            <v>108404</v>
          </cell>
        </row>
        <row r="1878">
          <cell r="E1878">
            <v>108409</v>
          </cell>
        </row>
        <row r="1879">
          <cell r="E1879">
            <v>108410</v>
          </cell>
        </row>
        <row r="1880">
          <cell r="E1880">
            <v>108411</v>
          </cell>
        </row>
        <row r="1881">
          <cell r="E1881">
            <v>108422</v>
          </cell>
        </row>
        <row r="1882">
          <cell r="E1882">
            <v>108423</v>
          </cell>
        </row>
        <row r="1883">
          <cell r="E1883">
            <v>108429</v>
          </cell>
        </row>
        <row r="1884">
          <cell r="E1884">
            <v>108451</v>
          </cell>
        </row>
        <row r="1885">
          <cell r="E1885">
            <v>108456</v>
          </cell>
        </row>
        <row r="1886">
          <cell r="E1886">
            <v>108460</v>
          </cell>
        </row>
        <row r="1887">
          <cell r="E1887">
            <v>108461</v>
          </cell>
        </row>
        <row r="1888">
          <cell r="E1888">
            <v>108462</v>
          </cell>
        </row>
        <row r="1889">
          <cell r="E1889">
            <v>108463</v>
          </cell>
        </row>
        <row r="1890">
          <cell r="E1890">
            <v>108464</v>
          </cell>
        </row>
        <row r="1891">
          <cell r="E1891">
            <v>108474</v>
          </cell>
        </row>
        <row r="1892">
          <cell r="E1892">
            <v>108480</v>
          </cell>
        </row>
        <row r="1893">
          <cell r="E1893">
            <v>108488</v>
          </cell>
        </row>
        <row r="1894">
          <cell r="E1894">
            <v>108491</v>
          </cell>
        </row>
        <row r="1895">
          <cell r="E1895">
            <v>108499</v>
          </cell>
        </row>
        <row r="1896">
          <cell r="E1896">
            <v>108500</v>
          </cell>
        </row>
        <row r="1897">
          <cell r="E1897">
            <v>108501</v>
          </cell>
        </row>
        <row r="1898">
          <cell r="E1898">
            <v>108502</v>
          </cell>
        </row>
        <row r="1899">
          <cell r="E1899">
            <v>108504</v>
          </cell>
        </row>
        <row r="1900">
          <cell r="E1900">
            <v>108518</v>
          </cell>
        </row>
        <row r="1901">
          <cell r="E1901">
            <v>108523</v>
          </cell>
        </row>
        <row r="1902">
          <cell r="E1902">
            <v>108528</v>
          </cell>
        </row>
        <row r="1903">
          <cell r="E1903">
            <v>108529</v>
          </cell>
        </row>
        <row r="1904">
          <cell r="E1904">
            <v>108531</v>
          </cell>
        </row>
        <row r="1905">
          <cell r="E1905">
            <v>108532</v>
          </cell>
        </row>
        <row r="1906">
          <cell r="E1906">
            <v>108533</v>
          </cell>
        </row>
        <row r="1907">
          <cell r="E1907">
            <v>108534</v>
          </cell>
        </row>
        <row r="1908">
          <cell r="E1908">
            <v>108535</v>
          </cell>
        </row>
        <row r="1909">
          <cell r="E1909">
            <v>108542</v>
          </cell>
        </row>
        <row r="1910">
          <cell r="E1910">
            <v>108543</v>
          </cell>
        </row>
        <row r="1911">
          <cell r="E1911">
            <v>108544</v>
          </cell>
        </row>
        <row r="1912">
          <cell r="E1912">
            <v>108545</v>
          </cell>
        </row>
        <row r="1913">
          <cell r="E1913">
            <v>108558</v>
          </cell>
        </row>
        <row r="1914">
          <cell r="E1914">
            <v>108559</v>
          </cell>
        </row>
        <row r="1915">
          <cell r="E1915">
            <v>108560</v>
          </cell>
        </row>
        <row r="1916">
          <cell r="E1916">
            <v>108561</v>
          </cell>
        </row>
        <row r="1917">
          <cell r="E1917">
            <v>108564</v>
          </cell>
        </row>
        <row r="1918">
          <cell r="E1918">
            <v>108565</v>
          </cell>
        </row>
        <row r="1919">
          <cell r="E1919">
            <v>108566</v>
          </cell>
        </row>
        <row r="1920">
          <cell r="E1920">
            <v>108567</v>
          </cell>
        </row>
        <row r="1921">
          <cell r="E1921">
            <v>108568</v>
          </cell>
        </row>
        <row r="1922">
          <cell r="E1922">
            <v>108585</v>
          </cell>
        </row>
        <row r="1923">
          <cell r="E1923">
            <v>108586</v>
          </cell>
        </row>
        <row r="1924">
          <cell r="E1924">
            <v>108588</v>
          </cell>
        </row>
        <row r="1925">
          <cell r="E1925">
            <v>108589</v>
          </cell>
        </row>
        <row r="1926">
          <cell r="E1926">
            <v>108590</v>
          </cell>
        </row>
        <row r="1927">
          <cell r="E1927">
            <v>108591</v>
          </cell>
        </row>
        <row r="1928">
          <cell r="E1928">
            <v>108592</v>
          </cell>
        </row>
        <row r="1929">
          <cell r="E1929">
            <v>108597</v>
          </cell>
        </row>
        <row r="1930">
          <cell r="E1930">
            <v>108598</v>
          </cell>
        </row>
        <row r="1931">
          <cell r="E1931">
            <v>108601</v>
          </cell>
        </row>
        <row r="1932">
          <cell r="E1932">
            <v>108602</v>
          </cell>
        </row>
        <row r="1933">
          <cell r="E1933">
            <v>108605</v>
          </cell>
        </row>
        <row r="1934">
          <cell r="E1934">
            <v>108606</v>
          </cell>
        </row>
        <row r="1935">
          <cell r="E1935">
            <v>108609</v>
          </cell>
        </row>
        <row r="1936">
          <cell r="E1936">
            <v>108610</v>
          </cell>
        </row>
        <row r="1937">
          <cell r="E1937">
            <v>108611</v>
          </cell>
        </row>
        <row r="1938">
          <cell r="E1938">
            <v>108612</v>
          </cell>
        </row>
        <row r="1939">
          <cell r="E1939">
            <v>108613</v>
          </cell>
        </row>
        <row r="1940">
          <cell r="E1940">
            <v>108614</v>
          </cell>
        </row>
        <row r="1941">
          <cell r="E1941">
            <v>108615</v>
          </cell>
        </row>
        <row r="1942">
          <cell r="E1942">
            <v>108616</v>
          </cell>
        </row>
        <row r="1943">
          <cell r="E1943">
            <v>108617</v>
          </cell>
        </row>
        <row r="1944">
          <cell r="E1944">
            <v>108618</v>
          </cell>
        </row>
        <row r="1945">
          <cell r="E1945">
            <v>108619</v>
          </cell>
        </row>
        <row r="1946">
          <cell r="E1946">
            <v>108622</v>
          </cell>
        </row>
        <row r="1947">
          <cell r="E1947">
            <v>108623</v>
          </cell>
        </row>
        <row r="1948">
          <cell r="E1948">
            <v>108624</v>
          </cell>
        </row>
        <row r="1949">
          <cell r="E1949">
            <v>108625</v>
          </cell>
        </row>
        <row r="1950">
          <cell r="E1950">
            <v>108626</v>
          </cell>
        </row>
        <row r="1951">
          <cell r="E1951">
            <v>108630</v>
          </cell>
        </row>
        <row r="1952">
          <cell r="E1952">
            <v>108635</v>
          </cell>
        </row>
        <row r="1953">
          <cell r="E1953">
            <v>108636</v>
          </cell>
        </row>
        <row r="1954">
          <cell r="E1954">
            <v>108655</v>
          </cell>
        </row>
        <row r="1955">
          <cell r="E1955">
            <v>108657</v>
          </cell>
        </row>
        <row r="1956">
          <cell r="E1956">
            <v>108658</v>
          </cell>
        </row>
        <row r="1957">
          <cell r="E1957">
            <v>108659</v>
          </cell>
        </row>
        <row r="1958">
          <cell r="E1958">
            <v>108675</v>
          </cell>
        </row>
        <row r="1959">
          <cell r="E1959">
            <v>108676</v>
          </cell>
        </row>
        <row r="1960">
          <cell r="E1960">
            <v>108679</v>
          </cell>
        </row>
        <row r="1961">
          <cell r="E1961">
            <v>108681</v>
          </cell>
        </row>
        <row r="1962">
          <cell r="E1962">
            <v>108682</v>
          </cell>
        </row>
        <row r="1963">
          <cell r="E1963">
            <v>108684</v>
          </cell>
        </row>
        <row r="1964">
          <cell r="E1964">
            <v>108685</v>
          </cell>
        </row>
        <row r="1965">
          <cell r="E1965">
            <v>108691</v>
          </cell>
        </row>
        <row r="1966">
          <cell r="E1966">
            <v>108692</v>
          </cell>
        </row>
        <row r="1967">
          <cell r="E1967">
            <v>108693</v>
          </cell>
        </row>
        <row r="1968">
          <cell r="E1968">
            <v>108696</v>
          </cell>
        </row>
        <row r="1969">
          <cell r="E1969">
            <v>108698</v>
          </cell>
        </row>
        <row r="1970">
          <cell r="E1970">
            <v>108699</v>
          </cell>
        </row>
        <row r="1971">
          <cell r="E1971">
            <v>108700</v>
          </cell>
        </row>
        <row r="1972">
          <cell r="E1972">
            <v>108702</v>
          </cell>
        </row>
        <row r="1973">
          <cell r="E1973">
            <v>108710</v>
          </cell>
        </row>
        <row r="1974">
          <cell r="E1974">
            <v>108711</v>
          </cell>
        </row>
        <row r="1975">
          <cell r="E1975">
            <v>108712</v>
          </cell>
        </row>
        <row r="1976">
          <cell r="E1976">
            <v>108713</v>
          </cell>
        </row>
        <row r="1977">
          <cell r="E1977">
            <v>108714</v>
          </cell>
        </row>
        <row r="1978">
          <cell r="E1978">
            <v>108715</v>
          </cell>
        </row>
        <row r="1979">
          <cell r="E1979">
            <v>108719</v>
          </cell>
        </row>
        <row r="1980">
          <cell r="E1980">
            <v>108729</v>
          </cell>
        </row>
        <row r="1981">
          <cell r="E1981">
            <v>108732</v>
          </cell>
        </row>
        <row r="1982">
          <cell r="E1982">
            <v>108734</v>
          </cell>
        </row>
        <row r="1983">
          <cell r="E1983">
            <v>108736</v>
          </cell>
        </row>
        <row r="1984">
          <cell r="E1984">
            <v>108737</v>
          </cell>
        </row>
        <row r="1985">
          <cell r="E1985">
            <v>108739</v>
          </cell>
        </row>
        <row r="1986">
          <cell r="E1986">
            <v>108740</v>
          </cell>
        </row>
        <row r="1987">
          <cell r="E1987">
            <v>108741</v>
          </cell>
        </row>
        <row r="1988">
          <cell r="E1988">
            <v>108742</v>
          </cell>
        </row>
        <row r="1989">
          <cell r="E1989">
            <v>108743</v>
          </cell>
        </row>
        <row r="1990">
          <cell r="E1990">
            <v>108746</v>
          </cell>
        </row>
        <row r="1991">
          <cell r="E1991">
            <v>108747</v>
          </cell>
        </row>
        <row r="1992">
          <cell r="E1992">
            <v>108749</v>
          </cell>
        </row>
        <row r="1993">
          <cell r="E1993">
            <v>108750</v>
          </cell>
        </row>
        <row r="1994">
          <cell r="E1994">
            <v>108755</v>
          </cell>
        </row>
        <row r="1995">
          <cell r="E1995">
            <v>108756</v>
          </cell>
        </row>
        <row r="1996">
          <cell r="E1996">
            <v>108757</v>
          </cell>
        </row>
        <row r="1997">
          <cell r="E1997">
            <v>108759</v>
          </cell>
        </row>
        <row r="1998">
          <cell r="E1998">
            <v>108764</v>
          </cell>
        </row>
        <row r="1999">
          <cell r="E1999">
            <v>108765</v>
          </cell>
        </row>
        <row r="2000">
          <cell r="E2000">
            <v>108766</v>
          </cell>
        </row>
        <row r="2001">
          <cell r="E2001">
            <v>108771</v>
          </cell>
        </row>
        <row r="2002">
          <cell r="E2002">
            <v>108772</v>
          </cell>
        </row>
        <row r="2003">
          <cell r="E2003">
            <v>108774</v>
          </cell>
        </row>
        <row r="2004">
          <cell r="E2004">
            <v>108776</v>
          </cell>
        </row>
        <row r="2005">
          <cell r="E2005">
            <v>108777</v>
          </cell>
        </row>
        <row r="2006">
          <cell r="E2006">
            <v>108778</v>
          </cell>
        </row>
        <row r="2007">
          <cell r="E2007">
            <v>108779</v>
          </cell>
        </row>
        <row r="2008">
          <cell r="E2008">
            <v>108780</v>
          </cell>
        </row>
        <row r="2009">
          <cell r="E2009">
            <v>108791</v>
          </cell>
        </row>
        <row r="2010">
          <cell r="E2010">
            <v>108792</v>
          </cell>
        </row>
        <row r="2011">
          <cell r="E2011">
            <v>108793</v>
          </cell>
        </row>
        <row r="2012">
          <cell r="E2012">
            <v>108794</v>
          </cell>
        </row>
        <row r="2013">
          <cell r="E2013">
            <v>108795</v>
          </cell>
        </row>
        <row r="2014">
          <cell r="E2014">
            <v>108796</v>
          </cell>
        </row>
        <row r="2015">
          <cell r="E2015">
            <v>108797</v>
          </cell>
        </row>
        <row r="2016">
          <cell r="E2016">
            <v>108798</v>
          </cell>
        </row>
        <row r="2017">
          <cell r="E2017">
            <v>108799</v>
          </cell>
        </row>
        <row r="2018">
          <cell r="E2018">
            <v>108800</v>
          </cell>
        </row>
        <row r="2019">
          <cell r="E2019">
            <v>108801</v>
          </cell>
        </row>
        <row r="2020">
          <cell r="E2020">
            <v>108804</v>
          </cell>
        </row>
        <row r="2021">
          <cell r="E2021">
            <v>108805</v>
          </cell>
        </row>
        <row r="2022">
          <cell r="E2022">
            <v>108807</v>
          </cell>
        </row>
        <row r="2023">
          <cell r="E2023">
            <v>108808</v>
          </cell>
        </row>
        <row r="2024">
          <cell r="E2024">
            <v>108809</v>
          </cell>
        </row>
        <row r="2025">
          <cell r="E2025">
            <v>108810</v>
          </cell>
        </row>
        <row r="2026">
          <cell r="E2026">
            <v>108811</v>
          </cell>
        </row>
        <row r="2027">
          <cell r="E2027">
            <v>108813</v>
          </cell>
        </row>
        <row r="2028">
          <cell r="E2028">
            <v>108814</v>
          </cell>
        </row>
        <row r="2029">
          <cell r="E2029">
            <v>108815</v>
          </cell>
        </row>
        <row r="2030">
          <cell r="E2030">
            <v>108816</v>
          </cell>
        </row>
        <row r="2031">
          <cell r="E2031">
            <v>108818</v>
          </cell>
        </row>
        <row r="2032">
          <cell r="E2032">
            <v>108819</v>
          </cell>
        </row>
        <row r="2033">
          <cell r="E2033">
            <v>108820</v>
          </cell>
        </row>
        <row r="2034">
          <cell r="E2034">
            <v>108821</v>
          </cell>
        </row>
        <row r="2035">
          <cell r="E2035">
            <v>108822</v>
          </cell>
        </row>
        <row r="2036">
          <cell r="E2036">
            <v>108823</v>
          </cell>
        </row>
        <row r="2037">
          <cell r="E2037">
            <v>108824</v>
          </cell>
        </row>
        <row r="2038">
          <cell r="E2038">
            <v>108825</v>
          </cell>
        </row>
        <row r="2039">
          <cell r="E2039">
            <v>108826</v>
          </cell>
        </row>
        <row r="2040">
          <cell r="E2040">
            <v>108828</v>
          </cell>
        </row>
        <row r="2041">
          <cell r="E2041">
            <v>108829</v>
          </cell>
        </row>
        <row r="2042">
          <cell r="E2042">
            <v>108832</v>
          </cell>
        </row>
        <row r="2043">
          <cell r="E2043">
            <v>108833</v>
          </cell>
        </row>
        <row r="2044">
          <cell r="E2044">
            <v>108835</v>
          </cell>
        </row>
        <row r="2045">
          <cell r="E2045">
            <v>108836</v>
          </cell>
        </row>
        <row r="2046">
          <cell r="E2046">
            <v>108837</v>
          </cell>
        </row>
        <row r="2047">
          <cell r="E2047">
            <v>108839</v>
          </cell>
        </row>
        <row r="2048">
          <cell r="E2048">
            <v>108840</v>
          </cell>
        </row>
        <row r="2049">
          <cell r="E2049">
            <v>108844</v>
          </cell>
        </row>
        <row r="2050">
          <cell r="E2050">
            <v>108845</v>
          </cell>
        </row>
        <row r="2051">
          <cell r="E2051">
            <v>108846</v>
          </cell>
        </row>
        <row r="2052">
          <cell r="E2052">
            <v>108848</v>
          </cell>
        </row>
        <row r="2053">
          <cell r="E2053">
            <v>108849</v>
          </cell>
        </row>
        <row r="2054">
          <cell r="E2054">
            <v>108850</v>
          </cell>
        </row>
        <row r="2055">
          <cell r="E2055">
            <v>108851</v>
          </cell>
        </row>
        <row r="2056">
          <cell r="E2056">
            <v>108852</v>
          </cell>
        </row>
        <row r="2057">
          <cell r="E2057">
            <v>108854</v>
          </cell>
        </row>
        <row r="2058">
          <cell r="E2058">
            <v>108855</v>
          </cell>
        </row>
        <row r="2059">
          <cell r="E2059">
            <v>108856</v>
          </cell>
        </row>
        <row r="2060">
          <cell r="E2060">
            <v>108857</v>
          </cell>
        </row>
        <row r="2061">
          <cell r="E2061">
            <v>108858</v>
          </cell>
        </row>
        <row r="2062">
          <cell r="E2062">
            <v>108867</v>
          </cell>
        </row>
        <row r="2063">
          <cell r="E2063">
            <v>108872</v>
          </cell>
        </row>
        <row r="2064">
          <cell r="E2064">
            <v>108874</v>
          </cell>
        </row>
        <row r="2065">
          <cell r="E2065">
            <v>108875</v>
          </cell>
        </row>
        <row r="2066">
          <cell r="E2066">
            <v>108876</v>
          </cell>
        </row>
        <row r="2067">
          <cell r="E2067">
            <v>108877</v>
          </cell>
        </row>
        <row r="2068">
          <cell r="E2068">
            <v>108883</v>
          </cell>
        </row>
        <row r="2069">
          <cell r="E2069">
            <v>108884</v>
          </cell>
        </row>
        <row r="2070">
          <cell r="E2070">
            <v>108886</v>
          </cell>
        </row>
        <row r="2071">
          <cell r="E2071">
            <v>108887</v>
          </cell>
        </row>
        <row r="2072">
          <cell r="E2072">
            <v>108888</v>
          </cell>
        </row>
        <row r="2073">
          <cell r="E2073">
            <v>108889</v>
          </cell>
        </row>
        <row r="2074">
          <cell r="E2074">
            <v>108890</v>
          </cell>
        </row>
        <row r="2075">
          <cell r="E2075">
            <v>108891</v>
          </cell>
        </row>
        <row r="2076">
          <cell r="E2076">
            <v>108892</v>
          </cell>
        </row>
        <row r="2077">
          <cell r="E2077">
            <v>108893</v>
          </cell>
        </row>
        <row r="2078">
          <cell r="E2078">
            <v>108894</v>
          </cell>
        </row>
        <row r="2079">
          <cell r="E2079">
            <v>108895</v>
          </cell>
        </row>
        <row r="2080">
          <cell r="E2080">
            <v>108896</v>
          </cell>
        </row>
        <row r="2081">
          <cell r="E2081">
            <v>108897</v>
          </cell>
        </row>
        <row r="2082">
          <cell r="E2082">
            <v>108898</v>
          </cell>
        </row>
        <row r="2083">
          <cell r="E2083">
            <v>108899</v>
          </cell>
        </row>
        <row r="2084">
          <cell r="E2084">
            <v>108903</v>
          </cell>
        </row>
        <row r="2085">
          <cell r="E2085">
            <v>108904</v>
          </cell>
        </row>
        <row r="2086">
          <cell r="E2086">
            <v>108905</v>
          </cell>
        </row>
        <row r="2087">
          <cell r="E2087">
            <v>108906</v>
          </cell>
        </row>
        <row r="2088">
          <cell r="E2088">
            <v>108910</v>
          </cell>
        </row>
        <row r="2089">
          <cell r="E2089">
            <v>108911</v>
          </cell>
        </row>
        <row r="2090">
          <cell r="E2090">
            <v>108912</v>
          </cell>
        </row>
        <row r="2091">
          <cell r="E2091">
            <v>108913</v>
          </cell>
        </row>
        <row r="2092">
          <cell r="E2092">
            <v>108915</v>
          </cell>
        </row>
        <row r="2093">
          <cell r="E2093">
            <v>108916</v>
          </cell>
        </row>
        <row r="2094">
          <cell r="E2094">
            <v>108917</v>
          </cell>
        </row>
        <row r="2095">
          <cell r="E2095">
            <v>108918</v>
          </cell>
        </row>
        <row r="2096">
          <cell r="E2096">
            <v>108919</v>
          </cell>
        </row>
        <row r="2097">
          <cell r="E2097">
            <v>108924</v>
          </cell>
        </row>
        <row r="2098">
          <cell r="E2098">
            <v>108925</v>
          </cell>
        </row>
        <row r="2099">
          <cell r="E2099">
            <v>108926</v>
          </cell>
        </row>
        <row r="2100">
          <cell r="E2100">
            <v>108927</v>
          </cell>
        </row>
        <row r="2101">
          <cell r="E2101">
            <v>108930</v>
          </cell>
        </row>
        <row r="2102">
          <cell r="E2102">
            <v>108931</v>
          </cell>
        </row>
        <row r="2103">
          <cell r="E2103">
            <v>108934</v>
          </cell>
        </row>
        <row r="2104">
          <cell r="E2104">
            <v>108945</v>
          </cell>
        </row>
        <row r="2105">
          <cell r="E2105">
            <v>108953</v>
          </cell>
        </row>
        <row r="2106">
          <cell r="E2106">
            <v>108954</v>
          </cell>
        </row>
        <row r="2107">
          <cell r="E2107">
            <v>108964</v>
          </cell>
        </row>
        <row r="2108">
          <cell r="E2108">
            <v>108965</v>
          </cell>
        </row>
        <row r="2109">
          <cell r="E2109">
            <v>108966</v>
          </cell>
        </row>
        <row r="2110">
          <cell r="E2110">
            <v>108967</v>
          </cell>
        </row>
        <row r="2111">
          <cell r="E2111">
            <v>108969</v>
          </cell>
        </row>
        <row r="2112">
          <cell r="E2112">
            <v>108971</v>
          </cell>
        </row>
        <row r="2113">
          <cell r="E2113">
            <v>108973</v>
          </cell>
        </row>
        <row r="2114">
          <cell r="E2114">
            <v>108980</v>
          </cell>
        </row>
        <row r="2115">
          <cell r="E2115">
            <v>108981</v>
          </cell>
        </row>
        <row r="2116">
          <cell r="E2116">
            <v>108982</v>
          </cell>
        </row>
        <row r="2117">
          <cell r="E2117">
            <v>108983</v>
          </cell>
        </row>
        <row r="2118">
          <cell r="E2118">
            <v>108986</v>
          </cell>
        </row>
        <row r="2119">
          <cell r="E2119">
            <v>108996</v>
          </cell>
        </row>
        <row r="2120">
          <cell r="E2120">
            <v>108998</v>
          </cell>
        </row>
        <row r="2121">
          <cell r="E2121">
            <v>108999</v>
          </cell>
        </row>
        <row r="2122">
          <cell r="E2122">
            <v>109000</v>
          </cell>
        </row>
        <row r="2123">
          <cell r="E2123">
            <v>109001</v>
          </cell>
        </row>
        <row r="2124">
          <cell r="E2124">
            <v>109002</v>
          </cell>
        </row>
        <row r="2125">
          <cell r="E2125">
            <v>109003</v>
          </cell>
        </row>
        <row r="2126">
          <cell r="E2126">
            <v>109004</v>
          </cell>
        </row>
        <row r="2127">
          <cell r="E2127">
            <v>109005</v>
          </cell>
        </row>
        <row r="2128">
          <cell r="E2128">
            <v>109007</v>
          </cell>
        </row>
        <row r="2129">
          <cell r="E2129">
            <v>109008</v>
          </cell>
        </row>
        <row r="2130">
          <cell r="E2130">
            <v>109009</v>
          </cell>
        </row>
        <row r="2131">
          <cell r="E2131">
            <v>109010</v>
          </cell>
        </row>
        <row r="2132">
          <cell r="E2132">
            <v>109011</v>
          </cell>
        </row>
        <row r="2133">
          <cell r="E2133">
            <v>109012</v>
          </cell>
        </row>
        <row r="2134">
          <cell r="E2134">
            <v>109013</v>
          </cell>
        </row>
        <row r="2135">
          <cell r="E2135">
            <v>109014</v>
          </cell>
        </row>
        <row r="2136">
          <cell r="E2136">
            <v>109015</v>
          </cell>
        </row>
        <row r="2137">
          <cell r="E2137">
            <v>109016</v>
          </cell>
        </row>
        <row r="2138">
          <cell r="E2138">
            <v>109017</v>
          </cell>
        </row>
        <row r="2139">
          <cell r="E2139">
            <v>109018</v>
          </cell>
        </row>
        <row r="2140">
          <cell r="E2140">
            <v>109019</v>
          </cell>
        </row>
        <row r="2141">
          <cell r="E2141">
            <v>109020</v>
          </cell>
        </row>
        <row r="2142">
          <cell r="E2142">
            <v>109021</v>
          </cell>
        </row>
        <row r="2143">
          <cell r="E2143">
            <v>109039</v>
          </cell>
        </row>
        <row r="2144">
          <cell r="E2144">
            <v>109045</v>
          </cell>
        </row>
        <row r="2145">
          <cell r="E2145">
            <v>109046</v>
          </cell>
        </row>
        <row r="2146">
          <cell r="E2146">
            <v>109047</v>
          </cell>
        </row>
        <row r="2147">
          <cell r="E2147">
            <v>109048</v>
          </cell>
        </row>
        <row r="2148">
          <cell r="E2148">
            <v>109050</v>
          </cell>
        </row>
        <row r="2149">
          <cell r="E2149">
            <v>109051</v>
          </cell>
        </row>
        <row r="2150">
          <cell r="E2150">
            <v>109052</v>
          </cell>
        </row>
        <row r="2151">
          <cell r="E2151">
            <v>109053</v>
          </cell>
        </row>
        <row r="2152">
          <cell r="E2152">
            <v>109054</v>
          </cell>
        </row>
        <row r="2153">
          <cell r="E2153">
            <v>109055</v>
          </cell>
        </row>
        <row r="2154">
          <cell r="E2154">
            <v>109056</v>
          </cell>
        </row>
        <row r="2155">
          <cell r="E2155">
            <v>109057</v>
          </cell>
        </row>
        <row r="2156">
          <cell r="E2156">
            <v>109058</v>
          </cell>
        </row>
        <row r="2157">
          <cell r="E2157">
            <v>109060</v>
          </cell>
        </row>
        <row r="2158">
          <cell r="E2158">
            <v>109061</v>
          </cell>
        </row>
        <row r="2159">
          <cell r="E2159">
            <v>109062</v>
          </cell>
        </row>
        <row r="2160">
          <cell r="E2160">
            <v>109063</v>
          </cell>
        </row>
        <row r="2161">
          <cell r="E2161">
            <v>109071</v>
          </cell>
        </row>
        <row r="2162">
          <cell r="E2162">
            <v>109072</v>
          </cell>
        </row>
        <row r="2163">
          <cell r="E2163">
            <v>109073</v>
          </cell>
        </row>
        <row r="2164">
          <cell r="E2164">
            <v>109074</v>
          </cell>
        </row>
        <row r="2165">
          <cell r="E2165">
            <v>109075</v>
          </cell>
        </row>
        <row r="2166">
          <cell r="E2166">
            <v>109077</v>
          </cell>
        </row>
        <row r="2167">
          <cell r="E2167">
            <v>109084</v>
          </cell>
        </row>
        <row r="2168">
          <cell r="E2168">
            <v>109092</v>
          </cell>
        </row>
        <row r="2169">
          <cell r="E2169">
            <v>109101</v>
          </cell>
        </row>
        <row r="2170">
          <cell r="E2170">
            <v>109106</v>
          </cell>
        </row>
        <row r="2171">
          <cell r="E2171">
            <v>109107</v>
          </cell>
        </row>
        <row r="2172">
          <cell r="E2172">
            <v>109108</v>
          </cell>
        </row>
        <row r="2173">
          <cell r="E2173">
            <v>109109</v>
          </cell>
        </row>
        <row r="2174">
          <cell r="E2174">
            <v>109114</v>
          </cell>
        </row>
        <row r="2175">
          <cell r="E2175">
            <v>109115</v>
          </cell>
        </row>
        <row r="2176">
          <cell r="E2176">
            <v>109116</v>
          </cell>
        </row>
        <row r="2177">
          <cell r="E2177">
            <v>109124</v>
          </cell>
        </row>
        <row r="2178">
          <cell r="E2178">
            <v>109125</v>
          </cell>
        </row>
        <row r="2179">
          <cell r="E2179">
            <v>109129</v>
          </cell>
        </row>
        <row r="2180">
          <cell r="E2180">
            <v>109130</v>
          </cell>
        </row>
        <row r="2181">
          <cell r="E2181">
            <v>109144</v>
          </cell>
        </row>
        <row r="2182">
          <cell r="E2182">
            <v>109145</v>
          </cell>
        </row>
        <row r="2183">
          <cell r="E2183">
            <v>109146</v>
          </cell>
        </row>
        <row r="2184">
          <cell r="E2184">
            <v>109147</v>
          </cell>
        </row>
        <row r="2185">
          <cell r="E2185">
            <v>109148</v>
          </cell>
        </row>
        <row r="2186">
          <cell r="E2186">
            <v>109149</v>
          </cell>
        </row>
        <row r="2187">
          <cell r="E2187">
            <v>109150</v>
          </cell>
        </row>
        <row r="2188">
          <cell r="E2188">
            <v>109151</v>
          </cell>
        </row>
        <row r="2189">
          <cell r="E2189">
            <v>109152</v>
          </cell>
        </row>
        <row r="2190">
          <cell r="E2190">
            <v>109153</v>
          </cell>
        </row>
        <row r="2191">
          <cell r="E2191">
            <v>109154</v>
          </cell>
        </row>
        <row r="2192">
          <cell r="E2192">
            <v>109155</v>
          </cell>
        </row>
        <row r="2193">
          <cell r="E2193">
            <v>109156</v>
          </cell>
        </row>
        <row r="2194">
          <cell r="E2194">
            <v>109157</v>
          </cell>
        </row>
        <row r="2195">
          <cell r="E2195">
            <v>109158</v>
          </cell>
        </row>
        <row r="2196">
          <cell r="E2196">
            <v>109159</v>
          </cell>
        </row>
        <row r="2197">
          <cell r="E2197">
            <v>109160</v>
          </cell>
        </row>
        <row r="2198">
          <cell r="E2198">
            <v>109168</v>
          </cell>
        </row>
        <row r="2199">
          <cell r="E2199">
            <v>109172</v>
          </cell>
        </row>
        <row r="2200">
          <cell r="E2200">
            <v>109174</v>
          </cell>
        </row>
        <row r="2201">
          <cell r="E2201">
            <v>109175</v>
          </cell>
        </row>
        <row r="2202">
          <cell r="E2202">
            <v>109176</v>
          </cell>
        </row>
        <row r="2203">
          <cell r="E2203">
            <v>109177</v>
          </cell>
        </row>
        <row r="2204">
          <cell r="E2204">
            <v>109178</v>
          </cell>
        </row>
        <row r="2205">
          <cell r="E2205">
            <v>109179</v>
          </cell>
        </row>
        <row r="2206">
          <cell r="E2206">
            <v>109180</v>
          </cell>
        </row>
        <row r="2207">
          <cell r="E2207">
            <v>109181</v>
          </cell>
        </row>
        <row r="2208">
          <cell r="E2208">
            <v>109186</v>
          </cell>
        </row>
        <row r="2209">
          <cell r="E2209">
            <v>109187</v>
          </cell>
        </row>
        <row r="2210">
          <cell r="E2210">
            <v>109196</v>
          </cell>
        </row>
        <row r="2211">
          <cell r="E2211">
            <v>109203</v>
          </cell>
        </row>
        <row r="2212">
          <cell r="E2212">
            <v>109208</v>
          </cell>
        </row>
        <row r="2213">
          <cell r="E2213">
            <v>109224</v>
          </cell>
        </row>
        <row r="2214">
          <cell r="E2214">
            <v>109229</v>
          </cell>
        </row>
        <row r="2215">
          <cell r="E2215">
            <v>109231</v>
          </cell>
        </row>
        <row r="2216">
          <cell r="E2216">
            <v>109232</v>
          </cell>
        </row>
        <row r="2217">
          <cell r="E2217">
            <v>109242</v>
          </cell>
        </row>
        <row r="2218">
          <cell r="E2218">
            <v>109262</v>
          </cell>
        </row>
        <row r="2219">
          <cell r="E2219">
            <v>109264</v>
          </cell>
        </row>
        <row r="2220">
          <cell r="E2220">
            <v>109265</v>
          </cell>
        </row>
        <row r="2221">
          <cell r="E2221">
            <v>109267</v>
          </cell>
        </row>
        <row r="2222">
          <cell r="E2222">
            <v>109275</v>
          </cell>
        </row>
        <row r="2223">
          <cell r="E2223">
            <v>109282</v>
          </cell>
        </row>
        <row r="2224">
          <cell r="E2224">
            <v>109283</v>
          </cell>
        </row>
        <row r="2225">
          <cell r="E2225">
            <v>109289</v>
          </cell>
        </row>
        <row r="2226">
          <cell r="E2226">
            <v>109290</v>
          </cell>
        </row>
        <row r="2227">
          <cell r="E2227">
            <v>109291</v>
          </cell>
        </row>
        <row r="2228">
          <cell r="E2228">
            <v>109292</v>
          </cell>
        </row>
        <row r="2229">
          <cell r="E2229">
            <v>109295</v>
          </cell>
        </row>
        <row r="2230">
          <cell r="E2230">
            <v>109318</v>
          </cell>
        </row>
        <row r="2231">
          <cell r="E2231">
            <v>109319</v>
          </cell>
        </row>
        <row r="2232">
          <cell r="E2232">
            <v>109320</v>
          </cell>
        </row>
        <row r="2233">
          <cell r="E2233">
            <v>109324</v>
          </cell>
        </row>
        <row r="2234">
          <cell r="E2234">
            <v>109325</v>
          </cell>
        </row>
        <row r="2235">
          <cell r="E2235">
            <v>109326</v>
          </cell>
        </row>
        <row r="2236">
          <cell r="E2236">
            <v>109327</v>
          </cell>
        </row>
        <row r="2237">
          <cell r="E2237">
            <v>109328</v>
          </cell>
        </row>
        <row r="2238">
          <cell r="E2238">
            <v>109329</v>
          </cell>
        </row>
        <row r="2239">
          <cell r="E2239">
            <v>109330</v>
          </cell>
        </row>
        <row r="2240">
          <cell r="E2240">
            <v>109331</v>
          </cell>
        </row>
        <row r="2241">
          <cell r="E2241">
            <v>109332</v>
          </cell>
        </row>
        <row r="2242">
          <cell r="E2242">
            <v>109333</v>
          </cell>
        </row>
        <row r="2243">
          <cell r="E2243">
            <v>109334</v>
          </cell>
        </row>
        <row r="2244">
          <cell r="E2244">
            <v>109340</v>
          </cell>
        </row>
        <row r="2245">
          <cell r="E2245">
            <v>109342</v>
          </cell>
        </row>
        <row r="2246">
          <cell r="E2246">
            <v>109343</v>
          </cell>
        </row>
        <row r="2247">
          <cell r="E2247">
            <v>109350</v>
          </cell>
        </row>
        <row r="2248">
          <cell r="E2248">
            <v>109351</v>
          </cell>
        </row>
        <row r="2249">
          <cell r="E2249">
            <v>109352</v>
          </cell>
        </row>
        <row r="2250">
          <cell r="E2250">
            <v>109355</v>
          </cell>
        </row>
        <row r="2251">
          <cell r="E2251">
            <v>109365</v>
          </cell>
        </row>
        <row r="2252">
          <cell r="E2252">
            <v>109369</v>
          </cell>
        </row>
        <row r="2253">
          <cell r="E2253">
            <v>109370</v>
          </cell>
        </row>
        <row r="2254">
          <cell r="E2254">
            <v>109371</v>
          </cell>
        </row>
        <row r="2255">
          <cell r="E2255">
            <v>109372</v>
          </cell>
        </row>
        <row r="2256">
          <cell r="E2256">
            <v>109373</v>
          </cell>
        </row>
        <row r="2257">
          <cell r="E2257">
            <v>109375</v>
          </cell>
        </row>
        <row r="2258">
          <cell r="E2258">
            <v>109376</v>
          </cell>
        </row>
        <row r="2259">
          <cell r="E2259">
            <v>109377</v>
          </cell>
        </row>
        <row r="2260">
          <cell r="E2260">
            <v>109378</v>
          </cell>
        </row>
        <row r="2261">
          <cell r="E2261">
            <v>109386</v>
          </cell>
        </row>
        <row r="2262">
          <cell r="E2262">
            <v>109399</v>
          </cell>
        </row>
        <row r="2263">
          <cell r="E2263">
            <v>109403</v>
          </cell>
        </row>
        <row r="2264">
          <cell r="E2264">
            <v>109404</v>
          </cell>
        </row>
        <row r="2265">
          <cell r="E2265">
            <v>109420</v>
          </cell>
        </row>
        <row r="2266">
          <cell r="E2266">
            <v>109421</v>
          </cell>
        </row>
        <row r="2267">
          <cell r="E2267">
            <v>109422</v>
          </cell>
        </row>
        <row r="2268">
          <cell r="E2268">
            <v>109423</v>
          </cell>
        </row>
        <row r="2269">
          <cell r="E2269">
            <v>109424</v>
          </cell>
        </row>
        <row r="2270">
          <cell r="E2270">
            <v>109426</v>
          </cell>
        </row>
        <row r="2271">
          <cell r="E2271">
            <v>109433</v>
          </cell>
        </row>
        <row r="2272">
          <cell r="E2272">
            <v>109434</v>
          </cell>
        </row>
        <row r="2273">
          <cell r="E2273">
            <v>109439</v>
          </cell>
        </row>
        <row r="2274">
          <cell r="E2274">
            <v>109440</v>
          </cell>
        </row>
        <row r="2275">
          <cell r="E2275">
            <v>109441</v>
          </cell>
        </row>
        <row r="2276">
          <cell r="E2276">
            <v>109442</v>
          </cell>
        </row>
        <row r="2277">
          <cell r="E2277">
            <v>109451</v>
          </cell>
        </row>
        <row r="2278">
          <cell r="E2278">
            <v>109452</v>
          </cell>
        </row>
        <row r="2279">
          <cell r="E2279">
            <v>109461</v>
          </cell>
        </row>
        <row r="2280">
          <cell r="E2280">
            <v>109462</v>
          </cell>
        </row>
        <row r="2281">
          <cell r="E2281">
            <v>109465</v>
          </cell>
        </row>
        <row r="2282">
          <cell r="E2282">
            <v>109467</v>
          </cell>
        </row>
        <row r="2283">
          <cell r="E2283">
            <v>109468</v>
          </cell>
        </row>
        <row r="2284">
          <cell r="E2284">
            <v>109469</v>
          </cell>
        </row>
        <row r="2285">
          <cell r="E2285">
            <v>109470</v>
          </cell>
        </row>
        <row r="2286">
          <cell r="E2286">
            <v>109471</v>
          </cell>
        </row>
        <row r="2287">
          <cell r="E2287">
            <v>109472</v>
          </cell>
        </row>
        <row r="2288">
          <cell r="E2288">
            <v>109473</v>
          </cell>
        </row>
        <row r="2289">
          <cell r="E2289">
            <v>109474</v>
          </cell>
        </row>
        <row r="2290">
          <cell r="E2290">
            <v>109475</v>
          </cell>
        </row>
        <row r="2291">
          <cell r="E2291">
            <v>109476</v>
          </cell>
        </row>
        <row r="2292">
          <cell r="E2292">
            <v>109477</v>
          </cell>
        </row>
        <row r="2293">
          <cell r="E2293">
            <v>109478</v>
          </cell>
        </row>
        <row r="2294">
          <cell r="E2294">
            <v>109485</v>
          </cell>
        </row>
        <row r="2295">
          <cell r="E2295">
            <v>109486</v>
          </cell>
        </row>
        <row r="2296">
          <cell r="E2296">
            <v>109490</v>
          </cell>
        </row>
        <row r="2297">
          <cell r="E2297">
            <v>109491</v>
          </cell>
        </row>
        <row r="2298">
          <cell r="E2298">
            <v>109492</v>
          </cell>
        </row>
        <row r="2299">
          <cell r="E2299">
            <v>109493</v>
          </cell>
        </row>
        <row r="2300">
          <cell r="E2300">
            <v>109495</v>
          </cell>
        </row>
        <row r="2301">
          <cell r="E2301">
            <v>109496</v>
          </cell>
        </row>
        <row r="2302">
          <cell r="E2302">
            <v>109500</v>
          </cell>
        </row>
        <row r="2303">
          <cell r="E2303">
            <v>109501</v>
          </cell>
        </row>
        <row r="2304">
          <cell r="E2304">
            <v>109502</v>
          </cell>
        </row>
        <row r="2305">
          <cell r="E2305">
            <v>109503</v>
          </cell>
        </row>
        <row r="2306">
          <cell r="E2306">
            <v>109507</v>
          </cell>
        </row>
        <row r="2307">
          <cell r="E2307">
            <v>109539</v>
          </cell>
        </row>
        <row r="2308">
          <cell r="E2308">
            <v>109540</v>
          </cell>
        </row>
        <row r="2309">
          <cell r="E2309">
            <v>109549</v>
          </cell>
        </row>
        <row r="2310">
          <cell r="E2310">
            <v>109550</v>
          </cell>
        </row>
        <row r="2311">
          <cell r="E2311">
            <v>109551</v>
          </cell>
        </row>
        <row r="2312">
          <cell r="E2312">
            <v>109553</v>
          </cell>
        </row>
        <row r="2313">
          <cell r="E2313">
            <v>109559</v>
          </cell>
        </row>
        <row r="2314">
          <cell r="E2314">
            <v>109563</v>
          </cell>
        </row>
        <row r="2315">
          <cell r="E2315">
            <v>109565</v>
          </cell>
        </row>
        <row r="2316">
          <cell r="E2316">
            <v>109580</v>
          </cell>
        </row>
        <row r="2317">
          <cell r="E2317">
            <v>109581</v>
          </cell>
        </row>
        <row r="2318">
          <cell r="E2318">
            <v>109588</v>
          </cell>
        </row>
        <row r="2319">
          <cell r="E2319">
            <v>109589</v>
          </cell>
        </row>
        <row r="2320">
          <cell r="E2320">
            <v>109590</v>
          </cell>
        </row>
        <row r="2321">
          <cell r="E2321">
            <v>109592</v>
          </cell>
        </row>
        <row r="2322">
          <cell r="E2322">
            <v>109597</v>
          </cell>
        </row>
        <row r="2323">
          <cell r="E2323">
            <v>109602</v>
          </cell>
        </row>
        <row r="2324">
          <cell r="E2324">
            <v>109630</v>
          </cell>
        </row>
        <row r="2325">
          <cell r="E2325">
            <v>109635</v>
          </cell>
        </row>
        <row r="2326">
          <cell r="E2326">
            <v>109636</v>
          </cell>
        </row>
        <row r="2327">
          <cell r="E2327">
            <v>109642</v>
          </cell>
        </row>
        <row r="2328">
          <cell r="E2328">
            <v>109643</v>
          </cell>
        </row>
        <row r="2329">
          <cell r="E2329">
            <v>109647</v>
          </cell>
        </row>
        <row r="2330">
          <cell r="E2330">
            <v>109648</v>
          </cell>
        </row>
        <row r="2331">
          <cell r="E2331">
            <v>109650</v>
          </cell>
        </row>
        <row r="2332">
          <cell r="E2332">
            <v>109651</v>
          </cell>
        </row>
        <row r="2333">
          <cell r="E2333">
            <v>109652</v>
          </cell>
        </row>
        <row r="2334">
          <cell r="E2334">
            <v>109653</v>
          </cell>
        </row>
        <row r="2335">
          <cell r="E2335">
            <v>109659</v>
          </cell>
        </row>
        <row r="2336">
          <cell r="E2336">
            <v>109662</v>
          </cell>
        </row>
        <row r="2337">
          <cell r="E2337">
            <v>109663</v>
          </cell>
        </row>
        <row r="2338">
          <cell r="E2338">
            <v>109664</v>
          </cell>
        </row>
        <row r="2339">
          <cell r="E2339">
            <v>109665</v>
          </cell>
        </row>
        <row r="2340">
          <cell r="E2340">
            <v>109666</v>
          </cell>
        </row>
        <row r="2341">
          <cell r="E2341">
            <v>109667</v>
          </cell>
        </row>
        <row r="2342">
          <cell r="E2342">
            <v>109668</v>
          </cell>
        </row>
        <row r="2343">
          <cell r="E2343">
            <v>109673</v>
          </cell>
        </row>
        <row r="2344">
          <cell r="E2344">
            <v>109674</v>
          </cell>
        </row>
        <row r="2345">
          <cell r="E2345">
            <v>109675</v>
          </cell>
        </row>
        <row r="2346">
          <cell r="E2346">
            <v>109676</v>
          </cell>
        </row>
        <row r="2347">
          <cell r="E2347">
            <v>109677</v>
          </cell>
        </row>
        <row r="2348">
          <cell r="E2348">
            <v>109678</v>
          </cell>
        </row>
        <row r="2349">
          <cell r="E2349">
            <v>109688</v>
          </cell>
        </row>
        <row r="2350">
          <cell r="E2350">
            <v>109693</v>
          </cell>
        </row>
        <row r="2351">
          <cell r="E2351">
            <v>109694</v>
          </cell>
        </row>
        <row r="2352">
          <cell r="E2352">
            <v>109711</v>
          </cell>
        </row>
        <row r="2353">
          <cell r="E2353">
            <v>109713</v>
          </cell>
        </row>
        <row r="2354">
          <cell r="E2354">
            <v>109714</v>
          </cell>
        </row>
        <row r="2355">
          <cell r="E2355">
            <v>109717</v>
          </cell>
        </row>
        <row r="2356">
          <cell r="E2356">
            <v>109718</v>
          </cell>
        </row>
        <row r="2357">
          <cell r="E2357">
            <v>109719</v>
          </cell>
        </row>
        <row r="2358">
          <cell r="E2358">
            <v>109720</v>
          </cell>
        </row>
        <row r="2359">
          <cell r="E2359">
            <v>109722</v>
          </cell>
        </row>
        <row r="2360">
          <cell r="E2360">
            <v>109725</v>
          </cell>
        </row>
        <row r="2361">
          <cell r="E2361">
            <v>109730</v>
          </cell>
        </row>
        <row r="2362">
          <cell r="E2362">
            <v>109784</v>
          </cell>
        </row>
        <row r="2363">
          <cell r="E2363">
            <v>109785</v>
          </cell>
        </row>
        <row r="2364">
          <cell r="E2364">
            <v>109786</v>
          </cell>
        </row>
        <row r="2365">
          <cell r="E2365">
            <v>109787</v>
          </cell>
        </row>
        <row r="2366">
          <cell r="E2366">
            <v>109788</v>
          </cell>
        </row>
        <row r="2367">
          <cell r="E2367">
            <v>109793</v>
          </cell>
        </row>
        <row r="2368">
          <cell r="E2368">
            <v>109808</v>
          </cell>
        </row>
        <row r="2369">
          <cell r="E2369">
            <v>109809</v>
          </cell>
        </row>
        <row r="2370">
          <cell r="E2370">
            <v>109810</v>
          </cell>
        </row>
        <row r="2371">
          <cell r="E2371">
            <v>109813</v>
          </cell>
        </row>
        <row r="2372">
          <cell r="E2372">
            <v>109822</v>
          </cell>
        </row>
        <row r="2373">
          <cell r="E2373">
            <v>109826</v>
          </cell>
        </row>
        <row r="2374">
          <cell r="E2374">
            <v>109827</v>
          </cell>
        </row>
        <row r="2375">
          <cell r="E2375">
            <v>109839</v>
          </cell>
        </row>
        <row r="2376">
          <cell r="E2376">
            <v>109840</v>
          </cell>
        </row>
        <row r="2377">
          <cell r="E2377">
            <v>109841</v>
          </cell>
        </row>
        <row r="2378">
          <cell r="E2378">
            <v>109844</v>
          </cell>
        </row>
        <row r="2379">
          <cell r="E2379">
            <v>109845</v>
          </cell>
        </row>
        <row r="2380">
          <cell r="E2380">
            <v>109846</v>
          </cell>
        </row>
        <row r="2381">
          <cell r="E2381">
            <v>109847</v>
          </cell>
        </row>
        <row r="2382">
          <cell r="E2382">
            <v>109848</v>
          </cell>
        </row>
        <row r="2383">
          <cell r="E2383">
            <v>109849</v>
          </cell>
        </row>
        <row r="2384">
          <cell r="E2384">
            <v>109850</v>
          </cell>
        </row>
        <row r="2385">
          <cell r="E2385">
            <v>109851</v>
          </cell>
        </row>
        <row r="2386">
          <cell r="E2386">
            <v>109853</v>
          </cell>
        </row>
        <row r="2387">
          <cell r="E2387">
            <v>109854</v>
          </cell>
        </row>
        <row r="2388">
          <cell r="E2388">
            <v>109855</v>
          </cell>
        </row>
        <row r="2389">
          <cell r="E2389">
            <v>109856</v>
          </cell>
        </row>
        <row r="2390">
          <cell r="E2390">
            <v>109864</v>
          </cell>
        </row>
        <row r="2391">
          <cell r="E2391">
            <v>109866</v>
          </cell>
        </row>
        <row r="2392">
          <cell r="E2392">
            <v>109867</v>
          </cell>
        </row>
        <row r="2393">
          <cell r="E2393">
            <v>109868</v>
          </cell>
        </row>
        <row r="2394">
          <cell r="E2394">
            <v>109869</v>
          </cell>
        </row>
        <row r="2395">
          <cell r="E2395">
            <v>109870</v>
          </cell>
        </row>
        <row r="2396">
          <cell r="E2396">
            <v>109871</v>
          </cell>
        </row>
        <row r="2397">
          <cell r="E2397">
            <v>109872</v>
          </cell>
        </row>
        <row r="2398">
          <cell r="E2398">
            <v>109873</v>
          </cell>
        </row>
        <row r="2399">
          <cell r="E2399">
            <v>109874</v>
          </cell>
        </row>
        <row r="2400">
          <cell r="E2400">
            <v>109875</v>
          </cell>
        </row>
        <row r="2401">
          <cell r="E2401">
            <v>109889</v>
          </cell>
        </row>
        <row r="2402">
          <cell r="E2402">
            <v>109890</v>
          </cell>
        </row>
        <row r="2403">
          <cell r="E2403">
            <v>109893</v>
          </cell>
        </row>
        <row r="2404">
          <cell r="E2404">
            <v>109895</v>
          </cell>
        </row>
        <row r="2405">
          <cell r="E2405">
            <v>109900</v>
          </cell>
        </row>
        <row r="2406">
          <cell r="E2406">
            <v>109912</v>
          </cell>
        </row>
        <row r="2407">
          <cell r="E2407">
            <v>109913</v>
          </cell>
        </row>
        <row r="2408">
          <cell r="E2408">
            <v>109932</v>
          </cell>
        </row>
        <row r="2409">
          <cell r="E2409">
            <v>109950</v>
          </cell>
        </row>
        <row r="2410">
          <cell r="E2410">
            <v>109951</v>
          </cell>
        </row>
        <row r="2411">
          <cell r="E2411">
            <v>109954</v>
          </cell>
        </row>
        <row r="2412">
          <cell r="E2412">
            <v>109955</v>
          </cell>
        </row>
        <row r="2413">
          <cell r="E2413">
            <v>109956</v>
          </cell>
        </row>
        <row r="2414">
          <cell r="E2414">
            <v>109961</v>
          </cell>
        </row>
        <row r="2415">
          <cell r="E2415">
            <v>109962</v>
          </cell>
        </row>
        <row r="2416">
          <cell r="E2416">
            <v>109963</v>
          </cell>
        </row>
        <row r="2417">
          <cell r="E2417">
            <v>109964</v>
          </cell>
        </row>
        <row r="2418">
          <cell r="E2418">
            <v>109966</v>
          </cell>
        </row>
        <row r="2419">
          <cell r="E2419">
            <v>109967</v>
          </cell>
        </row>
        <row r="2420">
          <cell r="E2420">
            <v>109984</v>
          </cell>
        </row>
        <row r="2421">
          <cell r="E2421">
            <v>109985</v>
          </cell>
        </row>
        <row r="2422">
          <cell r="E2422">
            <v>109986</v>
          </cell>
        </row>
        <row r="2423">
          <cell r="E2423">
            <v>109987</v>
          </cell>
        </row>
        <row r="2424">
          <cell r="E2424">
            <v>109988</v>
          </cell>
        </row>
        <row r="2425">
          <cell r="E2425">
            <v>109997</v>
          </cell>
        </row>
        <row r="2426">
          <cell r="E2426">
            <v>109998</v>
          </cell>
        </row>
        <row r="2427">
          <cell r="E2427">
            <v>109999</v>
          </cell>
        </row>
        <row r="2428">
          <cell r="E2428">
            <v>110001</v>
          </cell>
        </row>
        <row r="2429">
          <cell r="E2429">
            <v>110021</v>
          </cell>
        </row>
        <row r="2430">
          <cell r="E2430">
            <v>110023</v>
          </cell>
        </row>
        <row r="2431">
          <cell r="E2431">
            <v>110038</v>
          </cell>
        </row>
        <row r="2432">
          <cell r="E2432">
            <v>110040</v>
          </cell>
        </row>
        <row r="2433">
          <cell r="E2433">
            <v>110041</v>
          </cell>
        </row>
        <row r="2434">
          <cell r="E2434">
            <v>110042</v>
          </cell>
        </row>
        <row r="2435">
          <cell r="E2435">
            <v>110057</v>
          </cell>
        </row>
        <row r="2436">
          <cell r="E2436">
            <v>110058</v>
          </cell>
        </row>
        <row r="2437">
          <cell r="E2437">
            <v>110145</v>
          </cell>
        </row>
        <row r="2438">
          <cell r="E2438">
            <v>110168</v>
          </cell>
        </row>
        <row r="2439">
          <cell r="E2439">
            <v>110169</v>
          </cell>
        </row>
        <row r="2440">
          <cell r="E2440">
            <v>110175</v>
          </cell>
        </row>
        <row r="2441">
          <cell r="E2441">
            <v>110176</v>
          </cell>
        </row>
        <row r="2442">
          <cell r="E2442">
            <v>110187</v>
          </cell>
        </row>
        <row r="2443">
          <cell r="E2443">
            <v>110188</v>
          </cell>
        </row>
        <row r="2444">
          <cell r="E2444">
            <v>110192</v>
          </cell>
        </row>
        <row r="2445">
          <cell r="E2445">
            <v>110193</v>
          </cell>
        </row>
        <row r="2446">
          <cell r="E2446">
            <v>110194</v>
          </cell>
        </row>
        <row r="2447">
          <cell r="E2447">
            <v>110195</v>
          </cell>
        </row>
        <row r="2448">
          <cell r="E2448">
            <v>110196</v>
          </cell>
        </row>
        <row r="2449">
          <cell r="E2449">
            <v>110197</v>
          </cell>
        </row>
        <row r="2450">
          <cell r="E2450">
            <v>110220</v>
          </cell>
        </row>
        <row r="2451">
          <cell r="E2451">
            <v>110225</v>
          </cell>
        </row>
        <row r="2452">
          <cell r="E2452">
            <v>110226</v>
          </cell>
        </row>
        <row r="2453">
          <cell r="E2453">
            <v>110227</v>
          </cell>
        </row>
        <row r="2454">
          <cell r="E2454">
            <v>110235</v>
          </cell>
        </row>
        <row r="2455">
          <cell r="E2455">
            <v>110239</v>
          </cell>
        </row>
        <row r="2456">
          <cell r="E2456">
            <v>110265</v>
          </cell>
        </row>
        <row r="2457">
          <cell r="E2457">
            <v>110267</v>
          </cell>
        </row>
        <row r="2458">
          <cell r="E2458">
            <v>110268</v>
          </cell>
        </row>
        <row r="2459">
          <cell r="E2459">
            <v>110269</v>
          </cell>
        </row>
        <row r="2460">
          <cell r="E2460">
            <v>110270</v>
          </cell>
        </row>
        <row r="2461">
          <cell r="E2461">
            <v>110271</v>
          </cell>
        </row>
        <row r="2462">
          <cell r="E2462">
            <v>110272</v>
          </cell>
        </row>
        <row r="2463">
          <cell r="E2463">
            <v>110273</v>
          </cell>
        </row>
        <row r="2464">
          <cell r="E2464">
            <v>110274</v>
          </cell>
        </row>
        <row r="2465">
          <cell r="E2465">
            <v>110275</v>
          </cell>
        </row>
        <row r="2466">
          <cell r="E2466">
            <v>110276</v>
          </cell>
        </row>
        <row r="2467">
          <cell r="E2467">
            <v>110277</v>
          </cell>
        </row>
        <row r="2468">
          <cell r="E2468">
            <v>110280</v>
          </cell>
        </row>
        <row r="2469">
          <cell r="E2469">
            <v>110282</v>
          </cell>
        </row>
        <row r="2470">
          <cell r="E2470">
            <v>110283</v>
          </cell>
        </row>
        <row r="2471">
          <cell r="E2471">
            <v>110284</v>
          </cell>
        </row>
        <row r="2472">
          <cell r="E2472">
            <v>110285</v>
          </cell>
        </row>
        <row r="2473">
          <cell r="E2473">
            <v>110286</v>
          </cell>
        </row>
        <row r="2474">
          <cell r="E2474">
            <v>110287</v>
          </cell>
        </row>
        <row r="2475">
          <cell r="E2475">
            <v>110288</v>
          </cell>
        </row>
        <row r="2476">
          <cell r="E2476">
            <v>110289</v>
          </cell>
        </row>
        <row r="2477">
          <cell r="E2477">
            <v>110290</v>
          </cell>
        </row>
        <row r="2478">
          <cell r="E2478">
            <v>110291</v>
          </cell>
        </row>
        <row r="2479">
          <cell r="E2479">
            <v>110292</v>
          </cell>
        </row>
        <row r="2480">
          <cell r="E2480">
            <v>110293</v>
          </cell>
        </row>
        <row r="2481">
          <cell r="E2481">
            <v>110294</v>
          </cell>
        </row>
        <row r="2482">
          <cell r="E2482">
            <v>110295</v>
          </cell>
        </row>
        <row r="2483">
          <cell r="E2483">
            <v>110296</v>
          </cell>
        </row>
        <row r="2484">
          <cell r="E2484">
            <v>110297</v>
          </cell>
        </row>
        <row r="2485">
          <cell r="E2485">
            <v>110298</v>
          </cell>
        </row>
        <row r="2486">
          <cell r="E2486">
            <v>110302</v>
          </cell>
        </row>
        <row r="2487">
          <cell r="E2487">
            <v>110303</v>
          </cell>
        </row>
        <row r="2488">
          <cell r="E2488">
            <v>110305</v>
          </cell>
        </row>
        <row r="2489">
          <cell r="E2489">
            <v>110306</v>
          </cell>
        </row>
        <row r="2490">
          <cell r="E2490">
            <v>110307</v>
          </cell>
        </row>
        <row r="2491">
          <cell r="E2491">
            <v>110308</v>
          </cell>
        </row>
        <row r="2492">
          <cell r="E2492">
            <v>110309</v>
          </cell>
        </row>
        <row r="2493">
          <cell r="E2493">
            <v>110310</v>
          </cell>
        </row>
        <row r="2494">
          <cell r="E2494">
            <v>110321</v>
          </cell>
        </row>
        <row r="2495">
          <cell r="E2495">
            <v>110322</v>
          </cell>
        </row>
        <row r="2496">
          <cell r="E2496">
            <v>110323</v>
          </cell>
        </row>
        <row r="2497">
          <cell r="E2497">
            <v>110324</v>
          </cell>
        </row>
        <row r="2498">
          <cell r="E2498">
            <v>110325</v>
          </cell>
        </row>
        <row r="2499">
          <cell r="E2499">
            <v>110326</v>
          </cell>
        </row>
        <row r="2500">
          <cell r="E2500">
            <v>110327</v>
          </cell>
        </row>
        <row r="2501">
          <cell r="E2501">
            <v>110328</v>
          </cell>
        </row>
        <row r="2502">
          <cell r="E2502">
            <v>110329</v>
          </cell>
        </row>
        <row r="2503">
          <cell r="E2503">
            <v>110330</v>
          </cell>
        </row>
        <row r="2504">
          <cell r="E2504">
            <v>110333</v>
          </cell>
        </row>
        <row r="2505">
          <cell r="E2505">
            <v>110334</v>
          </cell>
        </row>
        <row r="2506">
          <cell r="E2506">
            <v>110335</v>
          </cell>
        </row>
        <row r="2507">
          <cell r="E2507">
            <v>110339</v>
          </cell>
        </row>
        <row r="2508">
          <cell r="E2508">
            <v>110340</v>
          </cell>
        </row>
        <row r="2509">
          <cell r="E2509">
            <v>110341</v>
          </cell>
        </row>
        <row r="2510">
          <cell r="E2510">
            <v>110364</v>
          </cell>
        </row>
        <row r="2511">
          <cell r="E2511">
            <v>110366</v>
          </cell>
        </row>
        <row r="2512">
          <cell r="E2512">
            <v>110367</v>
          </cell>
        </row>
        <row r="2513">
          <cell r="E2513">
            <v>110368</v>
          </cell>
        </row>
        <row r="2514">
          <cell r="E2514">
            <v>110369</v>
          </cell>
        </row>
        <row r="2515">
          <cell r="E2515">
            <v>110371</v>
          </cell>
        </row>
        <row r="2516">
          <cell r="E2516">
            <v>110372</v>
          </cell>
        </row>
        <row r="2517">
          <cell r="E2517">
            <v>110373</v>
          </cell>
        </row>
        <row r="2518">
          <cell r="E2518">
            <v>110374</v>
          </cell>
        </row>
        <row r="2519">
          <cell r="E2519">
            <v>110375</v>
          </cell>
        </row>
        <row r="2520">
          <cell r="E2520">
            <v>110376</v>
          </cell>
        </row>
        <row r="2521">
          <cell r="E2521">
            <v>110377</v>
          </cell>
        </row>
        <row r="2522">
          <cell r="E2522">
            <v>110378</v>
          </cell>
        </row>
        <row r="2523">
          <cell r="E2523">
            <v>110379</v>
          </cell>
        </row>
        <row r="2524">
          <cell r="E2524">
            <v>110381</v>
          </cell>
        </row>
        <row r="2525">
          <cell r="E2525">
            <v>110383</v>
          </cell>
        </row>
        <row r="2526">
          <cell r="E2526">
            <v>110385</v>
          </cell>
        </row>
        <row r="2527">
          <cell r="E2527">
            <v>110425</v>
          </cell>
        </row>
        <row r="2528">
          <cell r="E2528">
            <v>110434</v>
          </cell>
        </row>
        <row r="2529">
          <cell r="E2529">
            <v>110435</v>
          </cell>
        </row>
        <row r="2530">
          <cell r="E2530">
            <v>110436</v>
          </cell>
        </row>
        <row r="2531">
          <cell r="E2531">
            <v>110437</v>
          </cell>
        </row>
        <row r="2532">
          <cell r="E2532">
            <v>110438</v>
          </cell>
        </row>
        <row r="2533">
          <cell r="E2533">
            <v>110440</v>
          </cell>
        </row>
        <row r="2534">
          <cell r="E2534">
            <v>110441</v>
          </cell>
        </row>
        <row r="2535">
          <cell r="E2535">
            <v>110442</v>
          </cell>
        </row>
        <row r="2536">
          <cell r="E2536">
            <v>110443</v>
          </cell>
        </row>
        <row r="2537">
          <cell r="E2537">
            <v>110444</v>
          </cell>
        </row>
        <row r="2538">
          <cell r="E2538">
            <v>110453</v>
          </cell>
        </row>
        <row r="2539">
          <cell r="E2539">
            <v>110454</v>
          </cell>
        </row>
        <row r="2540">
          <cell r="E2540">
            <v>110456</v>
          </cell>
        </row>
        <row r="2541">
          <cell r="E2541">
            <v>110457</v>
          </cell>
        </row>
        <row r="2542">
          <cell r="E2542">
            <v>110459</v>
          </cell>
        </row>
        <row r="2543">
          <cell r="E2543">
            <v>110462</v>
          </cell>
        </row>
        <row r="2544">
          <cell r="E2544">
            <v>110463</v>
          </cell>
        </row>
        <row r="2545">
          <cell r="E2545">
            <v>110477</v>
          </cell>
        </row>
        <row r="2546">
          <cell r="E2546">
            <v>110478</v>
          </cell>
        </row>
        <row r="2547">
          <cell r="E2547">
            <v>110484</v>
          </cell>
        </row>
        <row r="2548">
          <cell r="E2548">
            <v>110485</v>
          </cell>
        </row>
        <row r="2549">
          <cell r="E2549">
            <v>110488</v>
          </cell>
        </row>
        <row r="2550">
          <cell r="E2550">
            <v>110489</v>
          </cell>
        </row>
        <row r="2551">
          <cell r="E2551">
            <v>110491</v>
          </cell>
        </row>
        <row r="2552">
          <cell r="E2552">
            <v>110492</v>
          </cell>
        </row>
        <row r="2553">
          <cell r="E2553">
            <v>110493</v>
          </cell>
        </row>
        <row r="2554">
          <cell r="E2554">
            <v>110506</v>
          </cell>
        </row>
        <row r="2555">
          <cell r="E2555">
            <v>110516</v>
          </cell>
        </row>
        <row r="2556">
          <cell r="E2556">
            <v>110517</v>
          </cell>
        </row>
        <row r="2557">
          <cell r="E2557">
            <v>110518</v>
          </cell>
        </row>
        <row r="2558">
          <cell r="E2558">
            <v>110519</v>
          </cell>
        </row>
        <row r="2559">
          <cell r="E2559">
            <v>110520</v>
          </cell>
        </row>
        <row r="2560">
          <cell r="E2560">
            <v>110521</v>
          </cell>
        </row>
        <row r="2561">
          <cell r="E2561">
            <v>110522</v>
          </cell>
        </row>
        <row r="2562">
          <cell r="E2562">
            <v>110523</v>
          </cell>
        </row>
        <row r="2563">
          <cell r="E2563">
            <v>110524</v>
          </cell>
        </row>
        <row r="2564">
          <cell r="E2564">
            <v>110525</v>
          </cell>
        </row>
        <row r="2565">
          <cell r="E2565">
            <v>110526</v>
          </cell>
        </row>
        <row r="2566">
          <cell r="E2566">
            <v>110527</v>
          </cell>
        </row>
        <row r="2567">
          <cell r="E2567">
            <v>110528</v>
          </cell>
        </row>
        <row r="2568">
          <cell r="E2568">
            <v>110529</v>
          </cell>
        </row>
        <row r="2569">
          <cell r="E2569">
            <v>110530</v>
          </cell>
        </row>
        <row r="2570">
          <cell r="E2570">
            <v>110531</v>
          </cell>
        </row>
        <row r="2571">
          <cell r="E2571">
            <v>110532</v>
          </cell>
        </row>
        <row r="2572">
          <cell r="E2572">
            <v>110533</v>
          </cell>
        </row>
        <row r="2573">
          <cell r="E2573">
            <v>110534</v>
          </cell>
        </row>
        <row r="2574">
          <cell r="E2574">
            <v>110535</v>
          </cell>
        </row>
        <row r="2575">
          <cell r="E2575">
            <v>110536</v>
          </cell>
        </row>
        <row r="2576">
          <cell r="E2576">
            <v>110537</v>
          </cell>
        </row>
        <row r="2577">
          <cell r="E2577">
            <v>110538</v>
          </cell>
        </row>
        <row r="2578">
          <cell r="E2578">
            <v>110539</v>
          </cell>
        </row>
        <row r="2579">
          <cell r="E2579">
            <v>110540</v>
          </cell>
        </row>
        <row r="2580">
          <cell r="E2580">
            <v>110555</v>
          </cell>
        </row>
        <row r="2581">
          <cell r="E2581">
            <v>110556</v>
          </cell>
        </row>
        <row r="2582">
          <cell r="E2582">
            <v>110557</v>
          </cell>
        </row>
        <row r="2583">
          <cell r="E2583">
            <v>110558</v>
          </cell>
        </row>
        <row r="2584">
          <cell r="E2584">
            <v>110565</v>
          </cell>
        </row>
        <row r="2585">
          <cell r="E2585">
            <v>110580</v>
          </cell>
        </row>
        <row r="2586">
          <cell r="E2586">
            <v>110581</v>
          </cell>
        </row>
        <row r="2587">
          <cell r="E2587">
            <v>110586</v>
          </cell>
        </row>
        <row r="2588">
          <cell r="E2588">
            <v>110587</v>
          </cell>
        </row>
        <row r="2589">
          <cell r="E2589">
            <v>110588</v>
          </cell>
        </row>
        <row r="2590">
          <cell r="E2590">
            <v>110590</v>
          </cell>
        </row>
        <row r="2591">
          <cell r="E2591">
            <v>110591</v>
          </cell>
        </row>
        <row r="2592">
          <cell r="E2592">
            <v>110600</v>
          </cell>
        </row>
        <row r="2593">
          <cell r="E2593">
            <v>110612</v>
          </cell>
        </row>
        <row r="2594">
          <cell r="E2594">
            <v>110613</v>
          </cell>
        </row>
        <row r="2595">
          <cell r="E2595">
            <v>110624</v>
          </cell>
        </row>
        <row r="2596">
          <cell r="E2596">
            <v>110630</v>
          </cell>
        </row>
        <row r="2597">
          <cell r="E2597">
            <v>110631</v>
          </cell>
        </row>
        <row r="2598">
          <cell r="E2598">
            <v>110632</v>
          </cell>
        </row>
        <row r="2599">
          <cell r="E2599">
            <v>110633</v>
          </cell>
        </row>
        <row r="2600">
          <cell r="E2600">
            <v>110634</v>
          </cell>
        </row>
        <row r="2601">
          <cell r="E2601">
            <v>110635</v>
          </cell>
        </row>
        <row r="2602">
          <cell r="E2602">
            <v>110645</v>
          </cell>
        </row>
        <row r="2603">
          <cell r="E2603">
            <v>110662</v>
          </cell>
        </row>
        <row r="2604">
          <cell r="E2604">
            <v>110663</v>
          </cell>
        </row>
        <row r="2605">
          <cell r="E2605">
            <v>110669</v>
          </cell>
        </row>
        <row r="2606">
          <cell r="E2606">
            <v>110676</v>
          </cell>
        </row>
        <row r="2607">
          <cell r="E2607">
            <v>110677</v>
          </cell>
        </row>
        <row r="2608">
          <cell r="E2608">
            <v>110678</v>
          </cell>
        </row>
        <row r="2609">
          <cell r="E2609">
            <v>110679</v>
          </cell>
        </row>
        <row r="2610">
          <cell r="E2610">
            <v>110680</v>
          </cell>
        </row>
        <row r="2611">
          <cell r="E2611">
            <v>110681</v>
          </cell>
        </row>
        <row r="2612">
          <cell r="E2612">
            <v>110687</v>
          </cell>
        </row>
        <row r="2613">
          <cell r="E2613">
            <v>110689</v>
          </cell>
        </row>
        <row r="2614">
          <cell r="E2614">
            <v>110690</v>
          </cell>
        </row>
        <row r="2615">
          <cell r="E2615">
            <v>110691</v>
          </cell>
        </row>
        <row r="2616">
          <cell r="E2616">
            <v>110692</v>
          </cell>
        </row>
        <row r="2617">
          <cell r="E2617">
            <v>110693</v>
          </cell>
        </row>
        <row r="2618">
          <cell r="E2618">
            <v>110694</v>
          </cell>
        </row>
        <row r="2619">
          <cell r="E2619">
            <v>110695</v>
          </cell>
        </row>
        <row r="2620">
          <cell r="E2620">
            <v>110713</v>
          </cell>
        </row>
        <row r="2621">
          <cell r="E2621">
            <v>110714</v>
          </cell>
        </row>
        <row r="2622">
          <cell r="E2622">
            <v>110715</v>
          </cell>
        </row>
        <row r="2623">
          <cell r="E2623">
            <v>110716</v>
          </cell>
        </row>
        <row r="2624">
          <cell r="E2624">
            <v>110717</v>
          </cell>
        </row>
        <row r="2625">
          <cell r="E2625">
            <v>110718</v>
          </cell>
        </row>
        <row r="2626">
          <cell r="E2626">
            <v>110719</v>
          </cell>
        </row>
        <row r="2627">
          <cell r="E2627">
            <v>110720</v>
          </cell>
        </row>
        <row r="2628">
          <cell r="E2628">
            <v>110721</v>
          </cell>
        </row>
        <row r="2629">
          <cell r="E2629">
            <v>110722</v>
          </cell>
        </row>
        <row r="2630">
          <cell r="E2630">
            <v>110740</v>
          </cell>
        </row>
        <row r="2631">
          <cell r="E2631">
            <v>110744</v>
          </cell>
        </row>
        <row r="2632">
          <cell r="E2632">
            <v>110769</v>
          </cell>
        </row>
        <row r="2633">
          <cell r="E2633">
            <v>110770</v>
          </cell>
        </row>
        <row r="2634">
          <cell r="E2634">
            <v>110771</v>
          </cell>
        </row>
        <row r="2635">
          <cell r="E2635">
            <v>110772</v>
          </cell>
        </row>
        <row r="2636">
          <cell r="E2636">
            <v>110773</v>
          </cell>
        </row>
        <row r="2637">
          <cell r="E2637">
            <v>110778</v>
          </cell>
        </row>
        <row r="2638">
          <cell r="E2638">
            <v>110779</v>
          </cell>
        </row>
        <row r="2639">
          <cell r="E2639">
            <v>110780</v>
          </cell>
        </row>
        <row r="2640">
          <cell r="E2640">
            <v>110788</v>
          </cell>
        </row>
        <row r="2641">
          <cell r="E2641">
            <v>110789</v>
          </cell>
        </row>
        <row r="2642">
          <cell r="E2642">
            <v>110790</v>
          </cell>
        </row>
        <row r="2643">
          <cell r="E2643">
            <v>110791</v>
          </cell>
        </row>
        <row r="2644">
          <cell r="E2644">
            <v>110795</v>
          </cell>
        </row>
        <row r="2645">
          <cell r="E2645">
            <v>110796</v>
          </cell>
        </row>
        <row r="2646">
          <cell r="E2646">
            <v>110801</v>
          </cell>
        </row>
        <row r="2647">
          <cell r="E2647">
            <v>110802</v>
          </cell>
        </row>
        <row r="2648">
          <cell r="E2648">
            <v>110803</v>
          </cell>
        </row>
        <row r="2649">
          <cell r="E2649">
            <v>110804</v>
          </cell>
        </row>
        <row r="2650">
          <cell r="E2650">
            <v>110805</v>
          </cell>
        </row>
        <row r="2651">
          <cell r="E2651">
            <v>110806</v>
          </cell>
        </row>
        <row r="2652">
          <cell r="E2652">
            <v>110810</v>
          </cell>
        </row>
        <row r="2653">
          <cell r="E2653">
            <v>110811</v>
          </cell>
        </row>
        <row r="2654">
          <cell r="E2654">
            <v>110815</v>
          </cell>
        </row>
        <row r="2655">
          <cell r="E2655">
            <v>110816</v>
          </cell>
        </row>
        <row r="2656">
          <cell r="E2656">
            <v>110817</v>
          </cell>
        </row>
        <row r="2657">
          <cell r="E2657">
            <v>110837</v>
          </cell>
        </row>
        <row r="2658">
          <cell r="E2658">
            <v>110838</v>
          </cell>
        </row>
        <row r="2659">
          <cell r="E2659">
            <v>110839</v>
          </cell>
        </row>
        <row r="2660">
          <cell r="E2660">
            <v>110842</v>
          </cell>
        </row>
        <row r="2661">
          <cell r="E2661">
            <v>110844</v>
          </cell>
        </row>
        <row r="2662">
          <cell r="E2662">
            <v>110845</v>
          </cell>
        </row>
        <row r="2663">
          <cell r="E2663">
            <v>110846</v>
          </cell>
        </row>
        <row r="2664">
          <cell r="E2664">
            <v>110847</v>
          </cell>
        </row>
        <row r="2665">
          <cell r="E2665">
            <v>110848</v>
          </cell>
        </row>
        <row r="2666">
          <cell r="E2666">
            <v>110849</v>
          </cell>
        </row>
        <row r="2667">
          <cell r="E2667">
            <v>110850</v>
          </cell>
        </row>
        <row r="2668">
          <cell r="E2668">
            <v>110851</v>
          </cell>
        </row>
        <row r="2669">
          <cell r="E2669">
            <v>110852</v>
          </cell>
        </row>
        <row r="2670">
          <cell r="E2670">
            <v>110858</v>
          </cell>
        </row>
        <row r="2671">
          <cell r="E2671">
            <v>110867</v>
          </cell>
        </row>
        <row r="2672">
          <cell r="E2672">
            <v>110868</v>
          </cell>
        </row>
        <row r="2673">
          <cell r="E2673">
            <v>110869</v>
          </cell>
        </row>
        <row r="2674">
          <cell r="E2674">
            <v>110908</v>
          </cell>
        </row>
        <row r="2675">
          <cell r="E2675">
            <v>110909</v>
          </cell>
        </row>
        <row r="2676">
          <cell r="E2676">
            <v>110910</v>
          </cell>
        </row>
        <row r="2677">
          <cell r="E2677">
            <v>110923</v>
          </cell>
        </row>
        <row r="2678">
          <cell r="E2678">
            <v>110925</v>
          </cell>
        </row>
        <row r="2679">
          <cell r="E2679">
            <v>110929</v>
          </cell>
        </row>
        <row r="2680">
          <cell r="E2680">
            <v>110930</v>
          </cell>
        </row>
        <row r="2681">
          <cell r="E2681">
            <v>110931</v>
          </cell>
        </row>
        <row r="2682">
          <cell r="E2682">
            <v>110932</v>
          </cell>
        </row>
        <row r="2683">
          <cell r="E2683">
            <v>110933</v>
          </cell>
        </row>
        <row r="2684">
          <cell r="E2684">
            <v>110934</v>
          </cell>
        </row>
        <row r="2685">
          <cell r="E2685">
            <v>110935</v>
          </cell>
        </row>
        <row r="2686">
          <cell r="E2686">
            <v>110936</v>
          </cell>
        </row>
        <row r="2687">
          <cell r="E2687">
            <v>110939</v>
          </cell>
        </row>
        <row r="2688">
          <cell r="E2688">
            <v>110942</v>
          </cell>
        </row>
        <row r="2689">
          <cell r="E2689">
            <v>110948</v>
          </cell>
        </row>
        <row r="2690">
          <cell r="E2690">
            <v>110949</v>
          </cell>
        </row>
        <row r="2691">
          <cell r="E2691">
            <v>110950</v>
          </cell>
        </row>
        <row r="2692">
          <cell r="E2692">
            <v>110951</v>
          </cell>
        </row>
        <row r="2693">
          <cell r="E2693">
            <v>110953</v>
          </cell>
        </row>
        <row r="2694">
          <cell r="E2694">
            <v>110954</v>
          </cell>
        </row>
        <row r="2695">
          <cell r="E2695">
            <v>110955</v>
          </cell>
        </row>
        <row r="2696">
          <cell r="E2696">
            <v>110956</v>
          </cell>
        </row>
        <row r="2697">
          <cell r="E2697">
            <v>110957</v>
          </cell>
        </row>
        <row r="2698">
          <cell r="E2698">
            <v>110958</v>
          </cell>
        </row>
        <row r="2699">
          <cell r="E2699">
            <v>110963</v>
          </cell>
        </row>
        <row r="2700">
          <cell r="E2700">
            <v>110964</v>
          </cell>
        </row>
        <row r="2701">
          <cell r="E2701">
            <v>110965</v>
          </cell>
        </row>
        <row r="2702">
          <cell r="E2702">
            <v>110966</v>
          </cell>
        </row>
        <row r="2703">
          <cell r="E2703">
            <v>110967</v>
          </cell>
        </row>
        <row r="2704">
          <cell r="E2704">
            <v>110968</v>
          </cell>
        </row>
        <row r="2705">
          <cell r="E2705">
            <v>110969</v>
          </cell>
        </row>
        <row r="2706">
          <cell r="E2706">
            <v>110970</v>
          </cell>
        </row>
        <row r="2707">
          <cell r="E2707">
            <v>110971</v>
          </cell>
        </row>
        <row r="2708">
          <cell r="E2708">
            <v>110972</v>
          </cell>
        </row>
        <row r="2709">
          <cell r="E2709">
            <v>110973</v>
          </cell>
        </row>
        <row r="2710">
          <cell r="E2710">
            <v>110974</v>
          </cell>
        </row>
        <row r="2711">
          <cell r="E2711">
            <v>110975</v>
          </cell>
        </row>
        <row r="2712">
          <cell r="E2712">
            <v>110978</v>
          </cell>
        </row>
        <row r="2713">
          <cell r="E2713">
            <v>110980</v>
          </cell>
        </row>
        <row r="2714">
          <cell r="E2714">
            <v>110984</v>
          </cell>
        </row>
        <row r="2715">
          <cell r="E2715">
            <v>111008</v>
          </cell>
        </row>
        <row r="2716">
          <cell r="E2716">
            <v>111016</v>
          </cell>
        </row>
        <row r="2717">
          <cell r="E2717">
            <v>111018</v>
          </cell>
        </row>
        <row r="2718">
          <cell r="E2718">
            <v>111020</v>
          </cell>
        </row>
        <row r="2719">
          <cell r="E2719">
            <v>111035</v>
          </cell>
        </row>
        <row r="2720">
          <cell r="E2720">
            <v>111050</v>
          </cell>
        </row>
        <row r="2721">
          <cell r="E2721">
            <v>111051</v>
          </cell>
        </row>
        <row r="2722">
          <cell r="E2722">
            <v>111060</v>
          </cell>
        </row>
      </sheetData>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NT"/>
      <sheetName val="HOTEL"/>
      <sheetName val="Hoja1"/>
      <sheetName val="Cotiza-Cont"/>
      <sheetName val="Hoja de Utilidad"/>
      <sheetName val="Manual Usuario"/>
      <sheetName val="Comisiones"/>
      <sheetName val="Factores de revisión"/>
      <sheetName val="Formato General"/>
      <sheetName val="Implementación y uso"/>
      <sheetName val="Audio"/>
      <sheetName val="Video"/>
      <sheetName val="Iluminación &amp; Rigging"/>
      <sheetName val="Cables"/>
      <sheetName val="Asset Maintenance Form (AMF)"/>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of Changes"/>
      <sheetName val="Keywords"/>
      <sheetName val="Instructions"/>
      <sheetName val="Effective Disc Calc"/>
      <sheetName val="Preliminary Estimate"/>
      <sheetName val="Profit Forecast"/>
      <sheetName val="Subrental Forecast"/>
      <sheetName val="Profit Actual"/>
      <sheetName val="Subrental Actual"/>
      <sheetName val="Hotel Input Tables"/>
      <sheetName val="Actual vs Forecast vs Estimate"/>
    </sheetNames>
    <sheetDataSet>
      <sheetData sheetId="0" refreshError="1"/>
      <sheetData sheetId="1" refreshError="1"/>
      <sheetData sheetId="2" refreshError="1"/>
      <sheetData sheetId="3" refreshError="1"/>
      <sheetData sheetId="4" refreshError="1"/>
      <sheetData sheetId="5">
        <row r="3">
          <cell r="D3" t="str">
            <v>Roberto C. Barrera</v>
          </cell>
        </row>
        <row r="4">
          <cell r="D4">
            <v>39725</v>
          </cell>
        </row>
        <row r="5">
          <cell r="D5" t="str">
            <v>Cancun Center</v>
          </cell>
        </row>
        <row r="8">
          <cell r="D8">
            <v>110000</v>
          </cell>
        </row>
        <row r="9">
          <cell r="D9">
            <v>40000</v>
          </cell>
        </row>
        <row r="14">
          <cell r="D14">
            <v>5000</v>
          </cell>
        </row>
        <row r="15">
          <cell r="D15">
            <v>3000</v>
          </cell>
        </row>
        <row r="27">
          <cell r="D27">
            <v>5</v>
          </cell>
          <cell r="F27" t="str">
            <v>FT</v>
          </cell>
        </row>
        <row r="28">
          <cell r="D28">
            <v>0</v>
          </cell>
          <cell r="F28" t="str">
            <v>FT</v>
          </cell>
        </row>
        <row r="29">
          <cell r="D29">
            <v>0</v>
          </cell>
          <cell r="F29" t="str">
            <v>FT</v>
          </cell>
        </row>
        <row r="30">
          <cell r="D30">
            <v>0</v>
          </cell>
        </row>
        <row r="31">
          <cell r="D31">
            <v>0</v>
          </cell>
        </row>
        <row r="34">
          <cell r="D34">
            <v>10</v>
          </cell>
          <cell r="F34" t="str">
            <v>FT</v>
          </cell>
        </row>
        <row r="35">
          <cell r="D35">
            <v>0</v>
          </cell>
        </row>
        <row r="36">
          <cell r="D36">
            <v>0</v>
          </cell>
        </row>
        <row r="37">
          <cell r="D37">
            <v>0</v>
          </cell>
        </row>
        <row r="38">
          <cell r="D38">
            <v>0</v>
          </cell>
        </row>
        <row r="41">
          <cell r="D41">
            <v>14</v>
          </cell>
          <cell r="F41" t="str">
            <v>FT</v>
          </cell>
        </row>
        <row r="42">
          <cell r="D42">
            <v>0</v>
          </cell>
        </row>
        <row r="43">
          <cell r="D43">
            <v>0</v>
          </cell>
        </row>
        <row r="50">
          <cell r="D50">
            <v>0.4</v>
          </cell>
        </row>
        <row r="51">
          <cell r="D51">
            <v>0.15</v>
          </cell>
        </row>
        <row r="52">
          <cell r="D52">
            <v>0.15</v>
          </cell>
        </row>
        <row r="55">
          <cell r="D55">
            <v>0.15</v>
          </cell>
        </row>
        <row r="56">
          <cell r="D56">
            <v>0.15</v>
          </cell>
        </row>
        <row r="57">
          <cell r="D57">
            <v>0.15</v>
          </cell>
        </row>
        <row r="67">
          <cell r="E67">
            <v>1114</v>
          </cell>
        </row>
        <row r="71">
          <cell r="E71">
            <v>0</v>
          </cell>
        </row>
      </sheetData>
      <sheetData sheetId="6" refreshError="1"/>
      <sheetData sheetId="7" refreshError="1"/>
      <sheetData sheetId="8" refreshError="1"/>
      <sheetData sheetId="9">
        <row r="10">
          <cell r="I10" t="str">
            <v>Y</v>
          </cell>
        </row>
        <row r="11">
          <cell r="I11" t="str">
            <v>N</v>
          </cell>
        </row>
        <row r="12">
          <cell r="I12" t="str">
            <v>N</v>
          </cell>
        </row>
        <row r="13">
          <cell r="I13" t="str">
            <v>Y</v>
          </cell>
        </row>
        <row r="14">
          <cell r="I14" t="str">
            <v>Y</v>
          </cell>
        </row>
        <row r="15">
          <cell r="I15" t="str">
            <v>Y</v>
          </cell>
        </row>
        <row r="16">
          <cell r="I16" t="str">
            <v>Y</v>
          </cell>
        </row>
        <row r="23">
          <cell r="I23">
            <v>0.15</v>
          </cell>
        </row>
      </sheetData>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tabColor indexed="39"/>
    <pageSetUpPr autoPageBreaks="0" fitToPage="1"/>
  </sheetPr>
  <dimension ref="A1:G84"/>
  <sheetViews>
    <sheetView showGridLines="0" zoomScaleNormal="100" zoomScaleSheetLayoutView="100" workbookViewId="0">
      <pane ySplit="6" topLeftCell="A7" activePane="bottomLeft" state="frozen"/>
      <selection activeCell="A28" sqref="A28:K28"/>
      <selection pane="bottomLeft" activeCell="E65" sqref="E65"/>
    </sheetView>
  </sheetViews>
  <sheetFormatPr baseColWidth="10" defaultRowHeight="12.75"/>
  <cols>
    <col min="1" max="1" width="10.85546875" style="64" customWidth="1"/>
    <col min="2" max="2" width="7.140625" style="65" customWidth="1"/>
    <col min="3" max="3" width="25.7109375" style="66" customWidth="1"/>
    <col min="4" max="4" width="12.140625" style="64" customWidth="1"/>
    <col min="5" max="5" width="18.42578125" style="64" customWidth="1"/>
    <col min="6" max="6" width="18.5703125" style="64" customWidth="1"/>
    <col min="7" max="7" width="13" style="64" customWidth="1"/>
    <col min="8" max="16384" width="11.42578125" style="64"/>
  </cols>
  <sheetData>
    <row r="1" spans="1:7" ht="2.25" customHeight="1"/>
    <row r="2" spans="1:7" s="398" customFormat="1" ht="11.25"/>
    <row r="3" spans="1:7" s="398" customFormat="1" ht="11.25">
      <c r="A3" s="478" t="s">
        <v>50</v>
      </c>
      <c r="B3" s="464"/>
      <c r="C3" s="461" t="str">
        <f ca="1">IF(E55&gt;20.01%,+VLOOKUP(E55,$C$80:$E$83,3,3),"Autorización DET + (VP o DR) + DF + DG")</f>
        <v>Autorización DET + (VP o DR) + DF + DG</v>
      </c>
      <c r="D3" s="462"/>
      <c r="E3" s="463"/>
      <c r="F3" s="398" t="s">
        <v>388</v>
      </c>
      <c r="G3" s="415">
        <f ca="1">+'2-Cotización'!H5</f>
        <v>43054</v>
      </c>
    </row>
    <row r="4" spans="1:7" s="398" customFormat="1" ht="11.25">
      <c r="A4" s="416"/>
      <c r="B4" s="416"/>
      <c r="C4" s="416"/>
      <c r="D4" s="416"/>
      <c r="E4" s="416"/>
      <c r="F4" s="416"/>
      <c r="G4" s="416"/>
    </row>
    <row r="5" spans="1:7" s="398" customFormat="1" ht="11.25">
      <c r="A5" s="711">
        <f>+'2-Cotización'!B7</f>
        <v>0</v>
      </c>
      <c r="B5" s="711"/>
      <c r="C5" s="711"/>
      <c r="D5" s="711"/>
      <c r="E5" s="711"/>
      <c r="F5" s="711"/>
      <c r="G5" s="711"/>
    </row>
    <row r="6" spans="1:7" s="162" customFormat="1" ht="3" customHeight="1"/>
    <row r="7" spans="1:7" s="162" customFormat="1" ht="11.25">
      <c r="A7" s="163" t="s">
        <v>532</v>
      </c>
      <c r="E7" s="164" t="s">
        <v>609</v>
      </c>
      <c r="F7" s="164"/>
    </row>
    <row r="8" spans="1:7" s="162" customFormat="1" ht="11.25">
      <c r="A8" s="165" t="s">
        <v>521</v>
      </c>
      <c r="B8" s="401">
        <f>+'2-Cotización'!C10</f>
        <v>0</v>
      </c>
      <c r="E8" s="162" t="s">
        <v>525</v>
      </c>
      <c r="F8" s="401">
        <f>+'2-Cotización'!G10</f>
        <v>0</v>
      </c>
    </row>
    <row r="9" spans="1:7" s="162" customFormat="1" ht="12.75" customHeight="1">
      <c r="A9" s="402" t="s">
        <v>534</v>
      </c>
      <c r="B9" s="709">
        <f>+'2-Cotización'!C11</f>
        <v>0</v>
      </c>
      <c r="C9" s="709"/>
      <c r="E9" s="403" t="s">
        <v>529</v>
      </c>
      <c r="F9" s="404">
        <f>+'2-Cotización'!G11</f>
        <v>0</v>
      </c>
    </row>
    <row r="10" spans="1:7" s="162" customFormat="1" ht="12.75" customHeight="1">
      <c r="A10" s="402"/>
      <c r="B10" s="709"/>
      <c r="C10" s="709"/>
      <c r="E10" s="403" t="s">
        <v>526</v>
      </c>
      <c r="F10" s="404">
        <f>+'2-Cotización'!G15</f>
        <v>0</v>
      </c>
    </row>
    <row r="11" spans="1:7" s="162" customFormat="1" ht="11.25">
      <c r="A11" s="163" t="s">
        <v>636</v>
      </c>
      <c r="E11" s="403" t="s">
        <v>527</v>
      </c>
      <c r="F11" s="404">
        <f>+'2-Cotización'!G17</f>
        <v>0</v>
      </c>
    </row>
    <row r="12" spans="1:7" s="161" customFormat="1" ht="11.25">
      <c r="A12" s="405" t="s">
        <v>525</v>
      </c>
      <c r="B12" s="401">
        <f>+'2-Cotización'!C24</f>
        <v>0</v>
      </c>
      <c r="C12" s="162"/>
      <c r="E12" s="162" t="s">
        <v>528</v>
      </c>
      <c r="F12" s="406">
        <f>+'2-Cotización'!G19</f>
        <v>0</v>
      </c>
      <c r="G12" s="407"/>
    </row>
    <row r="13" spans="1:7" s="162" customFormat="1" ht="11.25">
      <c r="A13" s="162" t="s">
        <v>522</v>
      </c>
      <c r="B13" s="406">
        <f>+'2-Cotización'!C25</f>
        <v>0</v>
      </c>
      <c r="E13" s="162" t="s">
        <v>633</v>
      </c>
      <c r="F13" s="408">
        <f>+'2-Cotización'!G27</f>
        <v>0</v>
      </c>
      <c r="G13" s="407"/>
    </row>
    <row r="14" spans="1:7" s="162" customFormat="1" ht="11.25">
      <c r="A14" s="409" t="s">
        <v>610</v>
      </c>
      <c r="B14" s="406">
        <f>+'2-Cotización'!C26</f>
        <v>0</v>
      </c>
      <c r="G14" s="407"/>
    </row>
    <row r="15" spans="1:7" s="162" customFormat="1" ht="11.25">
      <c r="A15" s="410" t="s">
        <v>533</v>
      </c>
      <c r="B15" s="406">
        <f>+'2-Cotización'!C27</f>
        <v>0</v>
      </c>
      <c r="E15" s="162" t="s">
        <v>530</v>
      </c>
      <c r="F15" s="401">
        <f>+'2-Cotización'!G13</f>
        <v>0</v>
      </c>
    </row>
    <row r="16" spans="1:7" s="162" customFormat="1" ht="11.25">
      <c r="A16" s="405"/>
      <c r="B16" s="406"/>
      <c r="E16" s="162" t="s">
        <v>632</v>
      </c>
      <c r="F16" s="411">
        <f>+'2-Cotización'!G14</f>
        <v>0</v>
      </c>
    </row>
    <row r="17" spans="1:7" s="162" customFormat="1" ht="11.25">
      <c r="A17" s="164" t="s">
        <v>637</v>
      </c>
      <c r="E17" s="412" t="s">
        <v>496</v>
      </c>
      <c r="F17" s="413">
        <f>+'2-Cotización'!G22</f>
        <v>0</v>
      </c>
    </row>
    <row r="18" spans="1:7" s="162" customFormat="1" ht="11.25">
      <c r="A18" s="162" t="s">
        <v>525</v>
      </c>
      <c r="B18" s="401">
        <f>+'2-Cotización'!G24</f>
        <v>0</v>
      </c>
      <c r="F18" s="414"/>
    </row>
    <row r="19" spans="1:7" s="162" customFormat="1" ht="11.25">
      <c r="A19" s="412" t="s">
        <v>632</v>
      </c>
      <c r="B19" s="406">
        <f>+'2-Cotización'!G25</f>
        <v>0</v>
      </c>
      <c r="E19" s="579" t="s">
        <v>389</v>
      </c>
      <c r="F19" s="414"/>
      <c r="G19" s="292"/>
    </row>
    <row r="20" spans="1:7">
      <c r="A20" s="713" t="str">
        <f ca="1">+'4b-Venta-Comisión'!B29</f>
        <v>OK</v>
      </c>
      <c r="B20" s="713"/>
      <c r="C20" s="713"/>
      <c r="D20" s="713"/>
      <c r="E20" s="714" t="str">
        <f ca="1">+'4b-Venta-Comisión'!I29</f>
        <v>OK</v>
      </c>
      <c r="F20" s="714"/>
      <c r="G20" s="714"/>
    </row>
    <row r="21" spans="1:7" s="417" customFormat="1" ht="23.25" customHeight="1" thickBot="1">
      <c r="A21" s="75"/>
      <c r="B21" s="75"/>
      <c r="C21" s="712" t="s">
        <v>397</v>
      </c>
      <c r="D21" s="712"/>
      <c r="E21" s="712"/>
      <c r="F21" s="435" t="s">
        <v>957</v>
      </c>
      <c r="G21" s="434"/>
    </row>
    <row r="22" spans="1:7" ht="5.25" customHeight="1" thickTop="1">
      <c r="F22" s="436"/>
    </row>
    <row r="23" spans="1:7" s="398" customFormat="1" ht="11.25">
      <c r="B23" s="581"/>
      <c r="C23" s="582" t="s">
        <v>667</v>
      </c>
      <c r="D23" s="583">
        <f ca="1">+'4b-Venta-Comisión'!F13</f>
        <v>0</v>
      </c>
      <c r="E23" s="584">
        <f t="shared" ref="E23:E39" ca="1" si="0">IF(D23=0,0,(D23/$D$38))</f>
        <v>0</v>
      </c>
      <c r="F23" s="585">
        <f>+'4a-Venta-Des.'!F19</f>
        <v>0</v>
      </c>
    </row>
    <row r="24" spans="1:7" s="398" customFormat="1" ht="11.25">
      <c r="B24" s="581"/>
      <c r="C24" s="582" t="s">
        <v>708</v>
      </c>
      <c r="D24" s="583">
        <f ca="1">+'4b-Venta-Comisión'!F14</f>
        <v>0</v>
      </c>
      <c r="E24" s="584">
        <f t="shared" ca="1" si="0"/>
        <v>0</v>
      </c>
      <c r="F24" s="585">
        <f>+'4a-Venta-Des.'!F20</f>
        <v>0</v>
      </c>
    </row>
    <row r="25" spans="1:7" s="398" customFormat="1" ht="11.25">
      <c r="B25" s="581"/>
      <c r="C25" s="582" t="s">
        <v>853</v>
      </c>
      <c r="D25" s="583">
        <f ca="1">+'4b-Venta-Comisión'!F15</f>
        <v>0</v>
      </c>
      <c r="E25" s="584">
        <f t="shared" ca="1" si="0"/>
        <v>0</v>
      </c>
      <c r="F25" s="585">
        <f>+'4a-Venta-Des.'!F21</f>
        <v>0</v>
      </c>
    </row>
    <row r="26" spans="1:7" s="398" customFormat="1" ht="11.25">
      <c r="B26" s="581"/>
      <c r="C26" s="582" t="s">
        <v>709</v>
      </c>
      <c r="D26" s="583">
        <f ca="1">+'4b-Venta-Comisión'!F16</f>
        <v>0</v>
      </c>
      <c r="E26" s="584">
        <f t="shared" ca="1" si="0"/>
        <v>0</v>
      </c>
      <c r="F26" s="585">
        <f>+'4a-Venta-Des.'!F22</f>
        <v>0</v>
      </c>
    </row>
    <row r="27" spans="1:7" s="398" customFormat="1" ht="11.25">
      <c r="B27" s="581"/>
      <c r="C27" s="582" t="s">
        <v>710</v>
      </c>
      <c r="D27" s="583">
        <f ca="1">+'4b-Venta-Comisión'!F17</f>
        <v>0</v>
      </c>
      <c r="E27" s="584">
        <f t="shared" ca="1" si="0"/>
        <v>0</v>
      </c>
      <c r="F27" s="585">
        <f>+'4a-Venta-Des.'!F23</f>
        <v>0</v>
      </c>
    </row>
    <row r="28" spans="1:7" s="398" customFormat="1" ht="11.25">
      <c r="B28" s="581"/>
      <c r="C28" s="582" t="s">
        <v>711</v>
      </c>
      <c r="D28" s="583">
        <f ca="1">+'4b-Venta-Comisión'!F18</f>
        <v>0</v>
      </c>
      <c r="E28" s="584">
        <f t="shared" ca="1" si="0"/>
        <v>0</v>
      </c>
      <c r="F28" s="585">
        <f>+'4a-Venta-Des.'!F24</f>
        <v>0</v>
      </c>
    </row>
    <row r="29" spans="1:7" s="398" customFormat="1" ht="11.25">
      <c r="B29" s="581"/>
      <c r="C29" s="582" t="s">
        <v>712</v>
      </c>
      <c r="D29" s="583">
        <f ca="1">+'4b-Venta-Comisión'!F19</f>
        <v>0</v>
      </c>
      <c r="E29" s="584">
        <f t="shared" ca="1" si="0"/>
        <v>0</v>
      </c>
      <c r="F29" s="585">
        <f>+'4a-Venta-Des.'!F25</f>
        <v>0</v>
      </c>
    </row>
    <row r="30" spans="1:7" s="398" customFormat="1" ht="11.25">
      <c r="B30" s="581"/>
      <c r="C30" s="582" t="s">
        <v>105</v>
      </c>
      <c r="D30" s="583">
        <f ca="1">+'4b-Venta-Comisión'!F20</f>
        <v>0</v>
      </c>
      <c r="E30" s="584">
        <f t="shared" ca="1" si="0"/>
        <v>0</v>
      </c>
      <c r="F30" s="585">
        <f>+'4a-Venta-Des.'!F26</f>
        <v>0</v>
      </c>
    </row>
    <row r="31" spans="1:7" s="398" customFormat="1" ht="11.25">
      <c r="B31" s="581"/>
      <c r="C31" s="582" t="s">
        <v>716</v>
      </c>
      <c r="D31" s="583">
        <f ca="1">+'4b-Venta-Comisión'!F21</f>
        <v>0</v>
      </c>
      <c r="E31" s="584">
        <f t="shared" ca="1" si="0"/>
        <v>0</v>
      </c>
      <c r="F31" s="585">
        <f>+'4a-Venta-Des.'!F27</f>
        <v>0</v>
      </c>
    </row>
    <row r="32" spans="1:7" s="398" customFormat="1" ht="11.25">
      <c r="B32" s="581"/>
      <c r="C32" s="582" t="s">
        <v>717</v>
      </c>
      <c r="D32" s="583">
        <f ca="1">+'4b-Venta-Comisión'!F22</f>
        <v>0</v>
      </c>
      <c r="E32" s="584">
        <f t="shared" ca="1" si="0"/>
        <v>0</v>
      </c>
      <c r="F32" s="585">
        <f>+'4a-Venta-Des.'!F28</f>
        <v>0</v>
      </c>
    </row>
    <row r="33" spans="1:7" s="398" customFormat="1" ht="11.25">
      <c r="B33" s="581"/>
      <c r="C33" s="582" t="s">
        <v>713</v>
      </c>
      <c r="D33" s="583">
        <f ca="1">+'4b-Venta-Comisión'!F23</f>
        <v>0</v>
      </c>
      <c r="E33" s="584">
        <f t="shared" ca="1" si="0"/>
        <v>0</v>
      </c>
      <c r="F33" s="585">
        <f>+'4a-Venta-Des.'!F29</f>
        <v>0</v>
      </c>
    </row>
    <row r="34" spans="1:7" s="398" customFormat="1" ht="11.25">
      <c r="B34" s="581"/>
      <c r="C34" s="582" t="s">
        <v>714</v>
      </c>
      <c r="D34" s="583">
        <f ca="1">+'4b-Venta-Comisión'!F24</f>
        <v>0</v>
      </c>
      <c r="E34" s="584">
        <f t="shared" ca="1" si="0"/>
        <v>0</v>
      </c>
      <c r="F34" s="585">
        <f>+'4a-Venta-Des.'!F30</f>
        <v>0</v>
      </c>
    </row>
    <row r="35" spans="1:7" s="398" customFormat="1" ht="11.25">
      <c r="B35" s="581"/>
      <c r="C35" s="582" t="s">
        <v>715</v>
      </c>
      <c r="D35" s="583">
        <f ca="1">+'4b-Venta-Comisión'!F25</f>
        <v>0</v>
      </c>
      <c r="E35" s="584">
        <f t="shared" ca="1" si="0"/>
        <v>0</v>
      </c>
      <c r="F35" s="585">
        <f>+'4a-Venta-Des.'!F31</f>
        <v>0</v>
      </c>
    </row>
    <row r="36" spans="1:7" s="398" customFormat="1" ht="11.25">
      <c r="B36" s="581"/>
      <c r="C36" s="582" t="s">
        <v>642</v>
      </c>
      <c r="D36" s="583">
        <f ca="1">+'4b-Venta-Comisión'!F26</f>
        <v>0</v>
      </c>
      <c r="E36" s="584">
        <f t="shared" ca="1" si="0"/>
        <v>0</v>
      </c>
      <c r="F36" s="585">
        <f>+'4a-Venta-Des.'!F32</f>
        <v>0</v>
      </c>
    </row>
    <row r="37" spans="1:7" s="398" customFormat="1" ht="11.25">
      <c r="B37" s="581"/>
      <c r="C37" s="582" t="s">
        <v>871</v>
      </c>
      <c r="D37" s="583">
        <f ca="1">+'4b-Venta-Comisión'!F27</f>
        <v>0</v>
      </c>
      <c r="E37" s="584">
        <f t="shared" ca="1" si="0"/>
        <v>0</v>
      </c>
      <c r="F37" s="585">
        <f>+'4a-Venta-Des.'!F33</f>
        <v>0</v>
      </c>
    </row>
    <row r="38" spans="1:7" s="76" customFormat="1">
      <c r="B38" s="77"/>
      <c r="C38" s="78" t="s">
        <v>631</v>
      </c>
      <c r="D38" s="79">
        <f ca="1">SUM(D23:D37)</f>
        <v>0</v>
      </c>
      <c r="E38" s="98">
        <f t="shared" ca="1" si="0"/>
        <v>0</v>
      </c>
      <c r="F38" s="437">
        <f>+'4a-Venta-Des.'!F34</f>
        <v>0</v>
      </c>
    </row>
    <row r="39" spans="1:7" s="582" customFormat="1" ht="11.25">
      <c r="B39" s="586"/>
      <c r="C39" s="582" t="s">
        <v>595</v>
      </c>
      <c r="D39" s="583">
        <f ca="1">-'4a-Venta-Des.'!J34</f>
        <v>0</v>
      </c>
      <c r="E39" s="584">
        <f t="shared" ca="1" si="0"/>
        <v>0</v>
      </c>
      <c r="F39" s="585">
        <f>+'4a-Venta-Des.'!F35</f>
        <v>0</v>
      </c>
    </row>
    <row r="40" spans="1:7">
      <c r="C40" s="80" t="s">
        <v>625</v>
      </c>
      <c r="D40" s="81">
        <f ca="1">SUM(D38:D39)</f>
        <v>0</v>
      </c>
      <c r="E40" s="99">
        <f ca="1">IF(D40=0,0,(D40/$D$38))</f>
        <v>0</v>
      </c>
    </row>
    <row r="41" spans="1:7" ht="6" customHeight="1">
      <c r="C41" s="64"/>
      <c r="D41" s="82"/>
      <c r="E41" s="100"/>
    </row>
    <row r="42" spans="1:7" s="582" customFormat="1" ht="11.25">
      <c r="B42" s="586"/>
      <c r="C42" s="582" t="s">
        <v>594</v>
      </c>
      <c r="D42" s="583">
        <f ca="1">'4b-Venta-Comisión'!N51</f>
        <v>0</v>
      </c>
      <c r="E42" s="584">
        <f ca="1">IF(D42=0,0,(D42/$D$40))</f>
        <v>0</v>
      </c>
      <c r="F42" s="587" t="str">
        <f>IF('4b-Venta-Comisión'!F51=0%,"","La comisión del hotel es diferente a la contractual.")</f>
        <v/>
      </c>
    </row>
    <row r="43" spans="1:7" s="582" customFormat="1" ht="11.25">
      <c r="B43" s="586"/>
      <c r="C43" s="582" t="s">
        <v>596</v>
      </c>
      <c r="D43" s="583">
        <f ca="1">'4b-Venta-Comisión'!E74</f>
        <v>0</v>
      </c>
      <c r="E43" s="584">
        <f ca="1">IF(D43=0,0,(D43/$D$40))</f>
        <v>0</v>
      </c>
    </row>
    <row r="44" spans="1:7" ht="25.5">
      <c r="C44" s="83" t="s">
        <v>510</v>
      </c>
      <c r="D44" s="84">
        <f ca="1">+D40-D42-D43</f>
        <v>0</v>
      </c>
      <c r="E44" s="101">
        <f ca="1">IF(D44=0,0,(D44/$D$40))</f>
        <v>0</v>
      </c>
    </row>
    <row r="45" spans="1:7">
      <c r="A45" s="442"/>
      <c r="B45" s="442"/>
      <c r="C45" s="64"/>
      <c r="D45" s="82"/>
      <c r="E45" s="100"/>
      <c r="F45" s="280"/>
    </row>
    <row r="46" spans="1:7" s="582" customFormat="1" ht="11.25">
      <c r="A46" s="588"/>
      <c r="B46" s="588"/>
      <c r="C46" s="582" t="s">
        <v>495</v>
      </c>
      <c r="D46" s="583">
        <f>+'5-Subrentas'!E70</f>
        <v>0</v>
      </c>
      <c r="E46" s="584">
        <f t="shared" ref="E46:E51" si="1">IF(D46=0,0,(D46/$D$40))</f>
        <v>0</v>
      </c>
      <c r="F46" s="715" t="str">
        <f>+'5-Subrentas'!A9</f>
        <v/>
      </c>
      <c r="G46" s="715"/>
    </row>
    <row r="47" spans="1:7" s="582" customFormat="1" ht="11.25">
      <c r="B47" s="586"/>
      <c r="C47" s="582" t="s">
        <v>653</v>
      </c>
      <c r="D47" s="583">
        <f>+'6-O.L. and Others'!G38</f>
        <v>0</v>
      </c>
      <c r="E47" s="584">
        <f t="shared" si="1"/>
        <v>0</v>
      </c>
    </row>
    <row r="48" spans="1:7" s="582" customFormat="1" ht="11.25">
      <c r="B48" s="586"/>
      <c r="C48" s="582" t="s">
        <v>601</v>
      </c>
      <c r="D48" s="583">
        <f>+'6-O.L. and Others'!G53</f>
        <v>0</v>
      </c>
      <c r="E48" s="584">
        <f t="shared" si="1"/>
        <v>0</v>
      </c>
    </row>
    <row r="49" spans="1:6" s="582" customFormat="1" ht="11.25">
      <c r="B49" s="586"/>
      <c r="C49" s="582" t="s">
        <v>629</v>
      </c>
      <c r="D49" s="583">
        <f ca="1">+'6-O.L. and Others'!G61</f>
        <v>0</v>
      </c>
      <c r="E49" s="584">
        <f t="shared" ca="1" si="1"/>
        <v>0</v>
      </c>
    </row>
    <row r="50" spans="1:6" s="582" customFormat="1" ht="11.25">
      <c r="B50" s="586"/>
      <c r="C50" s="582" t="s">
        <v>396</v>
      </c>
      <c r="D50" s="583">
        <f>+'6-O.L. and Others'!G70</f>
        <v>0</v>
      </c>
      <c r="E50" s="584">
        <f t="shared" si="1"/>
        <v>0</v>
      </c>
    </row>
    <row r="51" spans="1:6" s="582" customFormat="1" ht="11.25">
      <c r="B51" s="586"/>
      <c r="C51" s="582" t="s">
        <v>398</v>
      </c>
      <c r="D51" s="583">
        <f>+'6-O.L. and Others'!G83</f>
        <v>0</v>
      </c>
      <c r="E51" s="584">
        <f t="shared" si="1"/>
        <v>0</v>
      </c>
    </row>
    <row r="52" spans="1:6" ht="5.25" customHeight="1">
      <c r="C52" s="64"/>
      <c r="D52" s="82"/>
      <c r="E52" s="100"/>
    </row>
    <row r="53" spans="1:6">
      <c r="C53" s="244" t="s">
        <v>658</v>
      </c>
      <c r="D53" s="85">
        <f ca="1">SUM(D46:D52)</f>
        <v>0</v>
      </c>
      <c r="E53" s="102">
        <f ca="1">IF(D53=0,0,(D53/$D$40))</f>
        <v>0</v>
      </c>
    </row>
    <row r="54" spans="1:6" ht="5.25" customHeight="1">
      <c r="C54" s="64"/>
      <c r="D54" s="82"/>
      <c r="E54" s="100"/>
    </row>
    <row r="55" spans="1:6">
      <c r="C55" s="621" t="s">
        <v>836</v>
      </c>
      <c r="D55" s="622">
        <f ca="1">+D44-D53</f>
        <v>0</v>
      </c>
      <c r="E55" s="623">
        <f ca="1">IF(D55=0,0,(D55/$D$40))</f>
        <v>0</v>
      </c>
      <c r="F55" s="64" t="s">
        <v>840</v>
      </c>
    </row>
    <row r="56" spans="1:6" ht="5.25" customHeight="1">
      <c r="C56" s="64"/>
      <c r="D56" s="82"/>
      <c r="E56" s="100"/>
    </row>
    <row r="57" spans="1:6">
      <c r="C57" s="86" t="s">
        <v>511</v>
      </c>
      <c r="D57" s="85">
        <f ca="1">+D38*E57</f>
        <v>0</v>
      </c>
      <c r="E57" s="283">
        <v>0</v>
      </c>
      <c r="F57" s="64" t="s">
        <v>841</v>
      </c>
    </row>
    <row r="58" spans="1:6" ht="5.25" customHeight="1">
      <c r="C58" s="86"/>
      <c r="D58" s="87"/>
      <c r="E58" s="232"/>
    </row>
    <row r="59" spans="1:6">
      <c r="C59" s="284" t="s">
        <v>864</v>
      </c>
      <c r="D59" s="85">
        <f ca="1">+D55-D57</f>
        <v>0</v>
      </c>
      <c r="E59" s="424">
        <f ca="1">+E55-E57</f>
        <v>0</v>
      </c>
      <c r="F59" s="64" t="s">
        <v>842</v>
      </c>
    </row>
    <row r="60" spans="1:6" ht="5.25" customHeight="1">
      <c r="C60" s="86"/>
      <c r="D60" s="87"/>
      <c r="E60" s="103"/>
    </row>
    <row r="61" spans="1:6">
      <c r="C61" s="88" t="s">
        <v>512</v>
      </c>
      <c r="D61" s="89"/>
      <c r="E61" s="282">
        <v>0</v>
      </c>
      <c r="F61" s="64" t="s">
        <v>843</v>
      </c>
    </row>
    <row r="62" spans="1:6" ht="5.25" customHeight="1">
      <c r="C62" s="86"/>
      <c r="D62" s="87"/>
      <c r="E62" s="103"/>
    </row>
    <row r="63" spans="1:6">
      <c r="A63" s="540" t="str">
        <f ca="1">IF(E63&gt;0.01%,"GOP muestra un porcentaje mayor al del presupuesto.","GOP muestra un porcentaje menor al del presupuesto.")</f>
        <v>GOP muestra un porcentaje menor al del presupuesto.</v>
      </c>
      <c r="C63" s="64"/>
      <c r="D63" s="82"/>
      <c r="E63" s="539">
        <f ca="1">+E59-E61</f>
        <v>0</v>
      </c>
    </row>
    <row r="64" spans="1:6" ht="5.25" customHeight="1">
      <c r="B64" s="90"/>
      <c r="C64" s="91"/>
      <c r="D64" s="92"/>
      <c r="E64" s="427"/>
      <c r="F64" s="212"/>
    </row>
    <row r="65" spans="1:7">
      <c r="B65" s="235" t="s">
        <v>597</v>
      </c>
      <c r="C65" s="233"/>
      <c r="D65" s="87">
        <f>+'6-O.L. and Others'!G112</f>
        <v>0</v>
      </c>
      <c r="E65" s="428">
        <f>IF(D65=0,0,(D65/$D$40))</f>
        <v>0</v>
      </c>
      <c r="F65" s="212"/>
    </row>
    <row r="66" spans="1:7">
      <c r="B66" s="235" t="s">
        <v>837</v>
      </c>
      <c r="C66" s="233"/>
      <c r="D66" s="93">
        <f ca="1">+D55-D65</f>
        <v>0</v>
      </c>
      <c r="E66" s="428">
        <f ca="1">IF(D66=0,0,(D66/$D$40))</f>
        <v>0</v>
      </c>
      <c r="F66" s="212"/>
    </row>
    <row r="67" spans="1:7" ht="5.25" customHeight="1">
      <c r="B67" s="425"/>
      <c r="C67" s="233"/>
      <c r="D67" s="87"/>
      <c r="E67" s="428"/>
      <c r="F67" s="212"/>
    </row>
    <row r="68" spans="1:7">
      <c r="B68" s="234" t="s">
        <v>838</v>
      </c>
      <c r="C68" s="426"/>
      <c r="D68" s="93">
        <f ca="1">+D55-D39</f>
        <v>0</v>
      </c>
      <c r="E68" s="429">
        <f ca="1">IF(D68=0,0,(D68/$D$38))</f>
        <v>0</v>
      </c>
      <c r="F68" s="212"/>
    </row>
    <row r="69" spans="1:7">
      <c r="B69" s="234" t="s">
        <v>839</v>
      </c>
      <c r="C69" s="426"/>
      <c r="D69" s="421">
        <f ca="1">D68-D55</f>
        <v>0</v>
      </c>
      <c r="E69" s="429">
        <f ca="1">E68-E55</f>
        <v>0</v>
      </c>
      <c r="F69" s="212"/>
    </row>
    <row r="70" spans="1:7" ht="3.75" customHeight="1">
      <c r="B70" s="94"/>
      <c r="C70" s="95"/>
      <c r="D70" s="96"/>
      <c r="E70" s="97"/>
      <c r="F70" s="212"/>
    </row>
    <row r="71" spans="1:7" ht="3.75" customHeight="1">
      <c r="B71" s="397"/>
      <c r="C71" s="211"/>
      <c r="D71" s="212"/>
      <c r="E71" s="212"/>
      <c r="F71" s="212"/>
    </row>
    <row r="72" spans="1:7">
      <c r="A72" s="422" t="s">
        <v>954</v>
      </c>
      <c r="B72" s="422"/>
      <c r="C72" s="423"/>
      <c r="D72" s="212"/>
      <c r="E72" s="212"/>
      <c r="F72" s="212"/>
    </row>
    <row r="73" spans="1:7" ht="47.25" customHeight="1">
      <c r="A73" s="703">
        <f>+'4a-Venta-Des.'!B38</f>
        <v>0</v>
      </c>
      <c r="B73" s="704"/>
      <c r="C73" s="704"/>
      <c r="D73" s="704"/>
      <c r="E73" s="704"/>
      <c r="F73" s="704"/>
      <c r="G73" s="705"/>
    </row>
    <row r="74" spans="1:7">
      <c r="A74" s="420" t="s">
        <v>955</v>
      </c>
      <c r="B74" s="420"/>
      <c r="C74" s="432"/>
      <c r="D74" s="432"/>
      <c r="E74" s="432"/>
      <c r="F74" s="432"/>
      <c r="G74" s="432"/>
    </row>
    <row r="75" spans="1:7" ht="47.25" customHeight="1">
      <c r="A75" s="706"/>
      <c r="B75" s="707"/>
      <c r="C75" s="707"/>
      <c r="D75" s="707"/>
      <c r="E75" s="707"/>
      <c r="F75" s="707"/>
      <c r="G75" s="708"/>
    </row>
    <row r="76" spans="1:7" ht="3.75" customHeight="1">
      <c r="A76" s="399"/>
      <c r="B76" s="400"/>
      <c r="C76" s="400"/>
      <c r="D76" s="400"/>
      <c r="E76" s="400"/>
      <c r="F76" s="400"/>
      <c r="G76" s="400"/>
    </row>
    <row r="77" spans="1:7" ht="3.75" customHeight="1"/>
    <row r="78" spans="1:7" s="417" customFormat="1">
      <c r="A78" s="445"/>
      <c r="B78" s="446"/>
      <c r="C78" s="710" t="s">
        <v>3</v>
      </c>
      <c r="D78" s="710"/>
      <c r="E78" s="710"/>
      <c r="F78" s="710"/>
    </row>
    <row r="79" spans="1:7" s="417" customFormat="1">
      <c r="C79" s="460">
        <v>-1</v>
      </c>
      <c r="D79" s="448">
        <v>0.19989999999999999</v>
      </c>
      <c r="E79" s="701" t="s">
        <v>2</v>
      </c>
      <c r="F79" s="701"/>
      <c r="G79" s="447"/>
    </row>
    <row r="80" spans="1:7" s="417" customFormat="1">
      <c r="C80" s="448">
        <v>0.2</v>
      </c>
      <c r="D80" s="448">
        <v>0.24990000000000001</v>
      </c>
      <c r="E80" s="701" t="s">
        <v>1</v>
      </c>
      <c r="F80" s="701"/>
      <c r="G80" s="447"/>
    </row>
    <row r="81" spans="1:7" s="417" customFormat="1">
      <c r="C81" s="448">
        <v>0.25</v>
      </c>
      <c r="D81" s="448">
        <v>0.34989999999999999</v>
      </c>
      <c r="E81" s="701" t="s">
        <v>978</v>
      </c>
      <c r="F81" s="701"/>
      <c r="G81" s="447"/>
    </row>
    <row r="82" spans="1:7" s="417" customFormat="1">
      <c r="C82" s="448">
        <v>0.35</v>
      </c>
      <c r="D82" s="448">
        <v>0.44990000000000002</v>
      </c>
      <c r="E82" s="701" t="s">
        <v>977</v>
      </c>
      <c r="F82" s="701"/>
      <c r="G82" s="447"/>
    </row>
    <row r="83" spans="1:7" s="417" customFormat="1">
      <c r="C83" s="448">
        <v>0.45</v>
      </c>
      <c r="D83" s="448">
        <v>1</v>
      </c>
      <c r="E83" s="701" t="s">
        <v>976</v>
      </c>
      <c r="F83" s="701"/>
      <c r="G83" s="447"/>
    </row>
    <row r="84" spans="1:7">
      <c r="A84" s="702" t="s">
        <v>956</v>
      </c>
      <c r="B84" s="702"/>
      <c r="C84" s="702"/>
      <c r="D84" s="702"/>
      <c r="E84" s="702"/>
      <c r="F84" s="702"/>
      <c r="G84" s="702"/>
    </row>
  </sheetData>
  <mergeCells count="15">
    <mergeCell ref="B9:C10"/>
    <mergeCell ref="E79:F79"/>
    <mergeCell ref="C78:F78"/>
    <mergeCell ref="A5:G5"/>
    <mergeCell ref="C21:E21"/>
    <mergeCell ref="A20:D20"/>
    <mergeCell ref="E20:G20"/>
    <mergeCell ref="F46:G46"/>
    <mergeCell ref="E83:F83"/>
    <mergeCell ref="E82:F82"/>
    <mergeCell ref="A84:G84"/>
    <mergeCell ref="A73:G73"/>
    <mergeCell ref="A75:G75"/>
    <mergeCell ref="E81:F81"/>
    <mergeCell ref="E80:F80"/>
  </mergeCells>
  <phoneticPr fontId="3" type="noConversion"/>
  <conditionalFormatting sqref="G79:G83">
    <cfRule type="cellIs" dxfId="27" priority="1" stopIfTrue="1" operator="equal">
      <formula>"Solicitar Autorización"</formula>
    </cfRule>
  </conditionalFormatting>
  <conditionalFormatting sqref="A73:G73 A45:B46">
    <cfRule type="cellIs" dxfId="26" priority="2" stopIfTrue="1" operator="equal">
      <formula>0</formula>
    </cfRule>
  </conditionalFormatting>
  <conditionalFormatting sqref="A63">
    <cfRule type="cellIs" dxfId="25" priority="3" stopIfTrue="1" operator="equal">
      <formula>"GOP muestra un porcentaje menor al del presupuesto."</formula>
    </cfRule>
  </conditionalFormatting>
  <conditionalFormatting sqref="A20:G20">
    <cfRule type="cellIs" dxfId="24" priority="4" stopIfTrue="1" operator="equal">
      <formula>"ok"</formula>
    </cfRule>
  </conditionalFormatting>
  <printOptions horizontalCentered="1"/>
  <pageMargins left="0.19685039370078741" right="0.19685039370078741" top="0.19685039370078741" bottom="0.19685039370078741" header="0" footer="0"/>
  <pageSetup scale="80" orientation="portrait" r:id="rId1"/>
  <headerFooter alignWithMargins="0">
    <oddFooter>&amp;C&amp;F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dimension ref="A1:F21"/>
  <sheetViews>
    <sheetView workbookViewId="0">
      <pane ySplit="2" topLeftCell="A3" activePane="bottomLeft" state="frozen"/>
      <selection activeCell="A28" sqref="A28:K28"/>
      <selection pane="bottomLeft" activeCell="H13" sqref="H13"/>
    </sheetView>
  </sheetViews>
  <sheetFormatPr baseColWidth="10" defaultColWidth="11.28515625" defaultRowHeight="12.75"/>
  <cols>
    <col min="1" max="1" width="38.42578125" style="665" customWidth="1"/>
    <col min="2" max="16384" width="11.28515625" style="665"/>
  </cols>
  <sheetData>
    <row r="1" spans="1:6">
      <c r="A1" s="827" t="s">
        <v>205</v>
      </c>
      <c r="B1" s="828"/>
      <c r="C1" s="828"/>
      <c r="D1" s="828"/>
      <c r="E1" s="828"/>
      <c r="F1" s="829"/>
    </row>
    <row r="2" spans="1:6">
      <c r="A2" s="830"/>
      <c r="B2" s="831"/>
      <c r="C2" s="831"/>
      <c r="D2" s="831"/>
      <c r="E2" s="831"/>
      <c r="F2" s="832"/>
    </row>
    <row r="4" spans="1:6" ht="15.75">
      <c r="A4" s="833" t="s">
        <v>695</v>
      </c>
      <c r="B4" s="834"/>
      <c r="C4" s="834"/>
      <c r="D4" s="834"/>
      <c r="E4" s="834"/>
      <c r="F4" s="661"/>
    </row>
    <row r="5" spans="1:6" ht="15.75">
      <c r="A5" s="823" t="s">
        <v>689</v>
      </c>
      <c r="B5" s="824"/>
      <c r="C5" s="824"/>
      <c r="D5" s="824"/>
      <c r="E5" s="824"/>
      <c r="F5" s="662"/>
    </row>
    <row r="6" spans="1:6" ht="15.75">
      <c r="A6" s="823" t="s">
        <v>691</v>
      </c>
      <c r="B6" s="824"/>
      <c r="C6" s="824"/>
      <c r="D6" s="824"/>
      <c r="E6" s="824"/>
      <c r="F6" s="662"/>
    </row>
    <row r="7" spans="1:6" ht="15.75">
      <c r="A7" s="823" t="s">
        <v>692</v>
      </c>
      <c r="B7" s="824"/>
      <c r="C7" s="824"/>
      <c r="D7" s="824"/>
      <c r="E7" s="824"/>
      <c r="F7" s="662"/>
    </row>
    <row r="8" spans="1:6" ht="15.75">
      <c r="A8" s="823" t="s">
        <v>696</v>
      </c>
      <c r="B8" s="824"/>
      <c r="C8" s="824"/>
      <c r="D8" s="824"/>
      <c r="E8" s="824"/>
      <c r="F8" s="662"/>
    </row>
    <row r="9" spans="1:6" ht="15.75">
      <c r="A9" s="823" t="s">
        <v>697</v>
      </c>
      <c r="B9" s="824"/>
      <c r="C9" s="824"/>
      <c r="D9" s="824"/>
      <c r="E9" s="824"/>
      <c r="F9" s="662"/>
    </row>
    <row r="10" spans="1:6" ht="15.75">
      <c r="A10" s="825" t="s">
        <v>693</v>
      </c>
      <c r="B10" s="826"/>
      <c r="C10" s="826"/>
      <c r="D10" s="826"/>
      <c r="E10" s="826"/>
      <c r="F10" s="663"/>
    </row>
    <row r="11" spans="1:6">
      <c r="A11" s="664"/>
      <c r="B11" s="664"/>
      <c r="C11" s="664"/>
      <c r="D11" s="664"/>
      <c r="E11" s="664"/>
      <c r="F11" s="664"/>
    </row>
    <row r="12" spans="1:6">
      <c r="A12" s="664"/>
      <c r="B12" s="664"/>
      <c r="C12" s="664"/>
      <c r="D12" s="664"/>
      <c r="E12" s="664"/>
      <c r="F12" s="664"/>
    </row>
    <row r="13" spans="1:6">
      <c r="A13" s="664"/>
      <c r="B13" s="664"/>
      <c r="C13" s="664"/>
      <c r="D13" s="664"/>
      <c r="E13" s="664"/>
      <c r="F13" s="664"/>
    </row>
    <row r="14" spans="1:6">
      <c r="A14" s="664"/>
      <c r="B14" s="664"/>
      <c r="C14" s="664"/>
      <c r="D14" s="664"/>
      <c r="E14" s="664"/>
      <c r="F14" s="664"/>
    </row>
    <row r="15" spans="1:6" ht="15.75">
      <c r="A15" s="833" t="s">
        <v>698</v>
      </c>
      <c r="B15" s="834"/>
      <c r="C15" s="834"/>
      <c r="D15" s="834"/>
      <c r="E15" s="834"/>
      <c r="F15" s="661"/>
    </row>
    <row r="16" spans="1:6" ht="15.75">
      <c r="A16" s="823" t="s">
        <v>699</v>
      </c>
      <c r="B16" s="824"/>
      <c r="C16" s="824"/>
      <c r="D16" s="824"/>
      <c r="E16" s="824"/>
      <c r="F16" s="662"/>
    </row>
    <row r="17" spans="1:6" ht="15.75">
      <c r="A17" s="823" t="s">
        <v>700</v>
      </c>
      <c r="B17" s="824"/>
      <c r="C17" s="824"/>
      <c r="D17" s="824"/>
      <c r="E17" s="824"/>
      <c r="F17" s="662"/>
    </row>
    <row r="18" spans="1:6" ht="15.75">
      <c r="A18" s="823" t="s">
        <v>701</v>
      </c>
      <c r="B18" s="824"/>
      <c r="C18" s="824"/>
      <c r="D18" s="824"/>
      <c r="E18" s="824"/>
      <c r="F18" s="662"/>
    </row>
    <row r="19" spans="1:6" ht="15.75" customHeight="1">
      <c r="A19" s="823" t="s">
        <v>702</v>
      </c>
      <c r="B19" s="824"/>
      <c r="C19" s="824"/>
      <c r="D19" s="824"/>
      <c r="E19" s="824"/>
      <c r="F19" s="662"/>
    </row>
    <row r="20" spans="1:6" ht="15.75">
      <c r="A20" s="823" t="s">
        <v>703</v>
      </c>
      <c r="B20" s="824"/>
      <c r="C20" s="824"/>
      <c r="D20" s="824"/>
      <c r="E20" s="824"/>
      <c r="F20" s="662"/>
    </row>
    <row r="21" spans="1:6" ht="15.75">
      <c r="A21" s="825" t="s">
        <v>704</v>
      </c>
      <c r="B21" s="826"/>
      <c r="C21" s="826"/>
      <c r="D21" s="826"/>
      <c r="E21" s="826"/>
      <c r="F21" s="663"/>
    </row>
  </sheetData>
  <mergeCells count="15">
    <mergeCell ref="A20:E20"/>
    <mergeCell ref="A21:E21"/>
    <mergeCell ref="A1:F2"/>
    <mergeCell ref="A16:E16"/>
    <mergeCell ref="A17:E17"/>
    <mergeCell ref="A18:E18"/>
    <mergeCell ref="A19:E19"/>
    <mergeCell ref="A4:E4"/>
    <mergeCell ref="A5:E5"/>
    <mergeCell ref="A6:E6"/>
    <mergeCell ref="A15:E15"/>
    <mergeCell ref="A7:E7"/>
    <mergeCell ref="A8:E8"/>
    <mergeCell ref="A9:E9"/>
    <mergeCell ref="A10:E10"/>
  </mergeCells>
  <phoneticPr fontId="3" type="noConversion"/>
  <conditionalFormatting sqref="F15:F21 F4:F10">
    <cfRule type="cellIs" dxfId="0" priority="1" stopIfTrue="1" operator="equal">
      <formula>0</formula>
    </cfRule>
  </conditionalFormatting>
  <pageMargins left="0.75" right="0.75" top="1" bottom="1" header="0" footer="0"/>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0">
    <pageSetUpPr fitToPage="1"/>
  </sheetPr>
  <dimension ref="A1:IV67"/>
  <sheetViews>
    <sheetView topLeftCell="A25" zoomScale="85" zoomScaleNormal="85" zoomScaleSheetLayoutView="145" workbookViewId="0">
      <selection activeCell="A29" sqref="A29:K29"/>
    </sheetView>
  </sheetViews>
  <sheetFormatPr baseColWidth="10" defaultRowHeight="12.75"/>
  <cols>
    <col min="1" max="1" width="8.28515625" style="307" customWidth="1"/>
    <col min="2" max="2" width="6.85546875" style="307" customWidth="1"/>
    <col min="3" max="3" width="6.7109375" style="307" bestFit="1" customWidth="1"/>
    <col min="4" max="4" width="16" style="307" customWidth="1"/>
    <col min="5" max="5" width="10.5703125" style="307" bestFit="1" customWidth="1"/>
    <col min="6" max="6" width="8.7109375" style="307" bestFit="1" customWidth="1"/>
    <col min="7" max="7" width="18.28515625" style="307" bestFit="1" customWidth="1"/>
    <col min="8" max="8" width="17" style="307" bestFit="1" customWidth="1"/>
    <col min="9" max="9" width="13.28515625" style="307" bestFit="1" customWidth="1"/>
    <col min="10" max="10" width="16.85546875" style="307" customWidth="1"/>
    <col min="11" max="11" width="13.28515625" style="307" customWidth="1"/>
    <col min="12" max="18" width="19.85546875" style="307" customWidth="1"/>
    <col min="19" max="19" width="18" style="307" bestFit="1" customWidth="1"/>
    <col min="20" max="20" width="15.28515625" style="307" bestFit="1" customWidth="1"/>
    <col min="21" max="23" width="11.42578125" style="307"/>
    <col min="24" max="24" width="50.85546875" style="307" bestFit="1" customWidth="1"/>
    <col min="25" max="25" width="98.5703125" style="307" bestFit="1" customWidth="1"/>
    <col min="26" max="26" width="11.42578125" style="307"/>
    <col min="27" max="27" width="8.85546875" style="307" bestFit="1" customWidth="1"/>
    <col min="28" max="28" width="30.5703125" style="307" bestFit="1" customWidth="1"/>
    <col min="29" max="29" width="39.28515625" style="307" bestFit="1" customWidth="1"/>
    <col min="30" max="30" width="8.85546875" style="307" bestFit="1" customWidth="1"/>
    <col min="31" max="31" width="44.28515625" style="307" bestFit="1" customWidth="1"/>
    <col min="32" max="32" width="4" style="307" bestFit="1" customWidth="1"/>
    <col min="33" max="33" width="30.42578125" style="307" bestFit="1" customWidth="1"/>
    <col min="34" max="34" width="10.85546875" style="307" bestFit="1" customWidth="1"/>
    <col min="35" max="16384" width="11.42578125" style="307"/>
  </cols>
  <sheetData>
    <row r="1" spans="1:34">
      <c r="A1" s="307" t="s">
        <v>508</v>
      </c>
      <c r="B1" s="307" t="s">
        <v>647</v>
      </c>
      <c r="C1" s="307" t="s">
        <v>507</v>
      </c>
      <c r="D1" s="307" t="s">
        <v>638</v>
      </c>
      <c r="E1" s="307" t="s">
        <v>535</v>
      </c>
      <c r="F1" s="307" t="s">
        <v>496</v>
      </c>
      <c r="G1" s="307" t="s">
        <v>543</v>
      </c>
      <c r="H1" s="307" t="s">
        <v>588</v>
      </c>
      <c r="I1" s="307" t="s">
        <v>599</v>
      </c>
      <c r="J1" s="307" t="s">
        <v>630</v>
      </c>
      <c r="K1" s="307" t="s">
        <v>668</v>
      </c>
      <c r="L1" s="307" t="s">
        <v>641</v>
      </c>
      <c r="M1" s="307" t="s">
        <v>666</v>
      </c>
      <c r="N1" s="307" t="s">
        <v>535</v>
      </c>
      <c r="O1" s="307" t="s">
        <v>671</v>
      </c>
      <c r="P1" s="307">
        <v>1</v>
      </c>
      <c r="Q1" s="307" t="s">
        <v>844</v>
      </c>
      <c r="R1" s="307" t="s">
        <v>848</v>
      </c>
      <c r="S1" s="307" t="s">
        <v>855</v>
      </c>
      <c r="T1" s="307" t="s">
        <v>859</v>
      </c>
      <c r="U1" s="836" t="s">
        <v>4</v>
      </c>
      <c r="V1" s="837"/>
      <c r="W1" s="450" t="s">
        <v>5</v>
      </c>
      <c r="X1" s="307" t="s">
        <v>8</v>
      </c>
      <c r="Y1" s="307">
        <v>1</v>
      </c>
      <c r="Z1" s="307" t="s">
        <v>106</v>
      </c>
      <c r="AA1" s="307" t="s">
        <v>883</v>
      </c>
      <c r="AB1" s="307" t="s">
        <v>544</v>
      </c>
      <c r="AC1" s="307" t="s">
        <v>883</v>
      </c>
      <c r="AD1" s="647"/>
      <c r="AE1" s="647"/>
      <c r="AF1" s="647"/>
      <c r="AG1" s="647"/>
      <c r="AH1" s="646"/>
    </row>
    <row r="2" spans="1:34">
      <c r="A2" s="307" t="s">
        <v>505</v>
      </c>
      <c r="B2" s="307" t="s">
        <v>505</v>
      </c>
      <c r="C2" s="308">
        <v>0</v>
      </c>
      <c r="D2" s="308"/>
      <c r="E2" s="308"/>
      <c r="F2" s="307" t="s">
        <v>109</v>
      </c>
      <c r="G2" s="307" t="s">
        <v>562</v>
      </c>
      <c r="H2" s="307" t="s">
        <v>589</v>
      </c>
      <c r="J2" s="309"/>
      <c r="K2" s="309" t="s">
        <v>615</v>
      </c>
      <c r="L2" s="310" t="s">
        <v>664</v>
      </c>
      <c r="M2" s="310" t="s">
        <v>615</v>
      </c>
      <c r="N2" s="310" t="s">
        <v>665</v>
      </c>
      <c r="O2" s="311" t="s">
        <v>677</v>
      </c>
      <c r="P2" s="312">
        <v>0</v>
      </c>
      <c r="Q2" s="310"/>
      <c r="R2" s="310" t="s">
        <v>514</v>
      </c>
      <c r="S2" s="308">
        <v>0</v>
      </c>
      <c r="T2" s="309" t="s">
        <v>615</v>
      </c>
      <c r="U2" s="451">
        <v>0</v>
      </c>
      <c r="V2" s="452">
        <v>4.99E-2</v>
      </c>
      <c r="W2" s="453">
        <v>0.4</v>
      </c>
      <c r="X2" s="459" t="s">
        <v>9</v>
      </c>
      <c r="Y2" s="459" t="s">
        <v>10</v>
      </c>
      <c r="Z2" s="307" t="s">
        <v>107</v>
      </c>
      <c r="AA2" s="650">
        <v>89</v>
      </c>
      <c r="AB2" s="459" t="s">
        <v>884</v>
      </c>
      <c r="AC2" t="str">
        <f>CONCATENATE(AA2," - ",AB2)</f>
        <v>89 - Ada Livyer Montiel Hernandez</v>
      </c>
      <c r="AD2"/>
      <c r="AE2"/>
      <c r="AF2"/>
      <c r="AG2"/>
      <c r="AH2"/>
    </row>
    <row r="3" spans="1:34">
      <c r="A3" s="307" t="s">
        <v>506</v>
      </c>
      <c r="B3" s="307" t="s">
        <v>506</v>
      </c>
      <c r="C3" s="308">
        <v>0.1</v>
      </c>
      <c r="D3" s="308">
        <v>0</v>
      </c>
      <c r="E3" s="308">
        <v>0.05</v>
      </c>
      <c r="F3" s="307" t="s">
        <v>110</v>
      </c>
      <c r="G3" s="307" t="s">
        <v>542</v>
      </c>
      <c r="H3" s="307" t="s">
        <v>590</v>
      </c>
      <c r="I3" s="307" t="s">
        <v>654</v>
      </c>
      <c r="J3" s="309" t="s">
        <v>615</v>
      </c>
      <c r="K3" s="309" t="s">
        <v>622</v>
      </c>
      <c r="L3" s="310" t="s">
        <v>663</v>
      </c>
      <c r="M3" s="310" t="s">
        <v>664</v>
      </c>
      <c r="N3" s="310" t="s">
        <v>535</v>
      </c>
      <c r="O3" s="310" t="s">
        <v>674</v>
      </c>
      <c r="P3" s="312">
        <v>0</v>
      </c>
      <c r="Q3" s="310" t="s">
        <v>845</v>
      </c>
      <c r="R3" s="310" t="s">
        <v>611</v>
      </c>
      <c r="S3" s="308">
        <v>0.05</v>
      </c>
      <c r="T3" s="309" t="s">
        <v>622</v>
      </c>
      <c r="U3" s="451">
        <v>0.05</v>
      </c>
      <c r="V3" s="452">
        <v>9.9900000000000003E-2</v>
      </c>
      <c r="W3" s="453">
        <v>0.38</v>
      </c>
      <c r="X3" s="459" t="s">
        <v>11</v>
      </c>
      <c r="Y3" s="459" t="s">
        <v>12</v>
      </c>
      <c r="Z3" s="307" t="s">
        <v>806</v>
      </c>
      <c r="AA3" s="650">
        <v>119</v>
      </c>
      <c r="AB3" s="459" t="s">
        <v>885</v>
      </c>
      <c r="AC3" t="str">
        <f t="shared" ref="AC3:AC26" si="0">CONCATENATE(AA3," - ",AB3)</f>
        <v>119 - Karina Barrientos Velazquez</v>
      </c>
      <c r="AD3"/>
      <c r="AE3"/>
      <c r="AF3"/>
      <c r="AG3"/>
      <c r="AH3"/>
    </row>
    <row r="4" spans="1:34">
      <c r="A4" s="307" t="s">
        <v>116</v>
      </c>
      <c r="B4" s="307" t="s">
        <v>116</v>
      </c>
      <c r="C4" s="308">
        <v>0.15</v>
      </c>
      <c r="D4" s="308">
        <v>0.25</v>
      </c>
      <c r="E4" s="308">
        <v>0.1</v>
      </c>
      <c r="I4" s="307" t="s">
        <v>598</v>
      </c>
      <c r="J4" s="309" t="s">
        <v>622</v>
      </c>
      <c r="K4" s="309" t="s">
        <v>849</v>
      </c>
      <c r="L4" s="310" t="s">
        <v>662</v>
      </c>
      <c r="M4" s="310"/>
      <c r="N4" s="310"/>
      <c r="O4" s="310" t="s">
        <v>675</v>
      </c>
      <c r="P4" s="312">
        <v>0</v>
      </c>
      <c r="Q4" s="310" t="s">
        <v>7</v>
      </c>
      <c r="R4" s="310" t="s">
        <v>111</v>
      </c>
      <c r="S4" s="308">
        <v>0.1</v>
      </c>
      <c r="T4" s="309" t="s">
        <v>849</v>
      </c>
      <c r="U4" s="451">
        <v>0.1</v>
      </c>
      <c r="V4" s="452">
        <v>0.14990000000000001</v>
      </c>
      <c r="W4" s="453">
        <v>0.37</v>
      </c>
      <c r="X4" s="459" t="s">
        <v>13</v>
      </c>
      <c r="Y4" s="459" t="s">
        <v>14</v>
      </c>
      <c r="AA4" s="650">
        <v>125</v>
      </c>
      <c r="AB4" s="459" t="s">
        <v>886</v>
      </c>
      <c r="AC4" t="str">
        <f t="shared" si="0"/>
        <v>125 - Alejandra Lara Castillo</v>
      </c>
      <c r="AD4"/>
      <c r="AE4"/>
      <c r="AF4"/>
      <c r="AG4"/>
      <c r="AH4"/>
    </row>
    <row r="5" spans="1:34">
      <c r="C5" s="308">
        <v>0.11</v>
      </c>
      <c r="D5" s="308">
        <v>0.5</v>
      </c>
      <c r="E5" s="308">
        <v>0.15</v>
      </c>
      <c r="J5" s="309" t="s">
        <v>849</v>
      </c>
      <c r="K5" s="309" t="s">
        <v>661</v>
      </c>
      <c r="L5" s="310" t="s">
        <v>137</v>
      </c>
      <c r="M5" s="310"/>
      <c r="N5" s="310"/>
      <c r="O5" s="310" t="s">
        <v>676</v>
      </c>
      <c r="P5" s="312">
        <v>0.3</v>
      </c>
      <c r="Q5" s="310" t="s">
        <v>6</v>
      </c>
      <c r="R5" s="310" t="s">
        <v>112</v>
      </c>
      <c r="S5" s="308">
        <v>0.15</v>
      </c>
      <c r="T5" s="309" t="s">
        <v>661</v>
      </c>
      <c r="U5" s="451">
        <v>0.15</v>
      </c>
      <c r="V5" s="452">
        <v>0.19989999999999999</v>
      </c>
      <c r="W5" s="453">
        <v>0.35</v>
      </c>
      <c r="X5" s="459" t="s">
        <v>15</v>
      </c>
      <c r="Y5" s="459" t="s">
        <v>19</v>
      </c>
      <c r="AA5" s="650">
        <v>133</v>
      </c>
      <c r="AB5" s="459" t="s">
        <v>887</v>
      </c>
      <c r="AC5" t="str">
        <f t="shared" si="0"/>
        <v>133 - Dieter Burgoa Garces</v>
      </c>
      <c r="AD5"/>
      <c r="AE5"/>
      <c r="AF5"/>
      <c r="AG5"/>
      <c r="AH5"/>
    </row>
    <row r="6" spans="1:34">
      <c r="C6" s="308">
        <v>0.16</v>
      </c>
      <c r="D6" s="308">
        <v>0.75</v>
      </c>
      <c r="E6" s="308">
        <v>0.2</v>
      </c>
      <c r="J6" s="309" t="s">
        <v>661</v>
      </c>
      <c r="K6" s="313"/>
      <c r="L6" s="310" t="s">
        <v>870</v>
      </c>
      <c r="M6" s="310"/>
      <c r="O6" s="310" t="s">
        <v>672</v>
      </c>
      <c r="P6" s="312">
        <v>0.3</v>
      </c>
      <c r="Q6" s="310" t="s">
        <v>114</v>
      </c>
      <c r="S6" s="308">
        <v>0.2</v>
      </c>
      <c r="T6" s="310" t="s">
        <v>640</v>
      </c>
      <c r="U6" s="451">
        <v>0.2</v>
      </c>
      <c r="V6" s="452">
        <v>0.24990000000000001</v>
      </c>
      <c r="W6" s="453">
        <v>0.33</v>
      </c>
      <c r="X6" s="459" t="s">
        <v>20</v>
      </c>
      <c r="Y6" s="459" t="s">
        <v>21</v>
      </c>
      <c r="AA6" s="650">
        <v>135</v>
      </c>
      <c r="AB6" s="459" t="s">
        <v>888</v>
      </c>
      <c r="AC6" t="str">
        <f t="shared" si="0"/>
        <v>135 - Carlos Martin Macias</v>
      </c>
      <c r="AD6"/>
      <c r="AE6"/>
      <c r="AF6"/>
      <c r="AG6"/>
      <c r="AH6"/>
    </row>
    <row r="7" spans="1:34">
      <c r="D7" s="314">
        <v>1</v>
      </c>
      <c r="E7" s="308">
        <v>0.25</v>
      </c>
      <c r="J7" s="310" t="s">
        <v>640</v>
      </c>
      <c r="K7" s="313"/>
      <c r="O7" s="310" t="s">
        <v>673</v>
      </c>
      <c r="P7" s="312">
        <v>0.3</v>
      </c>
      <c r="Q7" s="310" t="s">
        <v>115</v>
      </c>
      <c r="S7" s="308">
        <v>0.23</v>
      </c>
      <c r="T7" s="309" t="s">
        <v>616</v>
      </c>
      <c r="U7" s="451">
        <v>0.25</v>
      </c>
      <c r="V7" s="452">
        <v>0.2999</v>
      </c>
      <c r="W7" s="453">
        <v>0.31</v>
      </c>
      <c r="X7" s="459" t="s">
        <v>22</v>
      </c>
      <c r="Y7" s="459" t="s">
        <v>21</v>
      </c>
      <c r="AA7" s="650">
        <v>234</v>
      </c>
      <c r="AB7" s="459" t="s">
        <v>889</v>
      </c>
      <c r="AC7" t="str">
        <f t="shared" si="0"/>
        <v>234 - Ingrid Mimiya Gonzalez Niño</v>
      </c>
      <c r="AD7"/>
      <c r="AE7"/>
      <c r="AF7"/>
      <c r="AG7"/>
      <c r="AH7"/>
    </row>
    <row r="8" spans="1:34">
      <c r="E8" s="308"/>
      <c r="J8" s="309" t="s">
        <v>616</v>
      </c>
      <c r="K8" s="313"/>
      <c r="Q8" s="310" t="s">
        <v>113</v>
      </c>
      <c r="S8" s="308">
        <v>0.25</v>
      </c>
      <c r="T8" s="309" t="s">
        <v>497</v>
      </c>
      <c r="U8" s="451">
        <v>0.3</v>
      </c>
      <c r="V8" s="452">
        <v>0.34989999999999999</v>
      </c>
      <c r="W8" s="453">
        <v>0.28000000000000003</v>
      </c>
      <c r="X8" s="459" t="s">
        <v>23</v>
      </c>
      <c r="Y8" s="459" t="s">
        <v>24</v>
      </c>
      <c r="AA8" s="650">
        <v>255</v>
      </c>
      <c r="AB8" s="459" t="s">
        <v>890</v>
      </c>
      <c r="AC8" t="str">
        <f t="shared" si="0"/>
        <v>255 - Luis Fernando Olvera Chanfreau</v>
      </c>
      <c r="AD8"/>
      <c r="AE8"/>
      <c r="AF8"/>
      <c r="AG8"/>
      <c r="AH8"/>
    </row>
    <row r="9" spans="1:34">
      <c r="E9" s="308"/>
      <c r="J9" s="309" t="s">
        <v>497</v>
      </c>
      <c r="K9" s="313"/>
      <c r="S9" s="308">
        <v>0.3</v>
      </c>
      <c r="T9" s="309" t="s">
        <v>639</v>
      </c>
      <c r="U9" s="451">
        <v>0.35</v>
      </c>
      <c r="V9" s="452">
        <v>0.39989999999999998</v>
      </c>
      <c r="W9" s="453">
        <v>0.25</v>
      </c>
      <c r="X9" s="459" t="s">
        <v>25</v>
      </c>
      <c r="Y9" s="459" t="s">
        <v>24</v>
      </c>
      <c r="AA9" s="650">
        <v>405</v>
      </c>
      <c r="AB9" s="459" t="s">
        <v>891</v>
      </c>
      <c r="AC9" t="str">
        <f t="shared" si="0"/>
        <v>405 - Claudia Veronica Pineda Rodriguez</v>
      </c>
      <c r="AD9"/>
      <c r="AE9"/>
      <c r="AF9"/>
      <c r="AG9"/>
      <c r="AH9"/>
    </row>
    <row r="10" spans="1:34">
      <c r="E10" s="308"/>
      <c r="J10" s="309" t="s">
        <v>974</v>
      </c>
      <c r="S10" s="308">
        <v>0.35</v>
      </c>
      <c r="T10" s="309" t="s">
        <v>239</v>
      </c>
      <c r="U10" s="451">
        <v>0.4</v>
      </c>
      <c r="V10" s="452">
        <v>0.44990000000000002</v>
      </c>
      <c r="W10" s="453">
        <v>0.22</v>
      </c>
      <c r="X10" s="459" t="s">
        <v>26</v>
      </c>
      <c r="Y10" s="459" t="s">
        <v>27</v>
      </c>
      <c r="AA10" s="650">
        <v>415</v>
      </c>
      <c r="AB10" s="459" t="s">
        <v>892</v>
      </c>
      <c r="AC10" t="str">
        <f t="shared" si="0"/>
        <v>415 - Carolina Gabriela Kuri Rojas</v>
      </c>
      <c r="AD10"/>
      <c r="AE10"/>
      <c r="AF10"/>
      <c r="AG10"/>
      <c r="AH10"/>
    </row>
    <row r="11" spans="1:34">
      <c r="E11" s="308"/>
      <c r="J11" s="310" t="s">
        <v>613</v>
      </c>
      <c r="S11" s="308"/>
      <c r="T11" s="309"/>
      <c r="U11" s="454">
        <v>0.45</v>
      </c>
      <c r="V11" s="455">
        <v>0.5</v>
      </c>
      <c r="W11" s="456">
        <v>0.18</v>
      </c>
      <c r="X11" s="459" t="s">
        <v>28</v>
      </c>
      <c r="Y11" s="459" t="s">
        <v>27</v>
      </c>
      <c r="AA11" s="650">
        <v>498</v>
      </c>
      <c r="AB11" s="459" t="s">
        <v>893</v>
      </c>
      <c r="AC11" t="str">
        <f t="shared" si="0"/>
        <v>498 - Ricardo Chi Escalante</v>
      </c>
      <c r="AD11"/>
      <c r="AE11"/>
      <c r="AF11"/>
      <c r="AG11"/>
      <c r="AH11"/>
    </row>
    <row r="12" spans="1:34">
      <c r="E12" s="308"/>
      <c r="J12" s="309" t="s">
        <v>513</v>
      </c>
      <c r="S12" s="308"/>
      <c r="T12" s="309"/>
      <c r="X12" s="459" t="s">
        <v>29</v>
      </c>
      <c r="Y12" s="459" t="s">
        <v>30</v>
      </c>
      <c r="AA12" s="650">
        <v>532</v>
      </c>
      <c r="AB12" s="459" t="s">
        <v>894</v>
      </c>
      <c r="AC12" t="str">
        <f t="shared" si="0"/>
        <v>532 - Miroslava Arriaga Haro</v>
      </c>
      <c r="AD12"/>
      <c r="AE12"/>
      <c r="AF12"/>
      <c r="AG12"/>
      <c r="AH12"/>
    </row>
    <row r="13" spans="1:34">
      <c r="E13" s="308"/>
      <c r="J13" s="310" t="s">
        <v>664</v>
      </c>
      <c r="S13" s="308"/>
      <c r="T13" s="309"/>
      <c r="X13" s="459" t="s">
        <v>31</v>
      </c>
      <c r="Y13" s="459" t="s">
        <v>32</v>
      </c>
      <c r="AA13" s="650">
        <v>543</v>
      </c>
      <c r="AB13" s="459" t="s">
        <v>895</v>
      </c>
      <c r="AC13" t="str">
        <f t="shared" si="0"/>
        <v>543 - Maria Dolores Villordo Pineda</v>
      </c>
      <c r="AD13"/>
      <c r="AE13"/>
      <c r="AF13"/>
      <c r="AG13"/>
      <c r="AH13"/>
    </row>
    <row r="14" spans="1:34">
      <c r="E14" s="308"/>
      <c r="J14" s="310" t="s">
        <v>663</v>
      </c>
      <c r="S14" s="308"/>
      <c r="T14" s="309"/>
      <c r="X14" s="459" t="s">
        <v>33</v>
      </c>
      <c r="Y14" s="459" t="s">
        <v>34</v>
      </c>
      <c r="AA14" s="650">
        <v>554</v>
      </c>
      <c r="AB14" s="459" t="s">
        <v>896</v>
      </c>
      <c r="AC14" t="str">
        <f t="shared" si="0"/>
        <v>554 - Maria Dolores Alvarez Zavaleta</v>
      </c>
      <c r="AD14"/>
      <c r="AE14"/>
      <c r="AF14"/>
      <c r="AG14"/>
      <c r="AH14"/>
    </row>
    <row r="15" spans="1:34">
      <c r="E15" s="308"/>
      <c r="J15" s="310" t="s">
        <v>662</v>
      </c>
      <c r="O15" s="310"/>
      <c r="P15" s="310"/>
      <c r="S15" s="308"/>
      <c r="T15" s="309"/>
      <c r="X15" s="459" t="s">
        <v>35</v>
      </c>
      <c r="Y15" s="459" t="s">
        <v>36</v>
      </c>
      <c r="AA15" s="650">
        <v>556</v>
      </c>
      <c r="AB15" s="459" t="s">
        <v>897</v>
      </c>
      <c r="AC15" t="str">
        <f t="shared" si="0"/>
        <v>556 - Cecilia Blancarte Porras</v>
      </c>
      <c r="AD15"/>
      <c r="AE15"/>
      <c r="AF15"/>
      <c r="AG15"/>
      <c r="AH15"/>
    </row>
    <row r="16" spans="1:34">
      <c r="E16" s="308"/>
      <c r="J16" s="310" t="s">
        <v>137</v>
      </c>
      <c r="O16" s="310"/>
      <c r="P16" s="310"/>
      <c r="S16" s="308"/>
      <c r="X16" s="459" t="s">
        <v>37</v>
      </c>
      <c r="Y16" s="459" t="s">
        <v>38</v>
      </c>
      <c r="AA16" s="650">
        <v>699</v>
      </c>
      <c r="AB16" s="459" t="s">
        <v>898</v>
      </c>
      <c r="AC16" t="str">
        <f t="shared" si="0"/>
        <v>699 - Iñaki Arizaleta Barquin</v>
      </c>
      <c r="AD16"/>
      <c r="AE16"/>
      <c r="AF16"/>
      <c r="AG16"/>
      <c r="AH16"/>
    </row>
    <row r="17" spans="1:256">
      <c r="E17" s="308"/>
      <c r="J17" s="310" t="s">
        <v>870</v>
      </c>
      <c r="S17" s="308"/>
      <c r="X17" s="459" t="s">
        <v>39</v>
      </c>
      <c r="Y17" s="459" t="s">
        <v>40</v>
      </c>
      <c r="AA17" s="650">
        <v>757</v>
      </c>
      <c r="AB17" s="459" t="s">
        <v>899</v>
      </c>
      <c r="AC17" t="str">
        <f t="shared" si="0"/>
        <v>757 - Ernesto De La Cadena Hernandez</v>
      </c>
      <c r="AD17"/>
      <c r="AE17"/>
      <c r="AF17"/>
      <c r="AG17"/>
      <c r="AH17"/>
    </row>
    <row r="18" spans="1:256">
      <c r="E18" s="308"/>
      <c r="S18" s="308"/>
      <c r="X18" s="459" t="s">
        <v>41</v>
      </c>
      <c r="Y18" s="459" t="s">
        <v>42</v>
      </c>
      <c r="AA18" s="650">
        <v>807</v>
      </c>
      <c r="AB18" s="459" t="s">
        <v>882</v>
      </c>
      <c r="AC18" t="str">
        <f t="shared" si="0"/>
        <v>807 - Francisco Javier Abdalá Cervantes</v>
      </c>
      <c r="AD18"/>
      <c r="AE18"/>
      <c r="AF18"/>
      <c r="AG18"/>
      <c r="AH18"/>
    </row>
    <row r="19" spans="1:256">
      <c r="E19" s="308"/>
      <c r="S19" s="308"/>
      <c r="X19" s="459" t="s">
        <v>43</v>
      </c>
      <c r="Y19" s="459" t="s">
        <v>44</v>
      </c>
      <c r="AA19" s="650">
        <v>836</v>
      </c>
      <c r="AB19" s="459" t="s">
        <v>900</v>
      </c>
      <c r="AC19" t="str">
        <f t="shared" si="0"/>
        <v>836 - Cedric Roger Kaelin Bergeret</v>
      </c>
      <c r="AD19"/>
      <c r="AE19"/>
      <c r="AF19"/>
      <c r="AG19"/>
      <c r="AH19"/>
    </row>
    <row r="20" spans="1:256">
      <c r="A20" s="490"/>
      <c r="B20" s="490"/>
      <c r="C20" s="490"/>
      <c r="D20" s="490"/>
      <c r="E20" s="491"/>
      <c r="F20" s="490"/>
      <c r="G20" s="490"/>
      <c r="H20" s="490"/>
      <c r="I20" s="490"/>
      <c r="J20" s="490"/>
      <c r="K20" s="490"/>
      <c r="L20" s="490"/>
      <c r="M20" s="490"/>
      <c r="N20" s="490"/>
      <c r="O20" s="490"/>
      <c r="P20" s="490"/>
      <c r="Q20" s="490"/>
      <c r="R20" s="490"/>
      <c r="S20" s="491"/>
      <c r="T20" s="490"/>
      <c r="U20" s="490"/>
      <c r="V20" s="490"/>
      <c r="W20" s="490"/>
      <c r="X20" s="490"/>
      <c r="Y20" s="490"/>
      <c r="Z20" s="490"/>
      <c r="AA20" s="650">
        <v>844</v>
      </c>
      <c r="AB20" s="459" t="s">
        <v>901</v>
      </c>
      <c r="AC20" t="str">
        <f t="shared" si="0"/>
        <v>844 - Laura Sodi Barrera</v>
      </c>
      <c r="AD20"/>
      <c r="AE20"/>
      <c r="AF20"/>
      <c r="AG20"/>
      <c r="AH20"/>
    </row>
    <row r="21" spans="1:256" s="313" customFormat="1">
      <c r="A21" s="562" t="s">
        <v>548</v>
      </c>
      <c r="B21" s="563"/>
      <c r="C21" s="563"/>
      <c r="D21" s="563"/>
      <c r="E21" s="564"/>
      <c r="F21" s="563"/>
      <c r="G21" s="563"/>
      <c r="H21" s="563"/>
      <c r="I21" s="563"/>
      <c r="J21" s="563"/>
      <c r="K21" s="563"/>
      <c r="S21" s="561"/>
      <c r="AA21" s="650">
        <v>889</v>
      </c>
      <c r="AB21" s="459" t="s">
        <v>902</v>
      </c>
      <c r="AC21" t="str">
        <f t="shared" si="0"/>
        <v>889 - Erick Merlin Sabagh Sepulveda</v>
      </c>
      <c r="AD21"/>
      <c r="AE21"/>
      <c r="AF21"/>
      <c r="AG21"/>
      <c r="AH21"/>
    </row>
    <row r="22" spans="1:256" s="313" customFormat="1">
      <c r="A22" s="565" t="str">
        <f>IF('2-Cotización'!$F$35=0%,"Por disposición oficial, es oblitatorio cumplir los siguientes requisitos para facturar a IVA tasa 0%: A) Cotización firmada por el cliente, B) Copia pasaporte, C)Documento migratorio","")</f>
        <v/>
      </c>
      <c r="B22" s="563"/>
      <c r="C22" s="563"/>
      <c r="D22" s="563"/>
      <c r="E22" s="564"/>
      <c r="F22" s="563"/>
      <c r="G22" s="563"/>
      <c r="H22" s="563"/>
      <c r="I22" s="563"/>
      <c r="J22" s="563"/>
      <c r="K22" s="563"/>
      <c r="S22" s="561"/>
      <c r="AA22" s="650">
        <v>931</v>
      </c>
      <c r="AB22" s="459" t="s">
        <v>903</v>
      </c>
      <c r="AC22" t="str">
        <f t="shared" si="0"/>
        <v xml:space="preserve">931 - Federico Azuara Galdeano </v>
      </c>
      <c r="AD22"/>
      <c r="AE22"/>
      <c r="AF22"/>
      <c r="AG22"/>
      <c r="AH22"/>
    </row>
    <row r="23" spans="1:256" s="313" customFormat="1">
      <c r="A23" s="565" t="str">
        <f>IF('2-Cotización'!$F$35=0%,"D) Registro del huespeden donde haya quedado inscrito el nombre del turista extranjero y su firma y E) Pago mediante cheque o transferencia expedidos en el extranjero.","")</f>
        <v/>
      </c>
      <c r="B23" s="563"/>
      <c r="C23" s="563"/>
      <c r="D23" s="563"/>
      <c r="E23" s="564"/>
      <c r="F23" s="563"/>
      <c r="G23" s="563"/>
      <c r="H23" s="563"/>
      <c r="I23" s="563"/>
      <c r="J23" s="563"/>
      <c r="K23" s="563"/>
      <c r="S23" s="561"/>
      <c r="AA23" s="650">
        <v>946</v>
      </c>
      <c r="AB23" s="459" t="s">
        <v>904</v>
      </c>
      <c r="AC23" t="str">
        <f t="shared" si="0"/>
        <v xml:space="preserve">946 - Fernando Rivera Vasconcelos </v>
      </c>
      <c r="AD23"/>
      <c r="AE23"/>
      <c r="AF23"/>
      <c r="AG23"/>
      <c r="AH23"/>
    </row>
    <row r="24" spans="1:256" s="313" customFormat="1" ht="74.25" customHeight="1">
      <c r="A24" s="835" t="s">
        <v>142</v>
      </c>
      <c r="B24" s="835"/>
      <c r="C24" s="835"/>
      <c r="D24" s="835"/>
      <c r="E24" s="835"/>
      <c r="F24" s="835"/>
      <c r="G24" s="835"/>
      <c r="H24" s="835"/>
      <c r="I24" s="835"/>
      <c r="J24" s="835"/>
      <c r="K24" s="835"/>
      <c r="S24" s="561"/>
      <c r="AA24" s="650">
        <v>968</v>
      </c>
      <c r="AB24" s="459" t="s">
        <v>905</v>
      </c>
      <c r="AC24" t="str">
        <f t="shared" si="0"/>
        <v xml:space="preserve">968 - Alvaro Antono Urdiales Bonfiglioli </v>
      </c>
      <c r="AD24"/>
      <c r="AE24"/>
      <c r="AF24"/>
      <c r="AG24"/>
      <c r="AH24"/>
    </row>
    <row r="25" spans="1:256" s="313" customFormat="1" ht="50.25" customHeight="1">
      <c r="A25" s="835" t="s">
        <v>879</v>
      </c>
      <c r="B25" s="835"/>
      <c r="C25" s="835"/>
      <c r="D25" s="835"/>
      <c r="E25" s="835"/>
      <c r="F25" s="835"/>
      <c r="G25" s="835"/>
      <c r="H25" s="835"/>
      <c r="I25" s="835"/>
      <c r="J25" s="835"/>
      <c r="K25" s="835"/>
      <c r="L25" s="648"/>
      <c r="M25" s="648"/>
      <c r="N25" s="648"/>
      <c r="O25" s="648"/>
      <c r="P25" s="648"/>
      <c r="Q25" s="648"/>
      <c r="R25" s="648"/>
      <c r="S25" s="648"/>
      <c r="T25" s="648"/>
      <c r="U25" s="648"/>
      <c r="V25" s="648"/>
      <c r="W25" s="648"/>
      <c r="X25" s="648"/>
      <c r="Y25" s="648"/>
      <c r="Z25" s="648"/>
      <c r="AA25" s="650">
        <v>972</v>
      </c>
      <c r="AB25" s="459" t="s">
        <v>906</v>
      </c>
      <c r="AC25" t="str">
        <f t="shared" si="0"/>
        <v xml:space="preserve">972 - Rosalinda Cid Soria </v>
      </c>
      <c r="AD25"/>
      <c r="AE25"/>
      <c r="AF25"/>
      <c r="AG25"/>
      <c r="AH25"/>
      <c r="AI25" s="648"/>
      <c r="AJ25" s="648"/>
      <c r="AK25" s="648"/>
      <c r="AL25" s="648"/>
      <c r="AM25" s="648"/>
      <c r="AN25" s="648"/>
      <c r="AO25" s="648"/>
      <c r="AP25" s="648"/>
      <c r="AQ25" s="648"/>
      <c r="AR25" s="648"/>
      <c r="AS25" s="648"/>
      <c r="AT25" s="648"/>
      <c r="AU25" s="648"/>
      <c r="AV25" s="648"/>
      <c r="AW25" s="648"/>
      <c r="AX25" s="648"/>
      <c r="AY25" s="648"/>
      <c r="AZ25" s="648"/>
      <c r="BA25" s="648"/>
      <c r="BB25" s="648"/>
      <c r="BC25" s="648"/>
      <c r="BD25" s="648"/>
      <c r="BE25" s="648"/>
      <c r="BF25" s="648"/>
      <c r="BG25" s="648"/>
      <c r="BH25" s="648"/>
      <c r="BI25" s="648"/>
      <c r="BJ25" s="648"/>
      <c r="BK25" s="648"/>
      <c r="BL25" s="648"/>
      <c r="BM25" s="648"/>
      <c r="BN25" s="648"/>
      <c r="BO25" s="648"/>
      <c r="BP25" s="648"/>
      <c r="BQ25" s="648"/>
      <c r="BR25" s="648"/>
      <c r="BS25" s="648"/>
      <c r="BT25" s="648"/>
      <c r="BU25" s="648"/>
      <c r="BV25" s="648"/>
      <c r="BW25" s="648"/>
      <c r="BX25" s="648"/>
      <c r="BY25" s="648"/>
      <c r="BZ25" s="648"/>
      <c r="CA25" s="648"/>
      <c r="CB25" s="648"/>
      <c r="CC25" s="648"/>
      <c r="CD25" s="648"/>
      <c r="CE25" s="648"/>
      <c r="CF25" s="648"/>
      <c r="CG25" s="648"/>
      <c r="CH25" s="648"/>
      <c r="CI25" s="648"/>
      <c r="CJ25" s="648"/>
      <c r="CK25" s="648"/>
      <c r="CL25" s="648"/>
      <c r="CM25" s="648"/>
      <c r="CN25" s="648"/>
      <c r="CO25" s="648"/>
      <c r="CP25" s="648"/>
      <c r="CQ25" s="648"/>
      <c r="CR25" s="648"/>
      <c r="CS25" s="648"/>
      <c r="CT25" s="648"/>
      <c r="CU25" s="648"/>
      <c r="CV25" s="648"/>
      <c r="CW25" s="648"/>
      <c r="CX25" s="648"/>
      <c r="CY25" s="648"/>
      <c r="CZ25" s="648"/>
      <c r="DA25" s="648"/>
      <c r="DB25" s="648"/>
      <c r="DC25" s="648"/>
      <c r="DD25" s="648"/>
      <c r="DE25" s="648"/>
      <c r="DF25" s="648"/>
      <c r="DG25" s="648"/>
      <c r="DH25" s="648"/>
      <c r="DI25" s="648"/>
      <c r="DJ25" s="648"/>
      <c r="DK25" s="648"/>
      <c r="DL25" s="648"/>
      <c r="DM25" s="648"/>
      <c r="DN25" s="648"/>
      <c r="DO25" s="648"/>
      <c r="DP25" s="648"/>
      <c r="DQ25" s="648"/>
      <c r="DR25" s="648"/>
      <c r="DS25" s="648"/>
      <c r="DT25" s="648"/>
      <c r="DU25" s="648"/>
      <c r="DV25" s="648"/>
      <c r="DW25" s="648"/>
      <c r="DX25" s="648"/>
      <c r="DY25" s="648"/>
      <c r="DZ25" s="648"/>
      <c r="EA25" s="648"/>
      <c r="EB25" s="648"/>
      <c r="EC25" s="648"/>
      <c r="ED25" s="648"/>
      <c r="EE25" s="648"/>
      <c r="EF25" s="648"/>
      <c r="EG25" s="648"/>
      <c r="EH25" s="648"/>
      <c r="EI25" s="648"/>
      <c r="EJ25" s="648"/>
      <c r="EK25" s="648"/>
      <c r="EL25" s="648"/>
      <c r="EM25" s="648"/>
      <c r="EN25" s="648"/>
      <c r="EO25" s="648"/>
      <c r="EP25" s="648"/>
      <c r="EQ25" s="648"/>
      <c r="ER25" s="648"/>
      <c r="ES25" s="648"/>
      <c r="ET25" s="648"/>
      <c r="EU25" s="648"/>
      <c r="EV25" s="648"/>
      <c r="EW25" s="648"/>
      <c r="EX25" s="648"/>
      <c r="EY25" s="648"/>
      <c r="EZ25" s="648"/>
      <c r="FA25" s="648"/>
      <c r="FB25" s="648"/>
      <c r="FC25" s="648"/>
      <c r="FD25" s="648"/>
      <c r="FE25" s="648"/>
      <c r="FF25" s="648"/>
      <c r="FG25" s="648"/>
      <c r="FH25" s="648"/>
      <c r="FI25" s="648"/>
      <c r="FJ25" s="648"/>
      <c r="FK25" s="648"/>
      <c r="FL25" s="648"/>
      <c r="FM25" s="648"/>
      <c r="FN25" s="648"/>
      <c r="FO25" s="648"/>
      <c r="FP25" s="648"/>
      <c r="FQ25" s="648"/>
      <c r="FR25" s="648"/>
      <c r="FS25" s="648"/>
      <c r="FT25" s="648"/>
      <c r="FU25" s="648"/>
      <c r="FV25" s="648"/>
      <c r="FW25" s="648"/>
      <c r="FX25" s="648"/>
      <c r="FY25" s="648"/>
      <c r="FZ25" s="648"/>
      <c r="GA25" s="648"/>
      <c r="GB25" s="648"/>
      <c r="GC25" s="648"/>
      <c r="GD25" s="648"/>
      <c r="GE25" s="648"/>
      <c r="GF25" s="648"/>
      <c r="GG25" s="648"/>
      <c r="GH25" s="648"/>
      <c r="GI25" s="648"/>
      <c r="GJ25" s="648"/>
      <c r="GK25" s="648"/>
      <c r="GL25" s="648"/>
      <c r="GM25" s="648"/>
      <c r="GN25" s="648"/>
      <c r="GO25" s="648"/>
      <c r="GP25" s="648"/>
      <c r="GQ25" s="648"/>
      <c r="GR25" s="648"/>
      <c r="GS25" s="648"/>
      <c r="GT25" s="648"/>
      <c r="GU25" s="648"/>
      <c r="GV25" s="648"/>
      <c r="GW25" s="648"/>
      <c r="GX25" s="648"/>
      <c r="GY25" s="648"/>
      <c r="GZ25" s="648"/>
      <c r="HA25" s="648"/>
      <c r="HB25" s="648"/>
      <c r="HC25" s="648"/>
      <c r="HD25" s="648"/>
      <c r="HE25" s="648"/>
      <c r="HF25" s="648"/>
      <c r="HG25" s="648"/>
      <c r="HH25" s="648"/>
      <c r="HI25" s="648"/>
      <c r="HJ25" s="648"/>
      <c r="HK25" s="648"/>
      <c r="HL25" s="648"/>
      <c r="HM25" s="648"/>
      <c r="HN25" s="648"/>
      <c r="HO25" s="648"/>
      <c r="HP25" s="648"/>
      <c r="HQ25" s="648"/>
      <c r="HR25" s="648"/>
      <c r="HS25" s="648"/>
      <c r="HT25" s="648"/>
      <c r="HU25" s="648"/>
      <c r="HV25" s="648"/>
      <c r="HW25" s="648"/>
      <c r="HX25" s="648"/>
      <c r="HY25" s="648"/>
      <c r="HZ25" s="648"/>
      <c r="IA25" s="648"/>
      <c r="IB25" s="648"/>
      <c r="IC25" s="648"/>
      <c r="ID25" s="648"/>
      <c r="IE25" s="648"/>
      <c r="IF25" s="648"/>
      <c r="IG25" s="648"/>
      <c r="IH25" s="648"/>
      <c r="II25" s="648"/>
      <c r="IJ25" s="648"/>
      <c r="IK25" s="648"/>
      <c r="IL25" s="648"/>
      <c r="IM25" s="648"/>
      <c r="IN25" s="648"/>
      <c r="IO25" s="648"/>
      <c r="IP25" s="648"/>
      <c r="IQ25" s="648"/>
      <c r="IR25" s="648"/>
      <c r="IS25" s="648"/>
      <c r="IT25" s="648"/>
      <c r="IU25" s="648"/>
      <c r="IV25" s="648"/>
    </row>
    <row r="26" spans="1:256" s="313" customFormat="1" ht="26.25" customHeight="1">
      <c r="A26" s="835" t="s">
        <v>134</v>
      </c>
      <c r="B26" s="835"/>
      <c r="C26" s="835"/>
      <c r="D26" s="835"/>
      <c r="E26" s="835"/>
      <c r="F26" s="835"/>
      <c r="G26" s="835"/>
      <c r="H26" s="835"/>
      <c r="I26" s="835"/>
      <c r="J26" s="835"/>
      <c r="K26" s="835"/>
      <c r="L26" s="648"/>
      <c r="M26" s="648"/>
      <c r="N26" s="648"/>
      <c r="O26" s="648"/>
      <c r="P26" s="648"/>
      <c r="Q26" s="648"/>
      <c r="R26" s="648"/>
      <c r="S26" s="648"/>
      <c r="T26" s="648"/>
      <c r="U26" s="648"/>
      <c r="V26" s="648"/>
      <c r="W26" s="648"/>
      <c r="X26" s="648"/>
      <c r="Y26" s="648"/>
      <c r="Z26" s="648"/>
      <c r="AA26" s="650">
        <v>975</v>
      </c>
      <c r="AB26" s="459" t="s">
        <v>907</v>
      </c>
      <c r="AC26" t="str">
        <f t="shared" si="0"/>
        <v xml:space="preserve">975 - Maria Amanecer Sierra Diaz </v>
      </c>
      <c r="AD26" s="648"/>
      <c r="AE26" s="648"/>
      <c r="AF26" s="648"/>
      <c r="AG26" s="648"/>
      <c r="AH26" s="648"/>
      <c r="AI26" s="648"/>
      <c r="AJ26" s="648"/>
      <c r="AK26" s="648"/>
      <c r="AL26" s="648"/>
      <c r="AM26" s="648"/>
      <c r="AN26" s="648"/>
      <c r="AO26" s="648"/>
      <c r="AP26" s="648"/>
      <c r="AQ26" s="648"/>
      <c r="AR26" s="648"/>
      <c r="AS26" s="648"/>
      <c r="AT26" s="648"/>
      <c r="AU26" s="648"/>
      <c r="AV26" s="648"/>
      <c r="AW26" s="648"/>
      <c r="AX26" s="648"/>
      <c r="AY26" s="648"/>
      <c r="AZ26" s="648"/>
      <c r="BA26" s="648"/>
      <c r="BB26" s="648"/>
      <c r="BC26" s="648"/>
      <c r="BD26" s="648"/>
      <c r="BE26" s="648"/>
      <c r="BF26" s="648"/>
      <c r="BG26" s="648"/>
      <c r="BH26" s="648"/>
      <c r="BI26" s="648"/>
      <c r="BJ26" s="648"/>
      <c r="BK26" s="648"/>
      <c r="BL26" s="648"/>
      <c r="BM26" s="648"/>
      <c r="BN26" s="648"/>
      <c r="BO26" s="648"/>
      <c r="BP26" s="648"/>
      <c r="BQ26" s="648"/>
      <c r="BR26" s="648"/>
      <c r="BS26" s="648"/>
      <c r="BT26" s="648"/>
      <c r="BU26" s="648"/>
      <c r="BV26" s="648"/>
      <c r="BW26" s="648"/>
      <c r="BX26" s="648"/>
      <c r="BY26" s="648"/>
      <c r="BZ26" s="648"/>
      <c r="CA26" s="648"/>
      <c r="CB26" s="648"/>
      <c r="CC26" s="648"/>
      <c r="CD26" s="648"/>
      <c r="CE26" s="648"/>
      <c r="CF26" s="648"/>
      <c r="CG26" s="648"/>
      <c r="CH26" s="648"/>
      <c r="CI26" s="648"/>
      <c r="CJ26" s="648"/>
      <c r="CK26" s="648"/>
      <c r="CL26" s="648"/>
      <c r="CM26" s="648"/>
      <c r="CN26" s="648"/>
      <c r="CO26" s="648"/>
      <c r="CP26" s="648"/>
      <c r="CQ26" s="648"/>
      <c r="CR26" s="648"/>
      <c r="CS26" s="648"/>
      <c r="CT26" s="648"/>
      <c r="CU26" s="648"/>
      <c r="CV26" s="648"/>
      <c r="CW26" s="648"/>
      <c r="CX26" s="648"/>
      <c r="CY26" s="648"/>
      <c r="CZ26" s="648"/>
      <c r="DA26" s="648"/>
      <c r="DB26" s="648"/>
      <c r="DC26" s="648"/>
      <c r="DD26" s="648"/>
      <c r="DE26" s="648"/>
      <c r="DF26" s="648"/>
      <c r="DG26" s="648"/>
      <c r="DH26" s="648"/>
      <c r="DI26" s="648"/>
      <c r="DJ26" s="648"/>
      <c r="DK26" s="648"/>
      <c r="DL26" s="648"/>
      <c r="DM26" s="648"/>
      <c r="DN26" s="648"/>
      <c r="DO26" s="648"/>
      <c r="DP26" s="648"/>
      <c r="DQ26" s="648"/>
      <c r="DR26" s="648"/>
      <c r="DS26" s="648"/>
      <c r="DT26" s="648"/>
      <c r="DU26" s="648"/>
      <c r="DV26" s="648"/>
      <c r="DW26" s="648"/>
      <c r="DX26" s="648"/>
      <c r="DY26" s="648"/>
      <c r="DZ26" s="648"/>
      <c r="EA26" s="648"/>
      <c r="EB26" s="648"/>
      <c r="EC26" s="648"/>
      <c r="ED26" s="648"/>
      <c r="EE26" s="648"/>
      <c r="EF26" s="648"/>
      <c r="EG26" s="648"/>
      <c r="EH26" s="648"/>
      <c r="EI26" s="648"/>
      <c r="EJ26" s="648"/>
      <c r="EK26" s="648"/>
      <c r="EL26" s="648"/>
      <c r="EM26" s="648"/>
      <c r="EN26" s="648"/>
      <c r="EO26" s="648"/>
      <c r="EP26" s="648"/>
      <c r="EQ26" s="648"/>
      <c r="ER26" s="648"/>
      <c r="ES26" s="648"/>
      <c r="ET26" s="648"/>
      <c r="EU26" s="648"/>
      <c r="EV26" s="648"/>
      <c r="EW26" s="648"/>
      <c r="EX26" s="648"/>
      <c r="EY26" s="648"/>
      <c r="EZ26" s="648"/>
      <c r="FA26" s="648"/>
      <c r="FB26" s="648"/>
      <c r="FC26" s="648"/>
      <c r="FD26" s="648"/>
      <c r="FE26" s="648"/>
      <c r="FF26" s="648"/>
      <c r="FG26" s="648"/>
      <c r="FH26" s="648"/>
      <c r="FI26" s="648"/>
      <c r="FJ26" s="648"/>
      <c r="FK26" s="648"/>
      <c r="FL26" s="648"/>
      <c r="FM26" s="648"/>
      <c r="FN26" s="648"/>
      <c r="FO26" s="648"/>
      <c r="FP26" s="648"/>
      <c r="FQ26" s="648"/>
      <c r="FR26" s="648"/>
      <c r="FS26" s="648"/>
      <c r="FT26" s="648"/>
      <c r="FU26" s="648"/>
      <c r="FV26" s="648"/>
      <c r="FW26" s="648"/>
      <c r="FX26" s="648"/>
      <c r="FY26" s="648"/>
      <c r="FZ26" s="648"/>
      <c r="GA26" s="648"/>
      <c r="GB26" s="648"/>
      <c r="GC26" s="648"/>
      <c r="GD26" s="648"/>
      <c r="GE26" s="648"/>
      <c r="GF26" s="648"/>
      <c r="GG26" s="648"/>
      <c r="GH26" s="648"/>
      <c r="GI26" s="648"/>
      <c r="GJ26" s="648"/>
      <c r="GK26" s="648"/>
      <c r="GL26" s="648"/>
      <c r="GM26" s="648"/>
      <c r="GN26" s="648"/>
      <c r="GO26" s="648"/>
      <c r="GP26" s="648"/>
      <c r="GQ26" s="648"/>
      <c r="GR26" s="648"/>
      <c r="GS26" s="648"/>
      <c r="GT26" s="648"/>
      <c r="GU26" s="648"/>
      <c r="GV26" s="648"/>
      <c r="GW26" s="648"/>
      <c r="GX26" s="648"/>
      <c r="GY26" s="648"/>
      <c r="GZ26" s="648"/>
      <c r="HA26" s="648"/>
      <c r="HB26" s="648"/>
      <c r="HC26" s="648"/>
      <c r="HD26" s="648"/>
      <c r="HE26" s="648"/>
      <c r="HF26" s="648"/>
      <c r="HG26" s="648"/>
      <c r="HH26" s="648"/>
      <c r="HI26" s="648"/>
      <c r="HJ26" s="648"/>
      <c r="HK26" s="648"/>
      <c r="HL26" s="648"/>
      <c r="HM26" s="648"/>
      <c r="HN26" s="648"/>
      <c r="HO26" s="648"/>
      <c r="HP26" s="648"/>
      <c r="HQ26" s="648"/>
      <c r="HR26" s="648"/>
      <c r="HS26" s="648"/>
      <c r="HT26" s="648"/>
      <c r="HU26" s="648"/>
      <c r="HV26" s="648"/>
      <c r="HW26" s="648"/>
      <c r="HX26" s="648"/>
      <c r="HY26" s="648"/>
      <c r="HZ26" s="648"/>
      <c r="IA26" s="648"/>
      <c r="IB26" s="648"/>
      <c r="IC26" s="648"/>
      <c r="ID26" s="648"/>
      <c r="IE26" s="648"/>
      <c r="IF26" s="648"/>
      <c r="IG26" s="648"/>
      <c r="IH26" s="648"/>
      <c r="II26" s="648"/>
      <c r="IJ26" s="648"/>
      <c r="IK26" s="648"/>
      <c r="IL26" s="648"/>
      <c r="IM26" s="648"/>
      <c r="IN26" s="648"/>
      <c r="IO26" s="648"/>
      <c r="IP26" s="648"/>
      <c r="IQ26" s="648"/>
      <c r="IR26" s="648"/>
      <c r="IS26" s="648"/>
      <c r="IT26" s="648"/>
      <c r="IU26" s="648"/>
      <c r="IV26" s="648"/>
    </row>
    <row r="27" spans="1:256" s="313" customFormat="1" ht="25.5" customHeight="1">
      <c r="A27" s="835" t="s">
        <v>135</v>
      </c>
      <c r="B27" s="835"/>
      <c r="C27" s="835"/>
      <c r="D27" s="835"/>
      <c r="E27" s="835"/>
      <c r="F27" s="835"/>
      <c r="G27" s="835"/>
      <c r="H27" s="835"/>
      <c r="I27" s="835"/>
      <c r="J27" s="835"/>
      <c r="K27" s="835"/>
      <c r="L27" s="648"/>
      <c r="M27" s="648"/>
      <c r="N27" s="648"/>
      <c r="O27" s="648"/>
      <c r="P27" s="648"/>
      <c r="Q27" s="648"/>
      <c r="R27" s="648"/>
      <c r="S27" s="648"/>
      <c r="T27" s="648"/>
      <c r="U27" s="648"/>
      <c r="V27" s="648"/>
      <c r="W27" s="648"/>
      <c r="X27" s="648"/>
      <c r="Y27" s="648"/>
      <c r="Z27" s="648"/>
      <c r="AA27" s="650"/>
      <c r="AB27" s="649"/>
      <c r="AC27" s="648"/>
      <c r="AD27" s="648"/>
      <c r="AE27" s="648"/>
      <c r="AF27" s="648"/>
      <c r="AG27" s="648"/>
      <c r="AH27" s="648"/>
      <c r="AI27" s="648"/>
      <c r="AJ27" s="648"/>
      <c r="AK27" s="648"/>
      <c r="AL27" s="648"/>
      <c r="AM27" s="648"/>
      <c r="AN27" s="648"/>
      <c r="AO27" s="648"/>
      <c r="AP27" s="648"/>
      <c r="AQ27" s="648"/>
      <c r="AR27" s="648"/>
      <c r="AS27" s="648"/>
      <c r="AT27" s="648"/>
      <c r="AU27" s="648"/>
      <c r="AV27" s="648"/>
      <c r="AW27" s="648"/>
      <c r="AX27" s="648"/>
      <c r="AY27" s="648"/>
      <c r="AZ27" s="648"/>
      <c r="BA27" s="648"/>
      <c r="BB27" s="648"/>
      <c r="BC27" s="648"/>
      <c r="BD27" s="648"/>
      <c r="BE27" s="648"/>
      <c r="BF27" s="648"/>
      <c r="BG27" s="648"/>
      <c r="BH27" s="648"/>
      <c r="BI27" s="648"/>
      <c r="BJ27" s="648"/>
      <c r="BK27" s="648"/>
      <c r="BL27" s="648"/>
      <c r="BM27" s="648"/>
      <c r="BN27" s="648"/>
      <c r="BO27" s="648"/>
      <c r="BP27" s="648"/>
      <c r="BQ27" s="648"/>
      <c r="BR27" s="648"/>
      <c r="BS27" s="648"/>
      <c r="BT27" s="648"/>
      <c r="BU27" s="648"/>
      <c r="BV27" s="648"/>
      <c r="BW27" s="648"/>
      <c r="BX27" s="648"/>
      <c r="BY27" s="648"/>
      <c r="BZ27" s="648"/>
      <c r="CA27" s="648"/>
      <c r="CB27" s="648"/>
      <c r="CC27" s="648"/>
      <c r="CD27" s="648"/>
      <c r="CE27" s="648"/>
      <c r="CF27" s="648"/>
      <c r="CG27" s="648"/>
      <c r="CH27" s="648"/>
      <c r="CI27" s="648"/>
      <c r="CJ27" s="648"/>
      <c r="CK27" s="648"/>
      <c r="CL27" s="648"/>
      <c r="CM27" s="648"/>
      <c r="CN27" s="648"/>
      <c r="CO27" s="648"/>
      <c r="CP27" s="648"/>
      <c r="CQ27" s="648"/>
      <c r="CR27" s="648"/>
      <c r="CS27" s="648"/>
      <c r="CT27" s="648"/>
      <c r="CU27" s="648"/>
      <c r="CV27" s="648"/>
      <c r="CW27" s="648"/>
      <c r="CX27" s="648"/>
      <c r="CY27" s="648"/>
      <c r="CZ27" s="648"/>
      <c r="DA27" s="648"/>
      <c r="DB27" s="648"/>
      <c r="DC27" s="648"/>
      <c r="DD27" s="648"/>
      <c r="DE27" s="648"/>
      <c r="DF27" s="648"/>
      <c r="DG27" s="648"/>
      <c r="DH27" s="648"/>
      <c r="DI27" s="648"/>
      <c r="DJ27" s="648"/>
      <c r="DK27" s="648"/>
      <c r="DL27" s="648"/>
      <c r="DM27" s="648"/>
      <c r="DN27" s="648"/>
      <c r="DO27" s="648"/>
      <c r="DP27" s="648"/>
      <c r="DQ27" s="648"/>
      <c r="DR27" s="648"/>
      <c r="DS27" s="648"/>
      <c r="DT27" s="648"/>
      <c r="DU27" s="648"/>
      <c r="DV27" s="648"/>
      <c r="DW27" s="648"/>
      <c r="DX27" s="648"/>
      <c r="DY27" s="648"/>
      <c r="DZ27" s="648"/>
      <c r="EA27" s="648"/>
      <c r="EB27" s="648"/>
      <c r="EC27" s="648"/>
      <c r="ED27" s="648"/>
      <c r="EE27" s="648"/>
      <c r="EF27" s="648"/>
      <c r="EG27" s="648"/>
      <c r="EH27" s="648"/>
      <c r="EI27" s="648"/>
      <c r="EJ27" s="648"/>
      <c r="EK27" s="648"/>
      <c r="EL27" s="648"/>
      <c r="EM27" s="648"/>
      <c r="EN27" s="648"/>
      <c r="EO27" s="648"/>
      <c r="EP27" s="648"/>
      <c r="EQ27" s="648"/>
      <c r="ER27" s="648"/>
      <c r="ES27" s="648"/>
      <c r="ET27" s="648"/>
      <c r="EU27" s="648"/>
      <c r="EV27" s="648"/>
      <c r="EW27" s="648"/>
      <c r="EX27" s="648"/>
      <c r="EY27" s="648"/>
      <c r="EZ27" s="648"/>
      <c r="FA27" s="648"/>
      <c r="FB27" s="648"/>
      <c r="FC27" s="648"/>
      <c r="FD27" s="648"/>
      <c r="FE27" s="648"/>
      <c r="FF27" s="648"/>
      <c r="FG27" s="648"/>
      <c r="FH27" s="648"/>
      <c r="FI27" s="648"/>
      <c r="FJ27" s="648"/>
      <c r="FK27" s="648"/>
      <c r="FL27" s="648"/>
      <c r="FM27" s="648"/>
      <c r="FN27" s="648"/>
      <c r="FO27" s="648"/>
      <c r="FP27" s="648"/>
      <c r="FQ27" s="648"/>
      <c r="FR27" s="648"/>
      <c r="FS27" s="648"/>
      <c r="FT27" s="648"/>
      <c r="FU27" s="648"/>
      <c r="FV27" s="648"/>
      <c r="FW27" s="648"/>
      <c r="FX27" s="648"/>
      <c r="FY27" s="648"/>
      <c r="FZ27" s="648"/>
      <c r="GA27" s="648"/>
      <c r="GB27" s="648"/>
      <c r="GC27" s="648"/>
      <c r="GD27" s="648"/>
      <c r="GE27" s="648"/>
      <c r="GF27" s="648"/>
      <c r="GG27" s="648"/>
      <c r="GH27" s="648"/>
      <c r="GI27" s="648"/>
      <c r="GJ27" s="648"/>
      <c r="GK27" s="648"/>
      <c r="GL27" s="648"/>
      <c r="GM27" s="648"/>
      <c r="GN27" s="648"/>
      <c r="GO27" s="648"/>
      <c r="GP27" s="648"/>
      <c r="GQ27" s="648"/>
      <c r="GR27" s="648"/>
      <c r="GS27" s="648"/>
      <c r="GT27" s="648"/>
      <c r="GU27" s="648"/>
      <c r="GV27" s="648"/>
      <c r="GW27" s="648"/>
      <c r="GX27" s="648"/>
      <c r="GY27" s="648"/>
      <c r="GZ27" s="648"/>
      <c r="HA27" s="648"/>
      <c r="HB27" s="648"/>
      <c r="HC27" s="648"/>
      <c r="HD27" s="648"/>
      <c r="HE27" s="648"/>
      <c r="HF27" s="648"/>
      <c r="HG27" s="648"/>
      <c r="HH27" s="648"/>
      <c r="HI27" s="648"/>
      <c r="HJ27" s="648"/>
      <c r="HK27" s="648"/>
      <c r="HL27" s="648"/>
      <c r="HM27" s="648"/>
      <c r="HN27" s="648"/>
      <c r="HO27" s="648"/>
      <c r="HP27" s="648"/>
      <c r="HQ27" s="648"/>
      <c r="HR27" s="648"/>
      <c r="HS27" s="648"/>
      <c r="HT27" s="648"/>
      <c r="HU27" s="648"/>
      <c r="HV27" s="648"/>
      <c r="HW27" s="648"/>
      <c r="HX27" s="648"/>
      <c r="HY27" s="648"/>
      <c r="HZ27" s="648"/>
      <c r="IA27" s="648"/>
      <c r="IB27" s="648"/>
      <c r="IC27" s="648"/>
      <c r="ID27" s="648"/>
      <c r="IE27" s="648"/>
      <c r="IF27" s="648"/>
      <c r="IG27" s="648"/>
      <c r="IH27" s="648"/>
      <c r="II27" s="648"/>
      <c r="IJ27" s="648"/>
      <c r="IK27" s="648"/>
      <c r="IL27" s="648"/>
      <c r="IM27" s="648"/>
      <c r="IN27" s="648"/>
      <c r="IO27" s="648"/>
      <c r="IP27" s="648"/>
      <c r="IQ27" s="648"/>
      <c r="IR27" s="648"/>
      <c r="IS27" s="648"/>
      <c r="IT27" s="648"/>
      <c r="IU27" s="648"/>
      <c r="IV27" s="648"/>
    </row>
    <row r="28" spans="1:256" s="313" customFormat="1" ht="39" customHeight="1">
      <c r="A28" s="835" t="s">
        <v>136</v>
      </c>
      <c r="B28" s="835"/>
      <c r="C28" s="835"/>
      <c r="D28" s="835"/>
      <c r="E28" s="835"/>
      <c r="F28" s="835"/>
      <c r="G28" s="835"/>
      <c r="H28" s="835"/>
      <c r="I28" s="835"/>
      <c r="J28" s="835"/>
      <c r="K28" s="835"/>
      <c r="L28" s="648"/>
      <c r="M28" s="648"/>
      <c r="N28" s="648"/>
      <c r="O28" s="648"/>
      <c r="P28" s="648"/>
      <c r="Q28" s="648"/>
      <c r="R28" s="648"/>
      <c r="S28" s="648"/>
      <c r="T28" s="648"/>
      <c r="U28" s="648"/>
      <c r="V28" s="648"/>
      <c r="W28" s="648"/>
      <c r="X28" s="648"/>
      <c r="Y28" s="648"/>
      <c r="Z28" s="648"/>
      <c r="AA28" s="649"/>
      <c r="AB28" s="649"/>
      <c r="AC28" s="648"/>
      <c r="AD28" s="648"/>
      <c r="AE28" s="648"/>
      <c r="AF28" s="648"/>
      <c r="AG28" s="648"/>
      <c r="AH28" s="648"/>
      <c r="AI28" s="648"/>
      <c r="AJ28" s="648"/>
      <c r="AK28" s="648"/>
      <c r="AL28" s="648"/>
      <c r="AM28" s="648"/>
      <c r="AN28" s="648"/>
      <c r="AO28" s="648"/>
      <c r="AP28" s="648"/>
      <c r="AQ28" s="648"/>
      <c r="AR28" s="648"/>
      <c r="AS28" s="648"/>
      <c r="AT28" s="648"/>
      <c r="AU28" s="648"/>
      <c r="AV28" s="648"/>
      <c r="AW28" s="648"/>
      <c r="AX28" s="648"/>
      <c r="AY28" s="648"/>
      <c r="AZ28" s="648"/>
      <c r="BA28" s="648"/>
      <c r="BB28" s="648"/>
      <c r="BC28" s="648"/>
      <c r="BD28" s="648"/>
      <c r="BE28" s="648"/>
      <c r="BF28" s="648"/>
      <c r="BG28" s="648"/>
      <c r="BH28" s="648"/>
      <c r="BI28" s="648"/>
      <c r="BJ28" s="648"/>
      <c r="BK28" s="648"/>
      <c r="BL28" s="648"/>
      <c r="BM28" s="648"/>
      <c r="BN28" s="648"/>
      <c r="BO28" s="648"/>
      <c r="BP28" s="648"/>
      <c r="BQ28" s="648"/>
      <c r="BR28" s="648"/>
      <c r="BS28" s="648"/>
      <c r="BT28" s="648"/>
      <c r="BU28" s="648"/>
      <c r="BV28" s="648"/>
      <c r="BW28" s="648"/>
      <c r="BX28" s="648"/>
      <c r="BY28" s="648"/>
      <c r="BZ28" s="648"/>
      <c r="CA28" s="648"/>
      <c r="CB28" s="648"/>
      <c r="CC28" s="648"/>
      <c r="CD28" s="648"/>
      <c r="CE28" s="648"/>
      <c r="CF28" s="648"/>
      <c r="CG28" s="648"/>
      <c r="CH28" s="648"/>
      <c r="CI28" s="648"/>
      <c r="CJ28" s="648"/>
      <c r="CK28" s="648"/>
      <c r="CL28" s="648"/>
      <c r="CM28" s="648"/>
      <c r="CN28" s="648"/>
      <c r="CO28" s="648"/>
      <c r="CP28" s="648"/>
      <c r="CQ28" s="648"/>
      <c r="CR28" s="648"/>
      <c r="CS28" s="648"/>
      <c r="CT28" s="648"/>
      <c r="CU28" s="648"/>
      <c r="CV28" s="648"/>
      <c r="CW28" s="648"/>
      <c r="CX28" s="648"/>
      <c r="CY28" s="648"/>
      <c r="CZ28" s="648"/>
      <c r="DA28" s="648"/>
      <c r="DB28" s="648"/>
      <c r="DC28" s="648"/>
      <c r="DD28" s="648"/>
      <c r="DE28" s="648"/>
      <c r="DF28" s="648"/>
      <c r="DG28" s="648"/>
      <c r="DH28" s="648"/>
      <c r="DI28" s="648"/>
      <c r="DJ28" s="648"/>
      <c r="DK28" s="648"/>
      <c r="DL28" s="648"/>
      <c r="DM28" s="648"/>
      <c r="DN28" s="648"/>
      <c r="DO28" s="648"/>
      <c r="DP28" s="648"/>
      <c r="DQ28" s="648"/>
      <c r="DR28" s="648"/>
      <c r="DS28" s="648"/>
      <c r="DT28" s="648"/>
      <c r="DU28" s="648"/>
      <c r="DV28" s="648"/>
      <c r="DW28" s="648"/>
      <c r="DX28" s="648"/>
      <c r="DY28" s="648"/>
      <c r="DZ28" s="648"/>
      <c r="EA28" s="648"/>
      <c r="EB28" s="648"/>
      <c r="EC28" s="648"/>
      <c r="ED28" s="648"/>
      <c r="EE28" s="648"/>
      <c r="EF28" s="648"/>
      <c r="EG28" s="648"/>
      <c r="EH28" s="648"/>
      <c r="EI28" s="648"/>
      <c r="EJ28" s="648"/>
      <c r="EK28" s="648"/>
      <c r="EL28" s="648"/>
      <c r="EM28" s="648"/>
      <c r="EN28" s="648"/>
      <c r="EO28" s="648"/>
      <c r="EP28" s="648"/>
      <c r="EQ28" s="648"/>
      <c r="ER28" s="648"/>
      <c r="ES28" s="648"/>
      <c r="ET28" s="648"/>
      <c r="EU28" s="648"/>
      <c r="EV28" s="648"/>
      <c r="EW28" s="648"/>
      <c r="EX28" s="648"/>
      <c r="EY28" s="648"/>
      <c r="EZ28" s="648"/>
      <c r="FA28" s="648"/>
      <c r="FB28" s="648"/>
      <c r="FC28" s="648"/>
      <c r="FD28" s="648"/>
      <c r="FE28" s="648"/>
      <c r="FF28" s="648"/>
      <c r="FG28" s="648"/>
      <c r="FH28" s="648"/>
      <c r="FI28" s="648"/>
      <c r="FJ28" s="648"/>
      <c r="FK28" s="648"/>
      <c r="FL28" s="648"/>
      <c r="FM28" s="648"/>
      <c r="FN28" s="648"/>
      <c r="FO28" s="648"/>
      <c r="FP28" s="648"/>
      <c r="FQ28" s="648"/>
      <c r="FR28" s="648"/>
      <c r="FS28" s="648"/>
      <c r="FT28" s="648"/>
      <c r="FU28" s="648"/>
      <c r="FV28" s="648"/>
      <c r="FW28" s="648"/>
      <c r="FX28" s="648"/>
      <c r="FY28" s="648"/>
      <c r="FZ28" s="648"/>
      <c r="GA28" s="648"/>
      <c r="GB28" s="648"/>
      <c r="GC28" s="648"/>
      <c r="GD28" s="648"/>
      <c r="GE28" s="648"/>
      <c r="GF28" s="648"/>
      <c r="GG28" s="648"/>
      <c r="GH28" s="648"/>
      <c r="GI28" s="648"/>
      <c r="GJ28" s="648"/>
      <c r="GK28" s="648"/>
      <c r="GL28" s="648"/>
      <c r="GM28" s="648"/>
      <c r="GN28" s="648"/>
      <c r="GO28" s="648"/>
      <c r="GP28" s="648"/>
      <c r="GQ28" s="648"/>
      <c r="GR28" s="648"/>
      <c r="GS28" s="648"/>
      <c r="GT28" s="648"/>
      <c r="GU28" s="648"/>
      <c r="GV28" s="648"/>
      <c r="GW28" s="648"/>
      <c r="GX28" s="648"/>
      <c r="GY28" s="648"/>
      <c r="GZ28" s="648"/>
      <c r="HA28" s="648"/>
      <c r="HB28" s="648"/>
      <c r="HC28" s="648"/>
      <c r="HD28" s="648"/>
      <c r="HE28" s="648"/>
      <c r="HF28" s="648"/>
      <c r="HG28" s="648"/>
      <c r="HH28" s="648"/>
      <c r="HI28" s="648"/>
      <c r="HJ28" s="648"/>
      <c r="HK28" s="648"/>
      <c r="HL28" s="648"/>
      <c r="HM28" s="648"/>
      <c r="HN28" s="648"/>
      <c r="HO28" s="648"/>
      <c r="HP28" s="648"/>
      <c r="HQ28" s="648"/>
      <c r="HR28" s="648"/>
      <c r="HS28" s="648"/>
      <c r="HT28" s="648"/>
      <c r="HU28" s="648"/>
      <c r="HV28" s="648"/>
      <c r="HW28" s="648"/>
      <c r="HX28" s="648"/>
      <c r="HY28" s="648"/>
      <c r="HZ28" s="648"/>
      <c r="IA28" s="648"/>
      <c r="IB28" s="648"/>
      <c r="IC28" s="648"/>
      <c r="ID28" s="648"/>
      <c r="IE28" s="648"/>
      <c r="IF28" s="648"/>
      <c r="IG28" s="648"/>
      <c r="IH28" s="648"/>
      <c r="II28" s="648"/>
      <c r="IJ28" s="648"/>
      <c r="IK28" s="648"/>
      <c r="IL28" s="648"/>
      <c r="IM28" s="648"/>
      <c r="IN28" s="648"/>
      <c r="IO28" s="648"/>
      <c r="IP28" s="648"/>
      <c r="IQ28" s="648"/>
      <c r="IR28" s="648"/>
      <c r="IS28" s="648"/>
      <c r="IT28" s="648"/>
      <c r="IU28" s="648"/>
      <c r="IV28" s="648"/>
    </row>
    <row r="29" spans="1:256" s="313" customFormat="1" ht="88.5" customHeight="1">
      <c r="A29" s="835" t="s">
        <v>122</v>
      </c>
      <c r="B29" s="835"/>
      <c r="C29" s="835"/>
      <c r="D29" s="835"/>
      <c r="E29" s="835"/>
      <c r="F29" s="835"/>
      <c r="G29" s="835"/>
      <c r="H29" s="835"/>
      <c r="I29" s="835"/>
      <c r="J29" s="835"/>
      <c r="K29" s="835"/>
      <c r="L29" s="648"/>
      <c r="M29" s="648"/>
      <c r="N29" s="648"/>
      <c r="O29" s="648"/>
      <c r="P29" s="648"/>
      <c r="Q29" s="648"/>
      <c r="R29" s="648"/>
      <c r="S29" s="648"/>
      <c r="T29" s="648"/>
      <c r="U29" s="648"/>
      <c r="V29" s="648"/>
      <c r="W29" s="648"/>
      <c r="X29" s="648"/>
      <c r="Y29" s="648"/>
      <c r="Z29" s="648"/>
      <c r="AA29" s="649"/>
      <c r="AB29" s="649"/>
      <c r="AC29" s="648"/>
      <c r="AD29" s="648"/>
      <c r="AE29" s="648"/>
      <c r="AF29" s="648"/>
      <c r="AG29" s="648"/>
      <c r="AH29" s="648"/>
      <c r="AI29" s="648"/>
      <c r="AJ29" s="648"/>
      <c r="AK29" s="648"/>
      <c r="AL29" s="648"/>
      <c r="AM29" s="648"/>
      <c r="AN29" s="648"/>
      <c r="AO29" s="648"/>
      <c r="AP29" s="648"/>
      <c r="AQ29" s="648"/>
      <c r="AR29" s="648"/>
      <c r="AS29" s="648"/>
      <c r="AT29" s="648"/>
      <c r="AU29" s="648"/>
      <c r="AV29" s="648"/>
      <c r="AW29" s="648"/>
      <c r="AX29" s="648"/>
      <c r="AY29" s="648"/>
      <c r="AZ29" s="648"/>
      <c r="BA29" s="648"/>
      <c r="BB29" s="648"/>
      <c r="BC29" s="648"/>
      <c r="BD29" s="648"/>
      <c r="BE29" s="648"/>
      <c r="BF29" s="648"/>
      <c r="BG29" s="648"/>
      <c r="BH29" s="648"/>
      <c r="BI29" s="648"/>
      <c r="BJ29" s="648"/>
      <c r="BK29" s="648"/>
      <c r="BL29" s="648"/>
      <c r="BM29" s="648"/>
      <c r="BN29" s="648"/>
      <c r="BO29" s="648"/>
      <c r="BP29" s="648"/>
      <c r="BQ29" s="648"/>
      <c r="BR29" s="648"/>
      <c r="BS29" s="648"/>
      <c r="BT29" s="648"/>
      <c r="BU29" s="648"/>
      <c r="BV29" s="648"/>
      <c r="BW29" s="648"/>
      <c r="BX29" s="648"/>
      <c r="BY29" s="648"/>
      <c r="BZ29" s="648"/>
      <c r="CA29" s="648"/>
      <c r="CB29" s="648"/>
      <c r="CC29" s="648"/>
      <c r="CD29" s="648"/>
      <c r="CE29" s="648"/>
      <c r="CF29" s="648"/>
      <c r="CG29" s="648"/>
      <c r="CH29" s="648"/>
      <c r="CI29" s="648"/>
      <c r="CJ29" s="648"/>
      <c r="CK29" s="648"/>
      <c r="CL29" s="648"/>
      <c r="CM29" s="648"/>
      <c r="CN29" s="648"/>
      <c r="CO29" s="648"/>
      <c r="CP29" s="648"/>
      <c r="CQ29" s="648"/>
      <c r="CR29" s="648"/>
      <c r="CS29" s="648"/>
      <c r="CT29" s="648"/>
      <c r="CU29" s="648"/>
      <c r="CV29" s="648"/>
      <c r="CW29" s="648"/>
      <c r="CX29" s="648"/>
      <c r="CY29" s="648"/>
      <c r="CZ29" s="648"/>
      <c r="DA29" s="648"/>
      <c r="DB29" s="648"/>
      <c r="DC29" s="648"/>
      <c r="DD29" s="648"/>
      <c r="DE29" s="648"/>
      <c r="DF29" s="648"/>
      <c r="DG29" s="648"/>
      <c r="DH29" s="648"/>
      <c r="DI29" s="648"/>
      <c r="DJ29" s="648"/>
      <c r="DK29" s="648"/>
      <c r="DL29" s="648"/>
      <c r="DM29" s="648"/>
      <c r="DN29" s="648"/>
      <c r="DO29" s="648"/>
      <c r="DP29" s="648"/>
      <c r="DQ29" s="648"/>
      <c r="DR29" s="648"/>
      <c r="DS29" s="648"/>
      <c r="DT29" s="648"/>
      <c r="DU29" s="648"/>
      <c r="DV29" s="648"/>
      <c r="DW29" s="648"/>
      <c r="DX29" s="648"/>
      <c r="DY29" s="648"/>
      <c r="DZ29" s="648"/>
      <c r="EA29" s="648"/>
      <c r="EB29" s="648"/>
      <c r="EC29" s="648"/>
      <c r="ED29" s="648"/>
      <c r="EE29" s="648"/>
      <c r="EF29" s="648"/>
      <c r="EG29" s="648"/>
      <c r="EH29" s="648"/>
      <c r="EI29" s="648"/>
      <c r="EJ29" s="648"/>
      <c r="EK29" s="648"/>
      <c r="EL29" s="648"/>
      <c r="EM29" s="648"/>
      <c r="EN29" s="648"/>
      <c r="EO29" s="648"/>
      <c r="EP29" s="648"/>
      <c r="EQ29" s="648"/>
      <c r="ER29" s="648"/>
      <c r="ES29" s="648"/>
      <c r="ET29" s="648"/>
      <c r="EU29" s="648"/>
      <c r="EV29" s="648"/>
      <c r="EW29" s="648"/>
      <c r="EX29" s="648"/>
      <c r="EY29" s="648"/>
      <c r="EZ29" s="648"/>
      <c r="FA29" s="648"/>
      <c r="FB29" s="648"/>
      <c r="FC29" s="648"/>
      <c r="FD29" s="648"/>
      <c r="FE29" s="648"/>
      <c r="FF29" s="648"/>
      <c r="FG29" s="648"/>
      <c r="FH29" s="648"/>
      <c r="FI29" s="648"/>
      <c r="FJ29" s="648"/>
      <c r="FK29" s="648"/>
      <c r="FL29" s="648"/>
      <c r="FM29" s="648"/>
      <c r="FN29" s="648"/>
      <c r="FO29" s="648"/>
      <c r="FP29" s="648"/>
      <c r="FQ29" s="648"/>
      <c r="FR29" s="648"/>
      <c r="FS29" s="648"/>
      <c r="FT29" s="648"/>
      <c r="FU29" s="648"/>
      <c r="FV29" s="648"/>
      <c r="FW29" s="648"/>
      <c r="FX29" s="648"/>
      <c r="FY29" s="648"/>
      <c r="FZ29" s="648"/>
      <c r="GA29" s="648"/>
      <c r="GB29" s="648"/>
      <c r="GC29" s="648"/>
      <c r="GD29" s="648"/>
      <c r="GE29" s="648"/>
      <c r="GF29" s="648"/>
      <c r="GG29" s="648"/>
      <c r="GH29" s="648"/>
      <c r="GI29" s="648"/>
      <c r="GJ29" s="648"/>
      <c r="GK29" s="648"/>
      <c r="GL29" s="648"/>
      <c r="GM29" s="648"/>
      <c r="GN29" s="648"/>
      <c r="GO29" s="648"/>
      <c r="GP29" s="648"/>
      <c r="GQ29" s="648"/>
      <c r="GR29" s="648"/>
      <c r="GS29" s="648"/>
      <c r="GT29" s="648"/>
      <c r="GU29" s="648"/>
      <c r="GV29" s="648"/>
      <c r="GW29" s="648"/>
      <c r="GX29" s="648"/>
      <c r="GY29" s="648"/>
      <c r="GZ29" s="648"/>
      <c r="HA29" s="648"/>
      <c r="HB29" s="648"/>
      <c r="HC29" s="648"/>
      <c r="HD29" s="648"/>
      <c r="HE29" s="648"/>
      <c r="HF29" s="648"/>
      <c r="HG29" s="648"/>
      <c r="HH29" s="648"/>
      <c r="HI29" s="648"/>
      <c r="HJ29" s="648"/>
      <c r="HK29" s="648"/>
      <c r="HL29" s="648"/>
      <c r="HM29" s="648"/>
      <c r="HN29" s="648"/>
      <c r="HO29" s="648"/>
      <c r="HP29" s="648"/>
      <c r="HQ29" s="648"/>
      <c r="HR29" s="648"/>
      <c r="HS29" s="648"/>
      <c r="HT29" s="648"/>
      <c r="HU29" s="648"/>
      <c r="HV29" s="648"/>
      <c r="HW29" s="648"/>
      <c r="HX29" s="648"/>
      <c r="HY29" s="648"/>
      <c r="HZ29" s="648"/>
      <c r="IA29" s="648"/>
      <c r="IB29" s="648"/>
      <c r="IC29" s="648"/>
      <c r="ID29" s="648"/>
      <c r="IE29" s="648"/>
      <c r="IF29" s="648"/>
      <c r="IG29" s="648"/>
      <c r="IH29" s="648"/>
      <c r="II29" s="648"/>
      <c r="IJ29" s="648"/>
      <c r="IK29" s="648"/>
      <c r="IL29" s="648"/>
      <c r="IM29" s="648"/>
      <c r="IN29" s="648"/>
      <c r="IO29" s="648"/>
      <c r="IP29" s="648"/>
      <c r="IQ29" s="648"/>
      <c r="IR29" s="648"/>
      <c r="IS29" s="648"/>
      <c r="IT29" s="648"/>
      <c r="IU29" s="648"/>
      <c r="IV29" s="648"/>
    </row>
    <row r="30" spans="1:256" s="313" customFormat="1" ht="24.75" customHeight="1">
      <c r="A30" s="835" t="s">
        <v>953</v>
      </c>
      <c r="B30" s="835"/>
      <c r="C30" s="835"/>
      <c r="D30" s="835"/>
      <c r="E30" s="835"/>
      <c r="F30" s="835"/>
      <c r="G30" s="835"/>
      <c r="H30" s="835"/>
      <c r="I30" s="835"/>
      <c r="J30" s="835"/>
      <c r="K30" s="835"/>
      <c r="L30" s="648"/>
      <c r="M30" s="648"/>
      <c r="N30" s="648"/>
      <c r="O30" s="648"/>
      <c r="P30" s="648"/>
      <c r="Q30" s="648"/>
      <c r="R30" s="648"/>
      <c r="S30" s="648"/>
      <c r="T30" s="648"/>
      <c r="U30" s="648"/>
      <c r="V30" s="648"/>
      <c r="W30" s="648"/>
      <c r="X30" s="648"/>
      <c r="Y30" s="648"/>
      <c r="Z30" s="648"/>
      <c r="AA30" s="649"/>
      <c r="AB30" s="649"/>
      <c r="AC30" s="648"/>
      <c r="AD30" s="648"/>
      <c r="AE30" s="648"/>
      <c r="AF30" s="648"/>
      <c r="AG30" s="648"/>
      <c r="AH30" s="648"/>
      <c r="AI30" s="648"/>
      <c r="AJ30" s="648"/>
      <c r="AK30" s="648"/>
      <c r="AL30" s="648"/>
      <c r="AM30" s="648"/>
      <c r="AN30" s="648"/>
      <c r="AO30" s="648"/>
      <c r="AP30" s="648"/>
      <c r="AQ30" s="648"/>
      <c r="AR30" s="648"/>
      <c r="AS30" s="648"/>
      <c r="AT30" s="648"/>
      <c r="AU30" s="648"/>
      <c r="AV30" s="648"/>
      <c r="AW30" s="648"/>
      <c r="AX30" s="648"/>
      <c r="AY30" s="648"/>
      <c r="AZ30" s="648"/>
      <c r="BA30" s="648"/>
      <c r="BB30" s="648"/>
      <c r="BC30" s="648"/>
      <c r="BD30" s="648"/>
      <c r="BE30" s="648"/>
      <c r="BF30" s="648"/>
      <c r="BG30" s="648"/>
      <c r="BH30" s="648"/>
      <c r="BI30" s="648"/>
      <c r="BJ30" s="648"/>
      <c r="BK30" s="648"/>
      <c r="BL30" s="648"/>
      <c r="BM30" s="648"/>
      <c r="BN30" s="648"/>
      <c r="BO30" s="648"/>
      <c r="BP30" s="648"/>
      <c r="BQ30" s="648"/>
      <c r="BR30" s="648"/>
      <c r="BS30" s="648"/>
      <c r="BT30" s="648"/>
      <c r="BU30" s="648"/>
      <c r="BV30" s="648"/>
      <c r="BW30" s="648"/>
      <c r="BX30" s="648"/>
      <c r="BY30" s="648"/>
      <c r="BZ30" s="648"/>
      <c r="CA30" s="648"/>
      <c r="CB30" s="648"/>
      <c r="CC30" s="648"/>
      <c r="CD30" s="648"/>
      <c r="CE30" s="648"/>
      <c r="CF30" s="648"/>
      <c r="CG30" s="648"/>
      <c r="CH30" s="648"/>
      <c r="CI30" s="648"/>
      <c r="CJ30" s="648"/>
      <c r="CK30" s="648"/>
      <c r="CL30" s="648"/>
      <c r="CM30" s="648"/>
      <c r="CN30" s="648"/>
      <c r="CO30" s="648"/>
      <c r="CP30" s="648"/>
      <c r="CQ30" s="648"/>
      <c r="CR30" s="648"/>
      <c r="CS30" s="648"/>
      <c r="CT30" s="648"/>
      <c r="CU30" s="648"/>
      <c r="CV30" s="648"/>
      <c r="CW30" s="648"/>
      <c r="CX30" s="648"/>
      <c r="CY30" s="648"/>
      <c r="CZ30" s="648"/>
      <c r="DA30" s="648"/>
      <c r="DB30" s="648"/>
      <c r="DC30" s="648"/>
      <c r="DD30" s="648"/>
      <c r="DE30" s="648"/>
      <c r="DF30" s="648"/>
      <c r="DG30" s="648"/>
      <c r="DH30" s="648"/>
      <c r="DI30" s="648"/>
      <c r="DJ30" s="648"/>
      <c r="DK30" s="648"/>
      <c r="DL30" s="648"/>
      <c r="DM30" s="648"/>
      <c r="DN30" s="648"/>
      <c r="DO30" s="648"/>
      <c r="DP30" s="648"/>
      <c r="DQ30" s="648"/>
      <c r="DR30" s="648"/>
      <c r="DS30" s="648"/>
      <c r="DT30" s="648"/>
      <c r="DU30" s="648"/>
      <c r="DV30" s="648"/>
      <c r="DW30" s="648"/>
      <c r="DX30" s="648"/>
      <c r="DY30" s="648"/>
      <c r="DZ30" s="648"/>
      <c r="EA30" s="648"/>
      <c r="EB30" s="648"/>
      <c r="EC30" s="648"/>
      <c r="ED30" s="648"/>
      <c r="EE30" s="648"/>
      <c r="EF30" s="648"/>
      <c r="EG30" s="648"/>
      <c r="EH30" s="648"/>
      <c r="EI30" s="648"/>
      <c r="EJ30" s="648"/>
      <c r="EK30" s="648"/>
      <c r="EL30" s="648"/>
      <c r="EM30" s="648"/>
      <c r="EN30" s="648"/>
      <c r="EO30" s="648"/>
      <c r="EP30" s="648"/>
      <c r="EQ30" s="648"/>
      <c r="ER30" s="648"/>
      <c r="ES30" s="648"/>
      <c r="ET30" s="648"/>
      <c r="EU30" s="648"/>
      <c r="EV30" s="648"/>
      <c r="EW30" s="648"/>
      <c r="EX30" s="648"/>
      <c r="EY30" s="648"/>
      <c r="EZ30" s="648"/>
      <c r="FA30" s="648"/>
      <c r="FB30" s="648"/>
      <c r="FC30" s="648"/>
      <c r="FD30" s="648"/>
      <c r="FE30" s="648"/>
      <c r="FF30" s="648"/>
      <c r="FG30" s="648"/>
      <c r="FH30" s="648"/>
      <c r="FI30" s="648"/>
      <c r="FJ30" s="648"/>
      <c r="FK30" s="648"/>
      <c r="FL30" s="648"/>
      <c r="FM30" s="648"/>
      <c r="FN30" s="648"/>
      <c r="FO30" s="648"/>
      <c r="FP30" s="648"/>
      <c r="FQ30" s="648"/>
      <c r="FR30" s="648"/>
      <c r="FS30" s="648"/>
      <c r="FT30" s="648"/>
      <c r="FU30" s="648"/>
      <c r="FV30" s="648"/>
      <c r="FW30" s="648"/>
      <c r="FX30" s="648"/>
      <c r="FY30" s="648"/>
      <c r="FZ30" s="648"/>
      <c r="GA30" s="648"/>
      <c r="GB30" s="648"/>
      <c r="GC30" s="648"/>
      <c r="GD30" s="648"/>
      <c r="GE30" s="648"/>
      <c r="GF30" s="648"/>
      <c r="GG30" s="648"/>
      <c r="GH30" s="648"/>
      <c r="GI30" s="648"/>
      <c r="GJ30" s="648"/>
      <c r="GK30" s="648"/>
      <c r="GL30" s="648"/>
      <c r="GM30" s="648"/>
      <c r="GN30" s="648"/>
      <c r="GO30" s="648"/>
      <c r="GP30" s="648"/>
      <c r="GQ30" s="648"/>
      <c r="GR30" s="648"/>
      <c r="GS30" s="648"/>
      <c r="GT30" s="648"/>
      <c r="GU30" s="648"/>
      <c r="GV30" s="648"/>
      <c r="GW30" s="648"/>
      <c r="GX30" s="648"/>
      <c r="GY30" s="648"/>
      <c r="GZ30" s="648"/>
      <c r="HA30" s="648"/>
      <c r="HB30" s="648"/>
      <c r="HC30" s="648"/>
      <c r="HD30" s="648"/>
      <c r="HE30" s="648"/>
      <c r="HF30" s="648"/>
      <c r="HG30" s="648"/>
      <c r="HH30" s="648"/>
      <c r="HI30" s="648"/>
      <c r="HJ30" s="648"/>
      <c r="HK30" s="648"/>
      <c r="HL30" s="648"/>
      <c r="HM30" s="648"/>
      <c r="HN30" s="648"/>
      <c r="HO30" s="648"/>
      <c r="HP30" s="648"/>
      <c r="HQ30" s="648"/>
      <c r="HR30" s="648"/>
      <c r="HS30" s="648"/>
      <c r="HT30" s="648"/>
      <c r="HU30" s="648"/>
      <c r="HV30" s="648"/>
      <c r="HW30" s="648"/>
      <c r="HX30" s="648"/>
      <c r="HY30" s="648"/>
      <c r="HZ30" s="648"/>
      <c r="IA30" s="648"/>
      <c r="IB30" s="648"/>
      <c r="IC30" s="648"/>
      <c r="ID30" s="648"/>
      <c r="IE30" s="648"/>
      <c r="IF30" s="648"/>
      <c r="IG30" s="648"/>
      <c r="IH30" s="648"/>
      <c r="II30" s="648"/>
      <c r="IJ30" s="648"/>
      <c r="IK30" s="648"/>
      <c r="IL30" s="648"/>
      <c r="IM30" s="648"/>
      <c r="IN30" s="648"/>
      <c r="IO30" s="648"/>
      <c r="IP30" s="648"/>
      <c r="IQ30" s="648"/>
      <c r="IR30" s="648"/>
      <c r="IS30" s="648"/>
      <c r="IT30" s="648"/>
      <c r="IU30" s="648"/>
      <c r="IV30" s="648"/>
    </row>
    <row r="31" spans="1:256" s="313" customFormat="1">
      <c r="A31" s="835" t="s">
        <v>846</v>
      </c>
      <c r="B31" s="835"/>
      <c r="C31" s="835"/>
      <c r="D31" s="835"/>
      <c r="E31" s="835"/>
      <c r="F31" s="835"/>
      <c r="G31" s="835"/>
      <c r="H31" s="835"/>
      <c r="I31" s="835"/>
      <c r="J31" s="835"/>
      <c r="K31" s="835"/>
      <c r="L31" s="648"/>
      <c r="M31" s="648"/>
      <c r="N31" s="648"/>
      <c r="O31" s="648"/>
      <c r="P31" s="648"/>
      <c r="Q31" s="648"/>
      <c r="R31" s="648"/>
      <c r="S31" s="648"/>
      <c r="T31" s="648"/>
      <c r="U31" s="648"/>
      <c r="V31" s="648"/>
      <c r="W31" s="648"/>
      <c r="X31" s="648"/>
      <c r="Y31" s="648"/>
      <c r="Z31" s="648"/>
      <c r="AA31" s="649"/>
      <c r="AB31" s="649"/>
      <c r="AC31" s="648"/>
      <c r="AD31" s="648"/>
      <c r="AE31" s="648"/>
      <c r="AF31" s="648"/>
      <c r="AG31" s="648"/>
      <c r="AH31" s="648"/>
      <c r="AI31" s="648"/>
      <c r="AJ31" s="648"/>
      <c r="AK31" s="648"/>
      <c r="AL31" s="648"/>
      <c r="AM31" s="648"/>
      <c r="AN31" s="648"/>
      <c r="AO31" s="648"/>
      <c r="AP31" s="648"/>
      <c r="AQ31" s="648"/>
      <c r="AR31" s="648"/>
      <c r="AS31" s="648"/>
      <c r="AT31" s="648"/>
      <c r="AU31" s="648"/>
      <c r="AV31" s="648"/>
      <c r="AW31" s="648"/>
      <c r="AX31" s="648"/>
      <c r="AY31" s="648"/>
      <c r="AZ31" s="648"/>
      <c r="BA31" s="648"/>
      <c r="BB31" s="648"/>
      <c r="BC31" s="648"/>
      <c r="BD31" s="648"/>
      <c r="BE31" s="648"/>
      <c r="BF31" s="648"/>
      <c r="BG31" s="648"/>
      <c r="BH31" s="648"/>
      <c r="BI31" s="648"/>
      <c r="BJ31" s="648"/>
      <c r="BK31" s="648"/>
      <c r="BL31" s="648"/>
      <c r="BM31" s="648"/>
      <c r="BN31" s="648"/>
      <c r="BO31" s="648"/>
      <c r="BP31" s="648"/>
      <c r="BQ31" s="648"/>
      <c r="BR31" s="648"/>
      <c r="BS31" s="648"/>
      <c r="BT31" s="648"/>
      <c r="BU31" s="648"/>
      <c r="BV31" s="648"/>
      <c r="BW31" s="648"/>
      <c r="BX31" s="648"/>
      <c r="BY31" s="648"/>
      <c r="BZ31" s="648"/>
      <c r="CA31" s="648"/>
      <c r="CB31" s="648"/>
      <c r="CC31" s="648"/>
      <c r="CD31" s="648"/>
      <c r="CE31" s="648"/>
      <c r="CF31" s="648"/>
      <c r="CG31" s="648"/>
      <c r="CH31" s="648"/>
      <c r="CI31" s="648"/>
      <c r="CJ31" s="648"/>
      <c r="CK31" s="648"/>
      <c r="CL31" s="648"/>
      <c r="CM31" s="648"/>
      <c r="CN31" s="648"/>
      <c r="CO31" s="648"/>
      <c r="CP31" s="648"/>
      <c r="CQ31" s="648"/>
      <c r="CR31" s="648"/>
      <c r="CS31" s="648"/>
      <c r="CT31" s="648"/>
      <c r="CU31" s="648"/>
      <c r="CV31" s="648"/>
      <c r="CW31" s="648"/>
      <c r="CX31" s="648"/>
      <c r="CY31" s="648"/>
      <c r="CZ31" s="648"/>
      <c r="DA31" s="648"/>
      <c r="DB31" s="648"/>
      <c r="DC31" s="648"/>
      <c r="DD31" s="648"/>
      <c r="DE31" s="648"/>
      <c r="DF31" s="648"/>
      <c r="DG31" s="648"/>
      <c r="DH31" s="648"/>
      <c r="DI31" s="648"/>
      <c r="DJ31" s="648"/>
      <c r="DK31" s="648"/>
      <c r="DL31" s="648"/>
      <c r="DM31" s="648"/>
      <c r="DN31" s="648"/>
      <c r="DO31" s="648"/>
      <c r="DP31" s="648"/>
      <c r="DQ31" s="648"/>
      <c r="DR31" s="648"/>
      <c r="DS31" s="648"/>
      <c r="DT31" s="648"/>
      <c r="DU31" s="648"/>
      <c r="DV31" s="648"/>
      <c r="DW31" s="648"/>
      <c r="DX31" s="648"/>
      <c r="DY31" s="648"/>
      <c r="DZ31" s="648"/>
      <c r="EA31" s="648"/>
      <c r="EB31" s="648"/>
      <c r="EC31" s="648"/>
      <c r="ED31" s="648"/>
      <c r="EE31" s="648"/>
      <c r="EF31" s="648"/>
      <c r="EG31" s="648"/>
      <c r="EH31" s="648"/>
      <c r="EI31" s="648"/>
      <c r="EJ31" s="648"/>
      <c r="EK31" s="648"/>
      <c r="EL31" s="648"/>
      <c r="EM31" s="648"/>
      <c r="EN31" s="648"/>
      <c r="EO31" s="648"/>
      <c r="EP31" s="648"/>
      <c r="EQ31" s="648"/>
      <c r="ER31" s="648"/>
      <c r="ES31" s="648"/>
      <c r="ET31" s="648"/>
      <c r="EU31" s="648"/>
      <c r="EV31" s="648"/>
      <c r="EW31" s="648"/>
      <c r="EX31" s="648"/>
      <c r="EY31" s="648"/>
      <c r="EZ31" s="648"/>
      <c r="FA31" s="648"/>
      <c r="FB31" s="648"/>
      <c r="FC31" s="648"/>
      <c r="FD31" s="648"/>
      <c r="FE31" s="648"/>
      <c r="FF31" s="648"/>
      <c r="FG31" s="648"/>
      <c r="FH31" s="648"/>
      <c r="FI31" s="648"/>
      <c r="FJ31" s="648"/>
      <c r="FK31" s="648"/>
      <c r="FL31" s="648"/>
      <c r="FM31" s="648"/>
      <c r="FN31" s="648"/>
      <c r="FO31" s="648"/>
      <c r="FP31" s="648"/>
      <c r="FQ31" s="648"/>
      <c r="FR31" s="648"/>
      <c r="FS31" s="648"/>
      <c r="FT31" s="648"/>
      <c r="FU31" s="648"/>
      <c r="FV31" s="648"/>
      <c r="FW31" s="648"/>
      <c r="FX31" s="648"/>
      <c r="FY31" s="648"/>
      <c r="FZ31" s="648"/>
      <c r="GA31" s="648"/>
      <c r="GB31" s="648"/>
      <c r="GC31" s="648"/>
      <c r="GD31" s="648"/>
      <c r="GE31" s="648"/>
      <c r="GF31" s="648"/>
      <c r="GG31" s="648"/>
      <c r="GH31" s="648"/>
      <c r="GI31" s="648"/>
      <c r="GJ31" s="648"/>
      <c r="GK31" s="648"/>
      <c r="GL31" s="648"/>
      <c r="GM31" s="648"/>
      <c r="GN31" s="648"/>
      <c r="GO31" s="648"/>
      <c r="GP31" s="648"/>
      <c r="GQ31" s="648"/>
      <c r="GR31" s="648"/>
      <c r="GS31" s="648"/>
      <c r="GT31" s="648"/>
      <c r="GU31" s="648"/>
      <c r="GV31" s="648"/>
      <c r="GW31" s="648"/>
      <c r="GX31" s="648"/>
      <c r="GY31" s="648"/>
      <c r="GZ31" s="648"/>
      <c r="HA31" s="648"/>
      <c r="HB31" s="648"/>
      <c r="HC31" s="648"/>
      <c r="HD31" s="648"/>
      <c r="HE31" s="648"/>
      <c r="HF31" s="648"/>
      <c r="HG31" s="648"/>
      <c r="HH31" s="648"/>
      <c r="HI31" s="648"/>
      <c r="HJ31" s="648"/>
      <c r="HK31" s="648"/>
      <c r="HL31" s="648"/>
      <c r="HM31" s="648"/>
      <c r="HN31" s="648"/>
      <c r="HO31" s="648"/>
      <c r="HP31" s="648"/>
      <c r="HQ31" s="648"/>
      <c r="HR31" s="648"/>
      <c r="HS31" s="648"/>
      <c r="HT31" s="648"/>
      <c r="HU31" s="648"/>
      <c r="HV31" s="648"/>
      <c r="HW31" s="648"/>
      <c r="HX31" s="648"/>
      <c r="HY31" s="648"/>
      <c r="HZ31" s="648"/>
      <c r="IA31" s="648"/>
      <c r="IB31" s="648"/>
      <c r="IC31" s="648"/>
      <c r="ID31" s="648"/>
      <c r="IE31" s="648"/>
      <c r="IF31" s="648"/>
      <c r="IG31" s="648"/>
      <c r="IH31" s="648"/>
      <c r="II31" s="648"/>
      <c r="IJ31" s="648"/>
      <c r="IK31" s="648"/>
      <c r="IL31" s="648"/>
      <c r="IM31" s="648"/>
      <c r="IN31" s="648"/>
      <c r="IO31" s="648"/>
      <c r="IP31" s="648"/>
      <c r="IQ31" s="648"/>
      <c r="IR31" s="648"/>
      <c r="IS31" s="648"/>
      <c r="IT31" s="648"/>
      <c r="IU31" s="648"/>
      <c r="IV31" s="648"/>
    </row>
    <row r="32" spans="1:256" s="313" customFormat="1" ht="39" customHeight="1">
      <c r="A32" s="839" t="s">
        <v>120</v>
      </c>
      <c r="B32" s="839"/>
      <c r="C32" s="839"/>
      <c r="D32" s="839"/>
      <c r="E32" s="839"/>
      <c r="F32" s="839"/>
      <c r="G32" s="839"/>
      <c r="H32" s="839"/>
      <c r="I32" s="839"/>
      <c r="J32" s="839"/>
      <c r="K32" s="839"/>
      <c r="S32" s="561"/>
    </row>
    <row r="33" spans="1:256" s="313" customFormat="1">
      <c r="A33" s="566" t="str">
        <f>IF('2-Cotización'!$F$35=0%,"According to Mexican law it is obligatory to fulfill the following requirements in order to apply 0% VAT policy: A) Quote signed by the client, copies of: B)Contact's passport, ","")</f>
        <v/>
      </c>
      <c r="B33" s="567"/>
      <c r="C33" s="567"/>
      <c r="D33" s="567"/>
      <c r="E33" s="568"/>
      <c r="F33" s="567"/>
      <c r="G33" s="567"/>
      <c r="H33" s="567"/>
      <c r="I33" s="567"/>
      <c r="J33" s="567"/>
      <c r="K33" s="567"/>
      <c r="S33" s="561"/>
    </row>
    <row r="34" spans="1:256" s="313" customFormat="1">
      <c r="A34" s="566" t="str">
        <f>IF('2-Cotización'!$F$35=0%,"C) Airport´s migration document, D) Hotel's registration form and E) Complete payment needs to be done with check or wire transfer from an foreign bank.","")</f>
        <v/>
      </c>
      <c r="B34" s="567"/>
      <c r="C34" s="567"/>
      <c r="D34" s="567"/>
      <c r="E34" s="568"/>
      <c r="F34" s="567"/>
      <c r="G34" s="567"/>
      <c r="H34" s="567"/>
      <c r="I34" s="567"/>
      <c r="J34" s="567"/>
      <c r="K34" s="567"/>
      <c r="S34" s="561"/>
    </row>
    <row r="35" spans="1:256" s="313" customFormat="1" ht="74.25" customHeight="1">
      <c r="A35" s="838" t="s">
        <v>143</v>
      </c>
      <c r="B35" s="838"/>
      <c r="C35" s="838"/>
      <c r="D35" s="838"/>
      <c r="E35" s="838"/>
      <c r="F35" s="838"/>
      <c r="G35" s="838"/>
      <c r="H35" s="838"/>
      <c r="I35" s="838"/>
      <c r="J35" s="838"/>
      <c r="K35" s="838"/>
      <c r="S35" s="561"/>
    </row>
    <row r="36" spans="1:256" s="313" customFormat="1" ht="50.25" customHeight="1">
      <c r="A36" s="838" t="s">
        <v>117</v>
      </c>
      <c r="B36" s="838"/>
      <c r="C36" s="838"/>
      <c r="D36" s="838"/>
      <c r="E36" s="838"/>
      <c r="F36" s="838"/>
      <c r="G36" s="838"/>
      <c r="H36" s="838"/>
      <c r="I36" s="838"/>
      <c r="J36" s="838"/>
      <c r="K36" s="838"/>
      <c r="L36" s="648"/>
      <c r="M36" s="648"/>
      <c r="N36" s="648"/>
      <c r="O36" s="648"/>
      <c r="P36" s="648"/>
      <c r="Q36" s="648"/>
      <c r="R36" s="648"/>
      <c r="S36" s="648"/>
      <c r="T36" s="648"/>
      <c r="U36" s="648"/>
      <c r="V36" s="648"/>
      <c r="W36" s="648"/>
      <c r="X36" s="648"/>
      <c r="Y36" s="648"/>
      <c r="Z36" s="648"/>
      <c r="AA36" s="649"/>
      <c r="AB36" s="649"/>
      <c r="AC36" s="648"/>
      <c r="AD36" s="648"/>
      <c r="AE36" s="648"/>
      <c r="AF36" s="648"/>
      <c r="AG36" s="648"/>
      <c r="AH36" s="648"/>
      <c r="AI36" s="648"/>
      <c r="AJ36" s="648"/>
      <c r="AK36" s="648"/>
      <c r="AL36" s="648"/>
      <c r="AM36" s="648"/>
      <c r="AN36" s="648"/>
      <c r="AO36" s="648"/>
      <c r="AP36" s="648"/>
      <c r="AQ36" s="648"/>
      <c r="AR36" s="648"/>
      <c r="AS36" s="648"/>
      <c r="AT36" s="648"/>
      <c r="AU36" s="648"/>
      <c r="AV36" s="648"/>
      <c r="AW36" s="648"/>
      <c r="AX36" s="648"/>
      <c r="AY36" s="648"/>
      <c r="AZ36" s="648"/>
      <c r="BA36" s="648"/>
      <c r="BB36" s="648"/>
      <c r="BC36" s="648"/>
      <c r="BD36" s="648"/>
      <c r="BE36" s="648"/>
      <c r="BF36" s="648"/>
      <c r="BG36" s="648"/>
      <c r="BH36" s="648"/>
      <c r="BI36" s="648"/>
      <c r="BJ36" s="648"/>
      <c r="BK36" s="648"/>
      <c r="BL36" s="648"/>
      <c r="BM36" s="648"/>
      <c r="BN36" s="648"/>
      <c r="BO36" s="648"/>
      <c r="BP36" s="648"/>
      <c r="BQ36" s="648"/>
      <c r="BR36" s="648"/>
      <c r="BS36" s="648"/>
      <c r="BT36" s="648"/>
      <c r="BU36" s="648"/>
      <c r="BV36" s="648"/>
      <c r="BW36" s="648"/>
      <c r="BX36" s="648"/>
      <c r="BY36" s="648"/>
      <c r="BZ36" s="648"/>
      <c r="CA36" s="648"/>
      <c r="CB36" s="648"/>
      <c r="CC36" s="648"/>
      <c r="CD36" s="648"/>
      <c r="CE36" s="648"/>
      <c r="CF36" s="648"/>
      <c r="CG36" s="648"/>
      <c r="CH36" s="648"/>
      <c r="CI36" s="648"/>
      <c r="CJ36" s="648"/>
      <c r="CK36" s="648"/>
      <c r="CL36" s="648"/>
      <c r="CM36" s="648"/>
      <c r="CN36" s="648"/>
      <c r="CO36" s="648"/>
      <c r="CP36" s="648"/>
      <c r="CQ36" s="648"/>
      <c r="CR36" s="648"/>
      <c r="CS36" s="648"/>
      <c r="CT36" s="648"/>
      <c r="CU36" s="648"/>
      <c r="CV36" s="648"/>
      <c r="CW36" s="648"/>
      <c r="CX36" s="648"/>
      <c r="CY36" s="648"/>
      <c r="CZ36" s="648"/>
      <c r="DA36" s="648"/>
      <c r="DB36" s="648"/>
      <c r="DC36" s="648"/>
      <c r="DD36" s="648"/>
      <c r="DE36" s="648"/>
      <c r="DF36" s="648"/>
      <c r="DG36" s="648"/>
      <c r="DH36" s="648"/>
      <c r="DI36" s="648"/>
      <c r="DJ36" s="648"/>
      <c r="DK36" s="648"/>
      <c r="DL36" s="648"/>
      <c r="DM36" s="648"/>
      <c r="DN36" s="648"/>
      <c r="DO36" s="648"/>
      <c r="DP36" s="648"/>
      <c r="DQ36" s="648"/>
      <c r="DR36" s="648"/>
      <c r="DS36" s="648"/>
      <c r="DT36" s="648"/>
      <c r="DU36" s="648"/>
      <c r="DV36" s="648"/>
      <c r="DW36" s="648"/>
      <c r="DX36" s="648"/>
      <c r="DY36" s="648"/>
      <c r="DZ36" s="648"/>
      <c r="EA36" s="648"/>
      <c r="EB36" s="648"/>
      <c r="EC36" s="648"/>
      <c r="ED36" s="648"/>
      <c r="EE36" s="648"/>
      <c r="EF36" s="648"/>
      <c r="EG36" s="648"/>
      <c r="EH36" s="648"/>
      <c r="EI36" s="648"/>
      <c r="EJ36" s="648"/>
      <c r="EK36" s="648"/>
      <c r="EL36" s="648"/>
      <c r="EM36" s="648"/>
      <c r="EN36" s="648"/>
      <c r="EO36" s="648"/>
      <c r="EP36" s="648"/>
      <c r="EQ36" s="648"/>
      <c r="ER36" s="648"/>
      <c r="ES36" s="648"/>
      <c r="ET36" s="648"/>
      <c r="EU36" s="648"/>
      <c r="EV36" s="648"/>
      <c r="EW36" s="648"/>
      <c r="EX36" s="648"/>
      <c r="EY36" s="648"/>
      <c r="EZ36" s="648"/>
      <c r="FA36" s="648"/>
      <c r="FB36" s="648"/>
      <c r="FC36" s="648"/>
      <c r="FD36" s="648"/>
      <c r="FE36" s="648"/>
      <c r="FF36" s="648"/>
      <c r="FG36" s="648"/>
      <c r="FH36" s="648"/>
      <c r="FI36" s="648"/>
      <c r="FJ36" s="648"/>
      <c r="FK36" s="648"/>
      <c r="FL36" s="648"/>
      <c r="FM36" s="648"/>
      <c r="FN36" s="648"/>
      <c r="FO36" s="648"/>
      <c r="FP36" s="648"/>
      <c r="FQ36" s="648"/>
      <c r="FR36" s="648"/>
      <c r="FS36" s="648"/>
      <c r="FT36" s="648"/>
      <c r="FU36" s="648"/>
      <c r="FV36" s="648"/>
      <c r="FW36" s="648"/>
      <c r="FX36" s="648"/>
      <c r="FY36" s="648"/>
      <c r="FZ36" s="648"/>
      <c r="GA36" s="648"/>
      <c r="GB36" s="648"/>
      <c r="GC36" s="648"/>
      <c r="GD36" s="648"/>
      <c r="GE36" s="648"/>
      <c r="GF36" s="648"/>
      <c r="GG36" s="648"/>
      <c r="GH36" s="648"/>
      <c r="GI36" s="648"/>
      <c r="GJ36" s="648"/>
      <c r="GK36" s="648"/>
      <c r="GL36" s="648"/>
      <c r="GM36" s="648"/>
      <c r="GN36" s="648"/>
      <c r="GO36" s="648"/>
      <c r="GP36" s="648"/>
      <c r="GQ36" s="648"/>
      <c r="GR36" s="648"/>
      <c r="GS36" s="648"/>
      <c r="GT36" s="648"/>
      <c r="GU36" s="648"/>
      <c r="GV36" s="648"/>
      <c r="GW36" s="648"/>
      <c r="GX36" s="648"/>
      <c r="GY36" s="648"/>
      <c r="GZ36" s="648"/>
      <c r="HA36" s="648"/>
      <c r="HB36" s="648"/>
      <c r="HC36" s="648"/>
      <c r="HD36" s="648"/>
      <c r="HE36" s="648"/>
      <c r="HF36" s="648"/>
      <c r="HG36" s="648"/>
      <c r="HH36" s="648"/>
      <c r="HI36" s="648"/>
      <c r="HJ36" s="648"/>
      <c r="HK36" s="648"/>
      <c r="HL36" s="648"/>
      <c r="HM36" s="648"/>
      <c r="HN36" s="648"/>
      <c r="HO36" s="648"/>
      <c r="HP36" s="648"/>
      <c r="HQ36" s="648"/>
      <c r="HR36" s="648"/>
      <c r="HS36" s="648"/>
      <c r="HT36" s="648"/>
      <c r="HU36" s="648"/>
      <c r="HV36" s="648"/>
      <c r="HW36" s="648"/>
      <c r="HX36" s="648"/>
      <c r="HY36" s="648"/>
      <c r="HZ36" s="648"/>
      <c r="IA36" s="648"/>
      <c r="IB36" s="648"/>
      <c r="IC36" s="648"/>
      <c r="ID36" s="648"/>
      <c r="IE36" s="648"/>
      <c r="IF36" s="648"/>
      <c r="IG36" s="648"/>
      <c r="IH36" s="648"/>
      <c r="II36" s="648"/>
      <c r="IJ36" s="648"/>
      <c r="IK36" s="648"/>
      <c r="IL36" s="648"/>
      <c r="IM36" s="648"/>
      <c r="IN36" s="648"/>
      <c r="IO36" s="648"/>
      <c r="IP36" s="648"/>
      <c r="IQ36" s="648"/>
      <c r="IR36" s="648"/>
      <c r="IS36" s="648"/>
      <c r="IT36" s="648"/>
      <c r="IU36" s="648"/>
      <c r="IV36" s="648"/>
    </row>
    <row r="37" spans="1:256" s="313" customFormat="1" ht="26.25" customHeight="1">
      <c r="A37" s="838" t="s">
        <v>118</v>
      </c>
      <c r="B37" s="838"/>
      <c r="C37" s="838"/>
      <c r="D37" s="838"/>
      <c r="E37" s="838"/>
      <c r="F37" s="838"/>
      <c r="G37" s="838"/>
      <c r="H37" s="838"/>
      <c r="I37" s="838"/>
      <c r="J37" s="838"/>
      <c r="K37" s="838"/>
      <c r="L37" s="648"/>
      <c r="M37" s="648"/>
      <c r="N37" s="648"/>
      <c r="O37" s="648"/>
      <c r="P37" s="648"/>
      <c r="Q37" s="648"/>
      <c r="R37" s="648"/>
      <c r="S37" s="648"/>
      <c r="T37" s="648"/>
      <c r="U37" s="648"/>
      <c r="V37" s="648"/>
      <c r="W37" s="648"/>
      <c r="X37" s="648"/>
      <c r="Y37" s="648"/>
      <c r="Z37" s="648"/>
      <c r="AA37" s="649"/>
      <c r="AB37" s="649"/>
      <c r="AC37" s="648"/>
      <c r="AD37" s="648"/>
      <c r="AE37" s="648"/>
      <c r="AF37" s="648"/>
      <c r="AG37" s="648"/>
      <c r="AH37" s="648"/>
      <c r="AI37" s="648"/>
      <c r="AJ37" s="648"/>
      <c r="AK37" s="648"/>
      <c r="AL37" s="648"/>
      <c r="AM37" s="648"/>
      <c r="AN37" s="648"/>
      <c r="AO37" s="648"/>
      <c r="AP37" s="648"/>
      <c r="AQ37" s="648"/>
      <c r="AR37" s="648"/>
      <c r="AS37" s="648"/>
      <c r="AT37" s="648"/>
      <c r="AU37" s="648"/>
      <c r="AV37" s="648"/>
      <c r="AW37" s="648"/>
      <c r="AX37" s="648"/>
      <c r="AY37" s="648"/>
      <c r="AZ37" s="648"/>
      <c r="BA37" s="648"/>
      <c r="BB37" s="648"/>
      <c r="BC37" s="648"/>
      <c r="BD37" s="648"/>
      <c r="BE37" s="648"/>
      <c r="BF37" s="648"/>
      <c r="BG37" s="648"/>
      <c r="BH37" s="648"/>
      <c r="BI37" s="648"/>
      <c r="BJ37" s="648"/>
      <c r="BK37" s="648"/>
      <c r="BL37" s="648"/>
      <c r="BM37" s="648"/>
      <c r="BN37" s="648"/>
      <c r="BO37" s="648"/>
      <c r="BP37" s="648"/>
      <c r="BQ37" s="648"/>
      <c r="BR37" s="648"/>
      <c r="BS37" s="648"/>
      <c r="BT37" s="648"/>
      <c r="BU37" s="648"/>
      <c r="BV37" s="648"/>
      <c r="BW37" s="648"/>
      <c r="BX37" s="648"/>
      <c r="BY37" s="648"/>
      <c r="BZ37" s="648"/>
      <c r="CA37" s="648"/>
      <c r="CB37" s="648"/>
      <c r="CC37" s="648"/>
      <c r="CD37" s="648"/>
      <c r="CE37" s="648"/>
      <c r="CF37" s="648"/>
      <c r="CG37" s="648"/>
      <c r="CH37" s="648"/>
      <c r="CI37" s="648"/>
      <c r="CJ37" s="648"/>
      <c r="CK37" s="648"/>
      <c r="CL37" s="648"/>
      <c r="CM37" s="648"/>
      <c r="CN37" s="648"/>
      <c r="CO37" s="648"/>
      <c r="CP37" s="648"/>
      <c r="CQ37" s="648"/>
      <c r="CR37" s="648"/>
      <c r="CS37" s="648"/>
      <c r="CT37" s="648"/>
      <c r="CU37" s="648"/>
      <c r="CV37" s="648"/>
      <c r="CW37" s="648"/>
      <c r="CX37" s="648"/>
      <c r="CY37" s="648"/>
      <c r="CZ37" s="648"/>
      <c r="DA37" s="648"/>
      <c r="DB37" s="648"/>
      <c r="DC37" s="648"/>
      <c r="DD37" s="648"/>
      <c r="DE37" s="648"/>
      <c r="DF37" s="648"/>
      <c r="DG37" s="648"/>
      <c r="DH37" s="648"/>
      <c r="DI37" s="648"/>
      <c r="DJ37" s="648"/>
      <c r="DK37" s="648"/>
      <c r="DL37" s="648"/>
      <c r="DM37" s="648"/>
      <c r="DN37" s="648"/>
      <c r="DO37" s="648"/>
      <c r="DP37" s="648"/>
      <c r="DQ37" s="648"/>
      <c r="DR37" s="648"/>
      <c r="DS37" s="648"/>
      <c r="DT37" s="648"/>
      <c r="DU37" s="648"/>
      <c r="DV37" s="648"/>
      <c r="DW37" s="648"/>
      <c r="DX37" s="648"/>
      <c r="DY37" s="648"/>
      <c r="DZ37" s="648"/>
      <c r="EA37" s="648"/>
      <c r="EB37" s="648"/>
      <c r="EC37" s="648"/>
      <c r="ED37" s="648"/>
      <c r="EE37" s="648"/>
      <c r="EF37" s="648"/>
      <c r="EG37" s="648"/>
      <c r="EH37" s="648"/>
      <c r="EI37" s="648"/>
      <c r="EJ37" s="648"/>
      <c r="EK37" s="648"/>
      <c r="EL37" s="648"/>
      <c r="EM37" s="648"/>
      <c r="EN37" s="648"/>
      <c r="EO37" s="648"/>
      <c r="EP37" s="648"/>
      <c r="EQ37" s="648"/>
      <c r="ER37" s="648"/>
      <c r="ES37" s="648"/>
      <c r="ET37" s="648"/>
      <c r="EU37" s="648"/>
      <c r="EV37" s="648"/>
      <c r="EW37" s="648"/>
      <c r="EX37" s="648"/>
      <c r="EY37" s="648"/>
      <c r="EZ37" s="648"/>
      <c r="FA37" s="648"/>
      <c r="FB37" s="648"/>
      <c r="FC37" s="648"/>
      <c r="FD37" s="648"/>
      <c r="FE37" s="648"/>
      <c r="FF37" s="648"/>
      <c r="FG37" s="648"/>
      <c r="FH37" s="648"/>
      <c r="FI37" s="648"/>
      <c r="FJ37" s="648"/>
      <c r="FK37" s="648"/>
      <c r="FL37" s="648"/>
      <c r="FM37" s="648"/>
      <c r="FN37" s="648"/>
      <c r="FO37" s="648"/>
      <c r="FP37" s="648"/>
      <c r="FQ37" s="648"/>
      <c r="FR37" s="648"/>
      <c r="FS37" s="648"/>
      <c r="FT37" s="648"/>
      <c r="FU37" s="648"/>
      <c r="FV37" s="648"/>
      <c r="FW37" s="648"/>
      <c r="FX37" s="648"/>
      <c r="FY37" s="648"/>
      <c r="FZ37" s="648"/>
      <c r="GA37" s="648"/>
      <c r="GB37" s="648"/>
      <c r="GC37" s="648"/>
      <c r="GD37" s="648"/>
      <c r="GE37" s="648"/>
      <c r="GF37" s="648"/>
      <c r="GG37" s="648"/>
      <c r="GH37" s="648"/>
      <c r="GI37" s="648"/>
      <c r="GJ37" s="648"/>
      <c r="GK37" s="648"/>
      <c r="GL37" s="648"/>
      <c r="GM37" s="648"/>
      <c r="GN37" s="648"/>
      <c r="GO37" s="648"/>
      <c r="GP37" s="648"/>
      <c r="GQ37" s="648"/>
      <c r="GR37" s="648"/>
      <c r="GS37" s="648"/>
      <c r="GT37" s="648"/>
      <c r="GU37" s="648"/>
      <c r="GV37" s="648"/>
      <c r="GW37" s="648"/>
      <c r="GX37" s="648"/>
      <c r="GY37" s="648"/>
      <c r="GZ37" s="648"/>
      <c r="HA37" s="648"/>
      <c r="HB37" s="648"/>
      <c r="HC37" s="648"/>
      <c r="HD37" s="648"/>
      <c r="HE37" s="648"/>
      <c r="HF37" s="648"/>
      <c r="HG37" s="648"/>
      <c r="HH37" s="648"/>
      <c r="HI37" s="648"/>
      <c r="HJ37" s="648"/>
      <c r="HK37" s="648"/>
      <c r="HL37" s="648"/>
      <c r="HM37" s="648"/>
      <c r="HN37" s="648"/>
      <c r="HO37" s="648"/>
      <c r="HP37" s="648"/>
      <c r="HQ37" s="648"/>
      <c r="HR37" s="648"/>
      <c r="HS37" s="648"/>
      <c r="HT37" s="648"/>
      <c r="HU37" s="648"/>
      <c r="HV37" s="648"/>
      <c r="HW37" s="648"/>
      <c r="HX37" s="648"/>
      <c r="HY37" s="648"/>
      <c r="HZ37" s="648"/>
      <c r="IA37" s="648"/>
      <c r="IB37" s="648"/>
      <c r="IC37" s="648"/>
      <c r="ID37" s="648"/>
      <c r="IE37" s="648"/>
      <c r="IF37" s="648"/>
      <c r="IG37" s="648"/>
      <c r="IH37" s="648"/>
      <c r="II37" s="648"/>
      <c r="IJ37" s="648"/>
      <c r="IK37" s="648"/>
      <c r="IL37" s="648"/>
      <c r="IM37" s="648"/>
      <c r="IN37" s="648"/>
      <c r="IO37" s="648"/>
      <c r="IP37" s="648"/>
      <c r="IQ37" s="648"/>
      <c r="IR37" s="648"/>
      <c r="IS37" s="648"/>
      <c r="IT37" s="648"/>
      <c r="IU37" s="648"/>
      <c r="IV37" s="648"/>
    </row>
    <row r="38" spans="1:256" s="313" customFormat="1" ht="25.5" customHeight="1">
      <c r="A38" s="838" t="s">
        <v>123</v>
      </c>
      <c r="B38" s="838"/>
      <c r="C38" s="838"/>
      <c r="D38" s="838"/>
      <c r="E38" s="838"/>
      <c r="F38" s="838"/>
      <c r="G38" s="838"/>
      <c r="H38" s="838"/>
      <c r="I38" s="838"/>
      <c r="J38" s="838"/>
      <c r="K38" s="838"/>
      <c r="L38" s="648"/>
      <c r="M38" s="648"/>
      <c r="N38" s="648"/>
      <c r="O38" s="648"/>
      <c r="P38" s="648"/>
      <c r="Q38" s="648"/>
      <c r="R38" s="648"/>
      <c r="S38" s="648"/>
      <c r="T38" s="648"/>
      <c r="U38" s="648"/>
      <c r="V38" s="648"/>
      <c r="W38" s="648"/>
      <c r="X38" s="648"/>
      <c r="Y38" s="648"/>
      <c r="Z38" s="648"/>
      <c r="AA38" s="649"/>
      <c r="AB38" s="649"/>
      <c r="AC38" s="648"/>
      <c r="AD38" s="648"/>
      <c r="AE38" s="648"/>
      <c r="AF38" s="648"/>
      <c r="AG38" s="648"/>
      <c r="AH38" s="648"/>
      <c r="AI38" s="648"/>
      <c r="AJ38" s="648"/>
      <c r="AK38" s="648"/>
      <c r="AL38" s="648"/>
      <c r="AM38" s="648"/>
      <c r="AN38" s="648"/>
      <c r="AO38" s="648"/>
      <c r="AP38" s="648"/>
      <c r="AQ38" s="648"/>
      <c r="AR38" s="648"/>
      <c r="AS38" s="648"/>
      <c r="AT38" s="648"/>
      <c r="AU38" s="648"/>
      <c r="AV38" s="648"/>
      <c r="AW38" s="648"/>
      <c r="AX38" s="648"/>
      <c r="AY38" s="648"/>
      <c r="AZ38" s="648"/>
      <c r="BA38" s="648"/>
      <c r="BB38" s="648"/>
      <c r="BC38" s="648"/>
      <c r="BD38" s="648"/>
      <c r="BE38" s="648"/>
      <c r="BF38" s="648"/>
      <c r="BG38" s="648"/>
      <c r="BH38" s="648"/>
      <c r="BI38" s="648"/>
      <c r="BJ38" s="648"/>
      <c r="BK38" s="648"/>
      <c r="BL38" s="648"/>
      <c r="BM38" s="648"/>
      <c r="BN38" s="648"/>
      <c r="BO38" s="648"/>
      <c r="BP38" s="648"/>
      <c r="BQ38" s="648"/>
      <c r="BR38" s="648"/>
      <c r="BS38" s="648"/>
      <c r="BT38" s="648"/>
      <c r="BU38" s="648"/>
      <c r="BV38" s="648"/>
      <c r="BW38" s="648"/>
      <c r="BX38" s="648"/>
      <c r="BY38" s="648"/>
      <c r="BZ38" s="648"/>
      <c r="CA38" s="648"/>
      <c r="CB38" s="648"/>
      <c r="CC38" s="648"/>
      <c r="CD38" s="648"/>
      <c r="CE38" s="648"/>
      <c r="CF38" s="648"/>
      <c r="CG38" s="648"/>
      <c r="CH38" s="648"/>
      <c r="CI38" s="648"/>
      <c r="CJ38" s="648"/>
      <c r="CK38" s="648"/>
      <c r="CL38" s="648"/>
      <c r="CM38" s="648"/>
      <c r="CN38" s="648"/>
      <c r="CO38" s="648"/>
      <c r="CP38" s="648"/>
      <c r="CQ38" s="648"/>
      <c r="CR38" s="648"/>
      <c r="CS38" s="648"/>
      <c r="CT38" s="648"/>
      <c r="CU38" s="648"/>
      <c r="CV38" s="648"/>
      <c r="CW38" s="648"/>
      <c r="CX38" s="648"/>
      <c r="CY38" s="648"/>
      <c r="CZ38" s="648"/>
      <c r="DA38" s="648"/>
      <c r="DB38" s="648"/>
      <c r="DC38" s="648"/>
      <c r="DD38" s="648"/>
      <c r="DE38" s="648"/>
      <c r="DF38" s="648"/>
      <c r="DG38" s="648"/>
      <c r="DH38" s="648"/>
      <c r="DI38" s="648"/>
      <c r="DJ38" s="648"/>
      <c r="DK38" s="648"/>
      <c r="DL38" s="648"/>
      <c r="DM38" s="648"/>
      <c r="DN38" s="648"/>
      <c r="DO38" s="648"/>
      <c r="DP38" s="648"/>
      <c r="DQ38" s="648"/>
      <c r="DR38" s="648"/>
      <c r="DS38" s="648"/>
      <c r="DT38" s="648"/>
      <c r="DU38" s="648"/>
      <c r="DV38" s="648"/>
      <c r="DW38" s="648"/>
      <c r="DX38" s="648"/>
      <c r="DY38" s="648"/>
      <c r="DZ38" s="648"/>
      <c r="EA38" s="648"/>
      <c r="EB38" s="648"/>
      <c r="EC38" s="648"/>
      <c r="ED38" s="648"/>
      <c r="EE38" s="648"/>
      <c r="EF38" s="648"/>
      <c r="EG38" s="648"/>
      <c r="EH38" s="648"/>
      <c r="EI38" s="648"/>
      <c r="EJ38" s="648"/>
      <c r="EK38" s="648"/>
      <c r="EL38" s="648"/>
      <c r="EM38" s="648"/>
      <c r="EN38" s="648"/>
      <c r="EO38" s="648"/>
      <c r="EP38" s="648"/>
      <c r="EQ38" s="648"/>
      <c r="ER38" s="648"/>
      <c r="ES38" s="648"/>
      <c r="ET38" s="648"/>
      <c r="EU38" s="648"/>
      <c r="EV38" s="648"/>
      <c r="EW38" s="648"/>
      <c r="EX38" s="648"/>
      <c r="EY38" s="648"/>
      <c r="EZ38" s="648"/>
      <c r="FA38" s="648"/>
      <c r="FB38" s="648"/>
      <c r="FC38" s="648"/>
      <c r="FD38" s="648"/>
      <c r="FE38" s="648"/>
      <c r="FF38" s="648"/>
      <c r="FG38" s="648"/>
      <c r="FH38" s="648"/>
      <c r="FI38" s="648"/>
      <c r="FJ38" s="648"/>
      <c r="FK38" s="648"/>
      <c r="FL38" s="648"/>
      <c r="FM38" s="648"/>
      <c r="FN38" s="648"/>
      <c r="FO38" s="648"/>
      <c r="FP38" s="648"/>
      <c r="FQ38" s="648"/>
      <c r="FR38" s="648"/>
      <c r="FS38" s="648"/>
      <c r="FT38" s="648"/>
      <c r="FU38" s="648"/>
      <c r="FV38" s="648"/>
      <c r="FW38" s="648"/>
      <c r="FX38" s="648"/>
      <c r="FY38" s="648"/>
      <c r="FZ38" s="648"/>
      <c r="GA38" s="648"/>
      <c r="GB38" s="648"/>
      <c r="GC38" s="648"/>
      <c r="GD38" s="648"/>
      <c r="GE38" s="648"/>
      <c r="GF38" s="648"/>
      <c r="GG38" s="648"/>
      <c r="GH38" s="648"/>
      <c r="GI38" s="648"/>
      <c r="GJ38" s="648"/>
      <c r="GK38" s="648"/>
      <c r="GL38" s="648"/>
      <c r="GM38" s="648"/>
      <c r="GN38" s="648"/>
      <c r="GO38" s="648"/>
      <c r="GP38" s="648"/>
      <c r="GQ38" s="648"/>
      <c r="GR38" s="648"/>
      <c r="GS38" s="648"/>
      <c r="GT38" s="648"/>
      <c r="GU38" s="648"/>
      <c r="GV38" s="648"/>
      <c r="GW38" s="648"/>
      <c r="GX38" s="648"/>
      <c r="GY38" s="648"/>
      <c r="GZ38" s="648"/>
      <c r="HA38" s="648"/>
      <c r="HB38" s="648"/>
      <c r="HC38" s="648"/>
      <c r="HD38" s="648"/>
      <c r="HE38" s="648"/>
      <c r="HF38" s="648"/>
      <c r="HG38" s="648"/>
      <c r="HH38" s="648"/>
      <c r="HI38" s="648"/>
      <c r="HJ38" s="648"/>
      <c r="HK38" s="648"/>
      <c r="HL38" s="648"/>
      <c r="HM38" s="648"/>
      <c r="HN38" s="648"/>
      <c r="HO38" s="648"/>
      <c r="HP38" s="648"/>
      <c r="HQ38" s="648"/>
      <c r="HR38" s="648"/>
      <c r="HS38" s="648"/>
      <c r="HT38" s="648"/>
      <c r="HU38" s="648"/>
      <c r="HV38" s="648"/>
      <c r="HW38" s="648"/>
      <c r="HX38" s="648"/>
      <c r="HY38" s="648"/>
      <c r="HZ38" s="648"/>
      <c r="IA38" s="648"/>
      <c r="IB38" s="648"/>
      <c r="IC38" s="648"/>
      <c r="ID38" s="648"/>
      <c r="IE38" s="648"/>
      <c r="IF38" s="648"/>
      <c r="IG38" s="648"/>
      <c r="IH38" s="648"/>
      <c r="II38" s="648"/>
      <c r="IJ38" s="648"/>
      <c r="IK38" s="648"/>
      <c r="IL38" s="648"/>
      <c r="IM38" s="648"/>
      <c r="IN38" s="648"/>
      <c r="IO38" s="648"/>
      <c r="IP38" s="648"/>
      <c r="IQ38" s="648"/>
      <c r="IR38" s="648"/>
      <c r="IS38" s="648"/>
      <c r="IT38" s="648"/>
      <c r="IU38" s="648"/>
      <c r="IV38" s="648"/>
    </row>
    <row r="39" spans="1:256" s="313" customFormat="1" ht="39" customHeight="1">
      <c r="A39" s="838" t="s">
        <v>124</v>
      </c>
      <c r="B39" s="838"/>
      <c r="C39" s="838"/>
      <c r="D39" s="838"/>
      <c r="E39" s="838"/>
      <c r="F39" s="838"/>
      <c r="G39" s="838"/>
      <c r="H39" s="838"/>
      <c r="I39" s="838"/>
      <c r="J39" s="838"/>
      <c r="K39" s="838"/>
      <c r="L39" s="648"/>
      <c r="M39" s="648"/>
      <c r="N39" s="648"/>
      <c r="O39" s="648"/>
      <c r="P39" s="648"/>
      <c r="Q39" s="648"/>
      <c r="R39" s="648"/>
      <c r="S39" s="648"/>
      <c r="T39" s="648"/>
      <c r="U39" s="648"/>
      <c r="V39" s="648"/>
      <c r="W39" s="648"/>
      <c r="X39" s="648"/>
      <c r="Y39" s="648"/>
      <c r="Z39" s="648"/>
      <c r="AA39" s="649"/>
      <c r="AB39" s="649"/>
      <c r="AC39" s="648"/>
      <c r="AD39" s="648"/>
      <c r="AE39" s="648"/>
      <c r="AF39" s="648"/>
      <c r="AG39" s="648"/>
      <c r="AH39" s="648"/>
      <c r="AI39" s="648"/>
      <c r="AJ39" s="648"/>
      <c r="AK39" s="648"/>
      <c r="AL39" s="648"/>
      <c r="AM39" s="648"/>
      <c r="AN39" s="648"/>
      <c r="AO39" s="648"/>
      <c r="AP39" s="648"/>
      <c r="AQ39" s="648"/>
      <c r="AR39" s="648"/>
      <c r="AS39" s="648"/>
      <c r="AT39" s="648"/>
      <c r="AU39" s="648"/>
      <c r="AV39" s="648"/>
      <c r="AW39" s="648"/>
      <c r="AX39" s="648"/>
      <c r="AY39" s="648"/>
      <c r="AZ39" s="648"/>
      <c r="BA39" s="648"/>
      <c r="BB39" s="648"/>
      <c r="BC39" s="648"/>
      <c r="BD39" s="648"/>
      <c r="BE39" s="648"/>
      <c r="BF39" s="648"/>
      <c r="BG39" s="648"/>
      <c r="BH39" s="648"/>
      <c r="BI39" s="648"/>
      <c r="BJ39" s="648"/>
      <c r="BK39" s="648"/>
      <c r="BL39" s="648"/>
      <c r="BM39" s="648"/>
      <c r="BN39" s="648"/>
      <c r="BO39" s="648"/>
      <c r="BP39" s="648"/>
      <c r="BQ39" s="648"/>
      <c r="BR39" s="648"/>
      <c r="BS39" s="648"/>
      <c r="BT39" s="648"/>
      <c r="BU39" s="648"/>
      <c r="BV39" s="648"/>
      <c r="BW39" s="648"/>
      <c r="BX39" s="648"/>
      <c r="BY39" s="648"/>
      <c r="BZ39" s="648"/>
      <c r="CA39" s="648"/>
      <c r="CB39" s="648"/>
      <c r="CC39" s="648"/>
      <c r="CD39" s="648"/>
      <c r="CE39" s="648"/>
      <c r="CF39" s="648"/>
      <c r="CG39" s="648"/>
      <c r="CH39" s="648"/>
      <c r="CI39" s="648"/>
      <c r="CJ39" s="648"/>
      <c r="CK39" s="648"/>
      <c r="CL39" s="648"/>
      <c r="CM39" s="648"/>
      <c r="CN39" s="648"/>
      <c r="CO39" s="648"/>
      <c r="CP39" s="648"/>
      <c r="CQ39" s="648"/>
      <c r="CR39" s="648"/>
      <c r="CS39" s="648"/>
      <c r="CT39" s="648"/>
      <c r="CU39" s="648"/>
      <c r="CV39" s="648"/>
      <c r="CW39" s="648"/>
      <c r="CX39" s="648"/>
      <c r="CY39" s="648"/>
      <c r="CZ39" s="648"/>
      <c r="DA39" s="648"/>
      <c r="DB39" s="648"/>
      <c r="DC39" s="648"/>
      <c r="DD39" s="648"/>
      <c r="DE39" s="648"/>
      <c r="DF39" s="648"/>
      <c r="DG39" s="648"/>
      <c r="DH39" s="648"/>
      <c r="DI39" s="648"/>
      <c r="DJ39" s="648"/>
      <c r="DK39" s="648"/>
      <c r="DL39" s="648"/>
      <c r="DM39" s="648"/>
      <c r="DN39" s="648"/>
      <c r="DO39" s="648"/>
      <c r="DP39" s="648"/>
      <c r="DQ39" s="648"/>
      <c r="DR39" s="648"/>
      <c r="DS39" s="648"/>
      <c r="DT39" s="648"/>
      <c r="DU39" s="648"/>
      <c r="DV39" s="648"/>
      <c r="DW39" s="648"/>
      <c r="DX39" s="648"/>
      <c r="DY39" s="648"/>
      <c r="DZ39" s="648"/>
      <c r="EA39" s="648"/>
      <c r="EB39" s="648"/>
      <c r="EC39" s="648"/>
      <c r="ED39" s="648"/>
      <c r="EE39" s="648"/>
      <c r="EF39" s="648"/>
      <c r="EG39" s="648"/>
      <c r="EH39" s="648"/>
      <c r="EI39" s="648"/>
      <c r="EJ39" s="648"/>
      <c r="EK39" s="648"/>
      <c r="EL39" s="648"/>
      <c r="EM39" s="648"/>
      <c r="EN39" s="648"/>
      <c r="EO39" s="648"/>
      <c r="EP39" s="648"/>
      <c r="EQ39" s="648"/>
      <c r="ER39" s="648"/>
      <c r="ES39" s="648"/>
      <c r="ET39" s="648"/>
      <c r="EU39" s="648"/>
      <c r="EV39" s="648"/>
      <c r="EW39" s="648"/>
      <c r="EX39" s="648"/>
      <c r="EY39" s="648"/>
      <c r="EZ39" s="648"/>
      <c r="FA39" s="648"/>
      <c r="FB39" s="648"/>
      <c r="FC39" s="648"/>
      <c r="FD39" s="648"/>
      <c r="FE39" s="648"/>
      <c r="FF39" s="648"/>
      <c r="FG39" s="648"/>
      <c r="FH39" s="648"/>
      <c r="FI39" s="648"/>
      <c r="FJ39" s="648"/>
      <c r="FK39" s="648"/>
      <c r="FL39" s="648"/>
      <c r="FM39" s="648"/>
      <c r="FN39" s="648"/>
      <c r="FO39" s="648"/>
      <c r="FP39" s="648"/>
      <c r="FQ39" s="648"/>
      <c r="FR39" s="648"/>
      <c r="FS39" s="648"/>
      <c r="FT39" s="648"/>
      <c r="FU39" s="648"/>
      <c r="FV39" s="648"/>
      <c r="FW39" s="648"/>
      <c r="FX39" s="648"/>
      <c r="FY39" s="648"/>
      <c r="FZ39" s="648"/>
      <c r="GA39" s="648"/>
      <c r="GB39" s="648"/>
      <c r="GC39" s="648"/>
      <c r="GD39" s="648"/>
      <c r="GE39" s="648"/>
      <c r="GF39" s="648"/>
      <c r="GG39" s="648"/>
      <c r="GH39" s="648"/>
      <c r="GI39" s="648"/>
      <c r="GJ39" s="648"/>
      <c r="GK39" s="648"/>
      <c r="GL39" s="648"/>
      <c r="GM39" s="648"/>
      <c r="GN39" s="648"/>
      <c r="GO39" s="648"/>
      <c r="GP39" s="648"/>
      <c r="GQ39" s="648"/>
      <c r="GR39" s="648"/>
      <c r="GS39" s="648"/>
      <c r="GT39" s="648"/>
      <c r="GU39" s="648"/>
      <c r="GV39" s="648"/>
      <c r="GW39" s="648"/>
      <c r="GX39" s="648"/>
      <c r="GY39" s="648"/>
      <c r="GZ39" s="648"/>
      <c r="HA39" s="648"/>
      <c r="HB39" s="648"/>
      <c r="HC39" s="648"/>
      <c r="HD39" s="648"/>
      <c r="HE39" s="648"/>
      <c r="HF39" s="648"/>
      <c r="HG39" s="648"/>
      <c r="HH39" s="648"/>
      <c r="HI39" s="648"/>
      <c r="HJ39" s="648"/>
      <c r="HK39" s="648"/>
      <c r="HL39" s="648"/>
      <c r="HM39" s="648"/>
      <c r="HN39" s="648"/>
      <c r="HO39" s="648"/>
      <c r="HP39" s="648"/>
      <c r="HQ39" s="648"/>
      <c r="HR39" s="648"/>
      <c r="HS39" s="648"/>
      <c r="HT39" s="648"/>
      <c r="HU39" s="648"/>
      <c r="HV39" s="648"/>
      <c r="HW39" s="648"/>
      <c r="HX39" s="648"/>
      <c r="HY39" s="648"/>
      <c r="HZ39" s="648"/>
      <c r="IA39" s="648"/>
      <c r="IB39" s="648"/>
      <c r="IC39" s="648"/>
      <c r="ID39" s="648"/>
      <c r="IE39" s="648"/>
      <c r="IF39" s="648"/>
      <c r="IG39" s="648"/>
      <c r="IH39" s="648"/>
      <c r="II39" s="648"/>
      <c r="IJ39" s="648"/>
      <c r="IK39" s="648"/>
      <c r="IL39" s="648"/>
      <c r="IM39" s="648"/>
      <c r="IN39" s="648"/>
      <c r="IO39" s="648"/>
      <c r="IP39" s="648"/>
      <c r="IQ39" s="648"/>
      <c r="IR39" s="648"/>
      <c r="IS39" s="648"/>
      <c r="IT39" s="648"/>
      <c r="IU39" s="648"/>
      <c r="IV39" s="648"/>
    </row>
    <row r="40" spans="1:256" s="313" customFormat="1" ht="86.25" customHeight="1">
      <c r="A40" s="838" t="s">
        <v>121</v>
      </c>
      <c r="B40" s="838"/>
      <c r="C40" s="838"/>
      <c r="D40" s="838"/>
      <c r="E40" s="838"/>
      <c r="F40" s="838"/>
      <c r="G40" s="838"/>
      <c r="H40" s="838"/>
      <c r="I40" s="838"/>
      <c r="J40" s="838"/>
      <c r="K40" s="838"/>
      <c r="L40" s="648"/>
      <c r="M40" s="648"/>
      <c r="N40" s="648"/>
      <c r="O40" s="648"/>
      <c r="P40" s="648"/>
      <c r="Q40" s="648"/>
      <c r="R40" s="648"/>
      <c r="S40" s="648"/>
      <c r="T40" s="648"/>
      <c r="U40" s="648"/>
      <c r="V40" s="648"/>
      <c r="W40" s="648"/>
      <c r="X40" s="648"/>
      <c r="Y40" s="648"/>
      <c r="Z40" s="648"/>
      <c r="AA40" s="649"/>
      <c r="AB40" s="649"/>
      <c r="AC40" s="648"/>
      <c r="AD40" s="648"/>
      <c r="AE40" s="648"/>
      <c r="AF40" s="648"/>
      <c r="AG40" s="648"/>
      <c r="AH40" s="648"/>
      <c r="AI40" s="648"/>
      <c r="AJ40" s="648"/>
      <c r="AK40" s="648"/>
      <c r="AL40" s="648"/>
      <c r="AM40" s="648"/>
      <c r="AN40" s="648"/>
      <c r="AO40" s="648"/>
      <c r="AP40" s="648"/>
      <c r="AQ40" s="648"/>
      <c r="AR40" s="648"/>
      <c r="AS40" s="648"/>
      <c r="AT40" s="648"/>
      <c r="AU40" s="648"/>
      <c r="AV40" s="648"/>
      <c r="AW40" s="648"/>
      <c r="AX40" s="648"/>
      <c r="AY40" s="648"/>
      <c r="AZ40" s="648"/>
      <c r="BA40" s="648"/>
      <c r="BB40" s="648"/>
      <c r="BC40" s="648"/>
      <c r="BD40" s="648"/>
      <c r="BE40" s="648"/>
      <c r="BF40" s="648"/>
      <c r="BG40" s="648"/>
      <c r="BH40" s="648"/>
      <c r="BI40" s="648"/>
      <c r="BJ40" s="648"/>
      <c r="BK40" s="648"/>
      <c r="BL40" s="648"/>
      <c r="BM40" s="648"/>
      <c r="BN40" s="648"/>
      <c r="BO40" s="648"/>
      <c r="BP40" s="648"/>
      <c r="BQ40" s="648"/>
      <c r="BR40" s="648"/>
      <c r="BS40" s="648"/>
      <c r="BT40" s="648"/>
      <c r="BU40" s="648"/>
      <c r="BV40" s="648"/>
      <c r="BW40" s="648"/>
      <c r="BX40" s="648"/>
      <c r="BY40" s="648"/>
      <c r="BZ40" s="648"/>
      <c r="CA40" s="648"/>
      <c r="CB40" s="648"/>
      <c r="CC40" s="648"/>
      <c r="CD40" s="648"/>
      <c r="CE40" s="648"/>
      <c r="CF40" s="648"/>
      <c r="CG40" s="648"/>
      <c r="CH40" s="648"/>
      <c r="CI40" s="648"/>
      <c r="CJ40" s="648"/>
      <c r="CK40" s="648"/>
      <c r="CL40" s="648"/>
      <c r="CM40" s="648"/>
      <c r="CN40" s="648"/>
      <c r="CO40" s="648"/>
      <c r="CP40" s="648"/>
      <c r="CQ40" s="648"/>
      <c r="CR40" s="648"/>
      <c r="CS40" s="648"/>
      <c r="CT40" s="648"/>
      <c r="CU40" s="648"/>
      <c r="CV40" s="648"/>
      <c r="CW40" s="648"/>
      <c r="CX40" s="648"/>
      <c r="CY40" s="648"/>
      <c r="CZ40" s="648"/>
      <c r="DA40" s="648"/>
      <c r="DB40" s="648"/>
      <c r="DC40" s="648"/>
      <c r="DD40" s="648"/>
      <c r="DE40" s="648"/>
      <c r="DF40" s="648"/>
      <c r="DG40" s="648"/>
      <c r="DH40" s="648"/>
      <c r="DI40" s="648"/>
      <c r="DJ40" s="648"/>
      <c r="DK40" s="648"/>
      <c r="DL40" s="648"/>
      <c r="DM40" s="648"/>
      <c r="DN40" s="648"/>
      <c r="DO40" s="648"/>
      <c r="DP40" s="648"/>
      <c r="DQ40" s="648"/>
      <c r="DR40" s="648"/>
      <c r="DS40" s="648"/>
      <c r="DT40" s="648"/>
      <c r="DU40" s="648"/>
      <c r="DV40" s="648"/>
      <c r="DW40" s="648"/>
      <c r="DX40" s="648"/>
      <c r="DY40" s="648"/>
      <c r="DZ40" s="648"/>
      <c r="EA40" s="648"/>
      <c r="EB40" s="648"/>
      <c r="EC40" s="648"/>
      <c r="ED40" s="648"/>
      <c r="EE40" s="648"/>
      <c r="EF40" s="648"/>
      <c r="EG40" s="648"/>
      <c r="EH40" s="648"/>
      <c r="EI40" s="648"/>
      <c r="EJ40" s="648"/>
      <c r="EK40" s="648"/>
      <c r="EL40" s="648"/>
      <c r="EM40" s="648"/>
      <c r="EN40" s="648"/>
      <c r="EO40" s="648"/>
      <c r="EP40" s="648"/>
      <c r="EQ40" s="648"/>
      <c r="ER40" s="648"/>
      <c r="ES40" s="648"/>
      <c r="ET40" s="648"/>
      <c r="EU40" s="648"/>
      <c r="EV40" s="648"/>
      <c r="EW40" s="648"/>
      <c r="EX40" s="648"/>
      <c r="EY40" s="648"/>
      <c r="EZ40" s="648"/>
      <c r="FA40" s="648"/>
      <c r="FB40" s="648"/>
      <c r="FC40" s="648"/>
      <c r="FD40" s="648"/>
      <c r="FE40" s="648"/>
      <c r="FF40" s="648"/>
      <c r="FG40" s="648"/>
      <c r="FH40" s="648"/>
      <c r="FI40" s="648"/>
      <c r="FJ40" s="648"/>
      <c r="FK40" s="648"/>
      <c r="FL40" s="648"/>
      <c r="FM40" s="648"/>
      <c r="FN40" s="648"/>
      <c r="FO40" s="648"/>
      <c r="FP40" s="648"/>
      <c r="FQ40" s="648"/>
      <c r="FR40" s="648"/>
      <c r="FS40" s="648"/>
      <c r="FT40" s="648"/>
      <c r="FU40" s="648"/>
      <c r="FV40" s="648"/>
      <c r="FW40" s="648"/>
      <c r="FX40" s="648"/>
      <c r="FY40" s="648"/>
      <c r="FZ40" s="648"/>
      <c r="GA40" s="648"/>
      <c r="GB40" s="648"/>
      <c r="GC40" s="648"/>
      <c r="GD40" s="648"/>
      <c r="GE40" s="648"/>
      <c r="GF40" s="648"/>
      <c r="GG40" s="648"/>
      <c r="GH40" s="648"/>
      <c r="GI40" s="648"/>
      <c r="GJ40" s="648"/>
      <c r="GK40" s="648"/>
      <c r="GL40" s="648"/>
      <c r="GM40" s="648"/>
      <c r="GN40" s="648"/>
      <c r="GO40" s="648"/>
      <c r="GP40" s="648"/>
      <c r="GQ40" s="648"/>
      <c r="GR40" s="648"/>
      <c r="GS40" s="648"/>
      <c r="GT40" s="648"/>
      <c r="GU40" s="648"/>
      <c r="GV40" s="648"/>
      <c r="GW40" s="648"/>
      <c r="GX40" s="648"/>
      <c r="GY40" s="648"/>
      <c r="GZ40" s="648"/>
      <c r="HA40" s="648"/>
      <c r="HB40" s="648"/>
      <c r="HC40" s="648"/>
      <c r="HD40" s="648"/>
      <c r="HE40" s="648"/>
      <c r="HF40" s="648"/>
      <c r="HG40" s="648"/>
      <c r="HH40" s="648"/>
      <c r="HI40" s="648"/>
      <c r="HJ40" s="648"/>
      <c r="HK40" s="648"/>
      <c r="HL40" s="648"/>
      <c r="HM40" s="648"/>
      <c r="HN40" s="648"/>
      <c r="HO40" s="648"/>
      <c r="HP40" s="648"/>
      <c r="HQ40" s="648"/>
      <c r="HR40" s="648"/>
      <c r="HS40" s="648"/>
      <c r="HT40" s="648"/>
      <c r="HU40" s="648"/>
      <c r="HV40" s="648"/>
      <c r="HW40" s="648"/>
      <c r="HX40" s="648"/>
      <c r="HY40" s="648"/>
      <c r="HZ40" s="648"/>
      <c r="IA40" s="648"/>
      <c r="IB40" s="648"/>
      <c r="IC40" s="648"/>
      <c r="ID40" s="648"/>
      <c r="IE40" s="648"/>
      <c r="IF40" s="648"/>
      <c r="IG40" s="648"/>
      <c r="IH40" s="648"/>
      <c r="II40" s="648"/>
      <c r="IJ40" s="648"/>
      <c r="IK40" s="648"/>
      <c r="IL40" s="648"/>
      <c r="IM40" s="648"/>
      <c r="IN40" s="648"/>
      <c r="IO40" s="648"/>
      <c r="IP40" s="648"/>
      <c r="IQ40" s="648"/>
      <c r="IR40" s="648"/>
      <c r="IS40" s="648"/>
      <c r="IT40" s="648"/>
      <c r="IU40" s="648"/>
      <c r="IV40" s="648"/>
    </row>
    <row r="41" spans="1:256" s="313" customFormat="1" ht="24.75" customHeight="1">
      <c r="A41" s="838" t="s">
        <v>805</v>
      </c>
      <c r="B41" s="838"/>
      <c r="C41" s="838"/>
      <c r="D41" s="838"/>
      <c r="E41" s="838"/>
      <c r="F41" s="838"/>
      <c r="G41" s="838"/>
      <c r="H41" s="838"/>
      <c r="I41" s="838"/>
      <c r="J41" s="838"/>
      <c r="K41" s="838"/>
      <c r="L41" s="648"/>
      <c r="M41" s="648"/>
      <c r="N41" s="648"/>
      <c r="O41" s="648"/>
      <c r="P41" s="648"/>
      <c r="Q41" s="648"/>
      <c r="R41" s="648"/>
      <c r="S41" s="648"/>
      <c r="T41" s="648"/>
      <c r="U41" s="648"/>
      <c r="V41" s="648"/>
      <c r="W41" s="648"/>
      <c r="X41" s="648"/>
      <c r="Y41" s="648"/>
      <c r="Z41" s="648"/>
      <c r="AA41" s="649"/>
      <c r="AB41" s="649"/>
      <c r="AC41" s="648"/>
      <c r="AD41" s="648"/>
      <c r="AE41" s="648"/>
      <c r="AF41" s="648"/>
      <c r="AG41" s="648"/>
      <c r="AH41" s="648"/>
      <c r="AI41" s="648"/>
      <c r="AJ41" s="648"/>
      <c r="AK41" s="648"/>
      <c r="AL41" s="648"/>
      <c r="AM41" s="648"/>
      <c r="AN41" s="648"/>
      <c r="AO41" s="648"/>
      <c r="AP41" s="648"/>
      <c r="AQ41" s="648"/>
      <c r="AR41" s="648"/>
      <c r="AS41" s="648"/>
      <c r="AT41" s="648"/>
      <c r="AU41" s="648"/>
      <c r="AV41" s="648"/>
      <c r="AW41" s="648"/>
      <c r="AX41" s="648"/>
      <c r="AY41" s="648"/>
      <c r="AZ41" s="648"/>
      <c r="BA41" s="648"/>
      <c r="BB41" s="648"/>
      <c r="BC41" s="648"/>
      <c r="BD41" s="648"/>
      <c r="BE41" s="648"/>
      <c r="BF41" s="648"/>
      <c r="BG41" s="648"/>
      <c r="BH41" s="648"/>
      <c r="BI41" s="648"/>
      <c r="BJ41" s="648"/>
      <c r="BK41" s="648"/>
      <c r="BL41" s="648"/>
      <c r="BM41" s="648"/>
      <c r="BN41" s="648"/>
      <c r="BO41" s="648"/>
      <c r="BP41" s="648"/>
      <c r="BQ41" s="648"/>
      <c r="BR41" s="648"/>
      <c r="BS41" s="648"/>
      <c r="BT41" s="648"/>
      <c r="BU41" s="648"/>
      <c r="BV41" s="648"/>
      <c r="BW41" s="648"/>
      <c r="BX41" s="648"/>
      <c r="BY41" s="648"/>
      <c r="BZ41" s="648"/>
      <c r="CA41" s="648"/>
      <c r="CB41" s="648"/>
      <c r="CC41" s="648"/>
      <c r="CD41" s="648"/>
      <c r="CE41" s="648"/>
      <c r="CF41" s="648"/>
      <c r="CG41" s="648"/>
      <c r="CH41" s="648"/>
      <c r="CI41" s="648"/>
      <c r="CJ41" s="648"/>
      <c r="CK41" s="648"/>
      <c r="CL41" s="648"/>
      <c r="CM41" s="648"/>
      <c r="CN41" s="648"/>
      <c r="CO41" s="648"/>
      <c r="CP41" s="648"/>
      <c r="CQ41" s="648"/>
      <c r="CR41" s="648"/>
      <c r="CS41" s="648"/>
      <c r="CT41" s="648"/>
      <c r="CU41" s="648"/>
      <c r="CV41" s="648"/>
      <c r="CW41" s="648"/>
      <c r="CX41" s="648"/>
      <c r="CY41" s="648"/>
      <c r="CZ41" s="648"/>
      <c r="DA41" s="648"/>
      <c r="DB41" s="648"/>
      <c r="DC41" s="648"/>
      <c r="DD41" s="648"/>
      <c r="DE41" s="648"/>
      <c r="DF41" s="648"/>
      <c r="DG41" s="648"/>
      <c r="DH41" s="648"/>
      <c r="DI41" s="648"/>
      <c r="DJ41" s="648"/>
      <c r="DK41" s="648"/>
      <c r="DL41" s="648"/>
      <c r="DM41" s="648"/>
      <c r="DN41" s="648"/>
      <c r="DO41" s="648"/>
      <c r="DP41" s="648"/>
      <c r="DQ41" s="648"/>
      <c r="DR41" s="648"/>
      <c r="DS41" s="648"/>
      <c r="DT41" s="648"/>
      <c r="DU41" s="648"/>
      <c r="DV41" s="648"/>
      <c r="DW41" s="648"/>
      <c r="DX41" s="648"/>
      <c r="DY41" s="648"/>
      <c r="DZ41" s="648"/>
      <c r="EA41" s="648"/>
      <c r="EB41" s="648"/>
      <c r="EC41" s="648"/>
      <c r="ED41" s="648"/>
      <c r="EE41" s="648"/>
      <c r="EF41" s="648"/>
      <c r="EG41" s="648"/>
      <c r="EH41" s="648"/>
      <c r="EI41" s="648"/>
      <c r="EJ41" s="648"/>
      <c r="EK41" s="648"/>
      <c r="EL41" s="648"/>
      <c r="EM41" s="648"/>
      <c r="EN41" s="648"/>
      <c r="EO41" s="648"/>
      <c r="EP41" s="648"/>
      <c r="EQ41" s="648"/>
      <c r="ER41" s="648"/>
      <c r="ES41" s="648"/>
      <c r="ET41" s="648"/>
      <c r="EU41" s="648"/>
      <c r="EV41" s="648"/>
      <c r="EW41" s="648"/>
      <c r="EX41" s="648"/>
      <c r="EY41" s="648"/>
      <c r="EZ41" s="648"/>
      <c r="FA41" s="648"/>
      <c r="FB41" s="648"/>
      <c r="FC41" s="648"/>
      <c r="FD41" s="648"/>
      <c r="FE41" s="648"/>
      <c r="FF41" s="648"/>
      <c r="FG41" s="648"/>
      <c r="FH41" s="648"/>
      <c r="FI41" s="648"/>
      <c r="FJ41" s="648"/>
      <c r="FK41" s="648"/>
      <c r="FL41" s="648"/>
      <c r="FM41" s="648"/>
      <c r="FN41" s="648"/>
      <c r="FO41" s="648"/>
      <c r="FP41" s="648"/>
      <c r="FQ41" s="648"/>
      <c r="FR41" s="648"/>
      <c r="FS41" s="648"/>
      <c r="FT41" s="648"/>
      <c r="FU41" s="648"/>
      <c r="FV41" s="648"/>
      <c r="FW41" s="648"/>
      <c r="FX41" s="648"/>
      <c r="FY41" s="648"/>
      <c r="FZ41" s="648"/>
      <c r="GA41" s="648"/>
      <c r="GB41" s="648"/>
      <c r="GC41" s="648"/>
      <c r="GD41" s="648"/>
      <c r="GE41" s="648"/>
      <c r="GF41" s="648"/>
      <c r="GG41" s="648"/>
      <c r="GH41" s="648"/>
      <c r="GI41" s="648"/>
      <c r="GJ41" s="648"/>
      <c r="GK41" s="648"/>
      <c r="GL41" s="648"/>
      <c r="GM41" s="648"/>
      <c r="GN41" s="648"/>
      <c r="GO41" s="648"/>
      <c r="GP41" s="648"/>
      <c r="GQ41" s="648"/>
      <c r="GR41" s="648"/>
      <c r="GS41" s="648"/>
      <c r="GT41" s="648"/>
      <c r="GU41" s="648"/>
      <c r="GV41" s="648"/>
      <c r="GW41" s="648"/>
      <c r="GX41" s="648"/>
      <c r="GY41" s="648"/>
      <c r="GZ41" s="648"/>
      <c r="HA41" s="648"/>
      <c r="HB41" s="648"/>
      <c r="HC41" s="648"/>
      <c r="HD41" s="648"/>
      <c r="HE41" s="648"/>
      <c r="HF41" s="648"/>
      <c r="HG41" s="648"/>
      <c r="HH41" s="648"/>
      <c r="HI41" s="648"/>
      <c r="HJ41" s="648"/>
      <c r="HK41" s="648"/>
      <c r="HL41" s="648"/>
      <c r="HM41" s="648"/>
      <c r="HN41" s="648"/>
      <c r="HO41" s="648"/>
      <c r="HP41" s="648"/>
      <c r="HQ41" s="648"/>
      <c r="HR41" s="648"/>
      <c r="HS41" s="648"/>
      <c r="HT41" s="648"/>
      <c r="HU41" s="648"/>
      <c r="HV41" s="648"/>
      <c r="HW41" s="648"/>
      <c r="HX41" s="648"/>
      <c r="HY41" s="648"/>
      <c r="HZ41" s="648"/>
      <c r="IA41" s="648"/>
      <c r="IB41" s="648"/>
      <c r="IC41" s="648"/>
      <c r="ID41" s="648"/>
      <c r="IE41" s="648"/>
      <c r="IF41" s="648"/>
      <c r="IG41" s="648"/>
      <c r="IH41" s="648"/>
      <c r="II41" s="648"/>
      <c r="IJ41" s="648"/>
      <c r="IK41" s="648"/>
      <c r="IL41" s="648"/>
      <c r="IM41" s="648"/>
      <c r="IN41" s="648"/>
      <c r="IO41" s="648"/>
      <c r="IP41" s="648"/>
      <c r="IQ41" s="648"/>
      <c r="IR41" s="648"/>
      <c r="IS41" s="648"/>
      <c r="IT41" s="648"/>
      <c r="IU41" s="648"/>
      <c r="IV41" s="648"/>
    </row>
    <row r="42" spans="1:256" s="313" customFormat="1">
      <c r="A42" s="838" t="s">
        <v>127</v>
      </c>
      <c r="B42" s="838"/>
      <c r="C42" s="838"/>
      <c r="D42" s="838"/>
      <c r="E42" s="838"/>
      <c r="F42" s="838"/>
      <c r="G42" s="838"/>
      <c r="H42" s="838"/>
      <c r="I42" s="838"/>
      <c r="J42" s="838"/>
      <c r="K42" s="838"/>
      <c r="L42" s="648"/>
      <c r="M42" s="648"/>
      <c r="N42" s="648"/>
      <c r="O42" s="648"/>
      <c r="P42" s="648"/>
      <c r="Q42" s="648"/>
      <c r="R42" s="648"/>
      <c r="S42" s="648"/>
      <c r="T42" s="648"/>
      <c r="U42" s="648"/>
      <c r="V42" s="648"/>
      <c r="W42" s="648"/>
      <c r="X42" s="648"/>
      <c r="Y42" s="648"/>
      <c r="Z42" s="648"/>
      <c r="AA42" s="649"/>
      <c r="AB42" s="649"/>
      <c r="AC42" s="648"/>
      <c r="AD42" s="648"/>
      <c r="AE42" s="648"/>
      <c r="AF42" s="648"/>
      <c r="AG42" s="648"/>
      <c r="AH42" s="648"/>
      <c r="AI42" s="648"/>
      <c r="AJ42" s="648"/>
      <c r="AK42" s="648"/>
      <c r="AL42" s="648"/>
      <c r="AM42" s="648"/>
      <c r="AN42" s="648"/>
      <c r="AO42" s="648"/>
      <c r="AP42" s="648"/>
      <c r="AQ42" s="648"/>
      <c r="AR42" s="648"/>
      <c r="AS42" s="648"/>
      <c r="AT42" s="648"/>
      <c r="AU42" s="648"/>
      <c r="AV42" s="648"/>
      <c r="AW42" s="648"/>
      <c r="AX42" s="648"/>
      <c r="AY42" s="648"/>
      <c r="AZ42" s="648"/>
      <c r="BA42" s="648"/>
      <c r="BB42" s="648"/>
      <c r="BC42" s="648"/>
      <c r="BD42" s="648"/>
      <c r="BE42" s="648"/>
      <c r="BF42" s="648"/>
      <c r="BG42" s="648"/>
      <c r="BH42" s="648"/>
      <c r="BI42" s="648"/>
      <c r="BJ42" s="648"/>
      <c r="BK42" s="648"/>
      <c r="BL42" s="648"/>
      <c r="BM42" s="648"/>
      <c r="BN42" s="648"/>
      <c r="BO42" s="648"/>
      <c r="BP42" s="648"/>
      <c r="BQ42" s="648"/>
      <c r="BR42" s="648"/>
      <c r="BS42" s="648"/>
      <c r="BT42" s="648"/>
      <c r="BU42" s="648"/>
      <c r="BV42" s="648"/>
      <c r="BW42" s="648"/>
      <c r="BX42" s="648"/>
      <c r="BY42" s="648"/>
      <c r="BZ42" s="648"/>
      <c r="CA42" s="648"/>
      <c r="CB42" s="648"/>
      <c r="CC42" s="648"/>
      <c r="CD42" s="648"/>
      <c r="CE42" s="648"/>
      <c r="CF42" s="648"/>
      <c r="CG42" s="648"/>
      <c r="CH42" s="648"/>
      <c r="CI42" s="648"/>
      <c r="CJ42" s="648"/>
      <c r="CK42" s="648"/>
      <c r="CL42" s="648"/>
      <c r="CM42" s="648"/>
      <c r="CN42" s="648"/>
      <c r="CO42" s="648"/>
      <c r="CP42" s="648"/>
      <c r="CQ42" s="648"/>
      <c r="CR42" s="648"/>
      <c r="CS42" s="648"/>
      <c r="CT42" s="648"/>
      <c r="CU42" s="648"/>
      <c r="CV42" s="648"/>
      <c r="CW42" s="648"/>
      <c r="CX42" s="648"/>
      <c r="CY42" s="648"/>
      <c r="CZ42" s="648"/>
      <c r="DA42" s="648"/>
      <c r="DB42" s="648"/>
      <c r="DC42" s="648"/>
      <c r="DD42" s="648"/>
      <c r="DE42" s="648"/>
      <c r="DF42" s="648"/>
      <c r="DG42" s="648"/>
      <c r="DH42" s="648"/>
      <c r="DI42" s="648"/>
      <c r="DJ42" s="648"/>
      <c r="DK42" s="648"/>
      <c r="DL42" s="648"/>
      <c r="DM42" s="648"/>
      <c r="DN42" s="648"/>
      <c r="DO42" s="648"/>
      <c r="DP42" s="648"/>
      <c r="DQ42" s="648"/>
      <c r="DR42" s="648"/>
      <c r="DS42" s="648"/>
      <c r="DT42" s="648"/>
      <c r="DU42" s="648"/>
      <c r="DV42" s="648"/>
      <c r="DW42" s="648"/>
      <c r="DX42" s="648"/>
      <c r="DY42" s="648"/>
      <c r="DZ42" s="648"/>
      <c r="EA42" s="648"/>
      <c r="EB42" s="648"/>
      <c r="EC42" s="648"/>
      <c r="ED42" s="648"/>
      <c r="EE42" s="648"/>
      <c r="EF42" s="648"/>
      <c r="EG42" s="648"/>
      <c r="EH42" s="648"/>
      <c r="EI42" s="648"/>
      <c r="EJ42" s="648"/>
      <c r="EK42" s="648"/>
      <c r="EL42" s="648"/>
      <c r="EM42" s="648"/>
      <c r="EN42" s="648"/>
      <c r="EO42" s="648"/>
      <c r="EP42" s="648"/>
      <c r="EQ42" s="648"/>
      <c r="ER42" s="648"/>
      <c r="ES42" s="648"/>
      <c r="ET42" s="648"/>
      <c r="EU42" s="648"/>
      <c r="EV42" s="648"/>
      <c r="EW42" s="648"/>
      <c r="EX42" s="648"/>
      <c r="EY42" s="648"/>
      <c r="EZ42" s="648"/>
      <c r="FA42" s="648"/>
      <c r="FB42" s="648"/>
      <c r="FC42" s="648"/>
      <c r="FD42" s="648"/>
      <c r="FE42" s="648"/>
      <c r="FF42" s="648"/>
      <c r="FG42" s="648"/>
      <c r="FH42" s="648"/>
      <c r="FI42" s="648"/>
      <c r="FJ42" s="648"/>
      <c r="FK42" s="648"/>
      <c r="FL42" s="648"/>
      <c r="FM42" s="648"/>
      <c r="FN42" s="648"/>
      <c r="FO42" s="648"/>
      <c r="FP42" s="648"/>
      <c r="FQ42" s="648"/>
      <c r="FR42" s="648"/>
      <c r="FS42" s="648"/>
      <c r="FT42" s="648"/>
      <c r="FU42" s="648"/>
      <c r="FV42" s="648"/>
      <c r="FW42" s="648"/>
      <c r="FX42" s="648"/>
      <c r="FY42" s="648"/>
      <c r="FZ42" s="648"/>
      <c r="GA42" s="648"/>
      <c r="GB42" s="648"/>
      <c r="GC42" s="648"/>
      <c r="GD42" s="648"/>
      <c r="GE42" s="648"/>
      <c r="GF42" s="648"/>
      <c r="GG42" s="648"/>
      <c r="GH42" s="648"/>
      <c r="GI42" s="648"/>
      <c r="GJ42" s="648"/>
      <c r="GK42" s="648"/>
      <c r="GL42" s="648"/>
      <c r="GM42" s="648"/>
      <c r="GN42" s="648"/>
      <c r="GO42" s="648"/>
      <c r="GP42" s="648"/>
      <c r="GQ42" s="648"/>
      <c r="GR42" s="648"/>
      <c r="GS42" s="648"/>
      <c r="GT42" s="648"/>
      <c r="GU42" s="648"/>
      <c r="GV42" s="648"/>
      <c r="GW42" s="648"/>
      <c r="GX42" s="648"/>
      <c r="GY42" s="648"/>
      <c r="GZ42" s="648"/>
      <c r="HA42" s="648"/>
      <c r="HB42" s="648"/>
      <c r="HC42" s="648"/>
      <c r="HD42" s="648"/>
      <c r="HE42" s="648"/>
      <c r="HF42" s="648"/>
      <c r="HG42" s="648"/>
      <c r="HH42" s="648"/>
      <c r="HI42" s="648"/>
      <c r="HJ42" s="648"/>
      <c r="HK42" s="648"/>
      <c r="HL42" s="648"/>
      <c r="HM42" s="648"/>
      <c r="HN42" s="648"/>
      <c r="HO42" s="648"/>
      <c r="HP42" s="648"/>
      <c r="HQ42" s="648"/>
      <c r="HR42" s="648"/>
      <c r="HS42" s="648"/>
      <c r="HT42" s="648"/>
      <c r="HU42" s="648"/>
      <c r="HV42" s="648"/>
      <c r="HW42" s="648"/>
      <c r="HX42" s="648"/>
      <c r="HY42" s="648"/>
      <c r="HZ42" s="648"/>
      <c r="IA42" s="648"/>
      <c r="IB42" s="648"/>
      <c r="IC42" s="648"/>
      <c r="ID42" s="648"/>
      <c r="IE42" s="648"/>
      <c r="IF42" s="648"/>
      <c r="IG42" s="648"/>
      <c r="IH42" s="648"/>
      <c r="II42" s="648"/>
      <c r="IJ42" s="648"/>
      <c r="IK42" s="648"/>
      <c r="IL42" s="648"/>
      <c r="IM42" s="648"/>
      <c r="IN42" s="648"/>
      <c r="IO42" s="648"/>
      <c r="IP42" s="648"/>
      <c r="IQ42" s="648"/>
      <c r="IR42" s="648"/>
      <c r="IS42" s="648"/>
      <c r="IT42" s="648"/>
      <c r="IU42" s="648"/>
      <c r="IV42" s="648"/>
    </row>
    <row r="43" spans="1:256" s="313" customFormat="1" ht="36" customHeight="1">
      <c r="A43" s="838" t="s">
        <v>119</v>
      </c>
      <c r="B43" s="838"/>
      <c r="C43" s="838"/>
      <c r="D43" s="838"/>
      <c r="E43" s="838"/>
      <c r="F43" s="838"/>
      <c r="G43" s="838"/>
      <c r="H43" s="838"/>
      <c r="I43" s="838"/>
      <c r="J43" s="838"/>
      <c r="K43" s="838"/>
      <c r="L43" s="648"/>
      <c r="M43" s="648"/>
      <c r="N43" s="648"/>
      <c r="O43" s="648"/>
      <c r="P43" s="648"/>
      <c r="Q43" s="648"/>
      <c r="R43" s="648"/>
      <c r="S43" s="648"/>
      <c r="T43" s="648"/>
      <c r="U43" s="648"/>
      <c r="V43" s="648"/>
      <c r="W43" s="648"/>
      <c r="X43" s="648"/>
      <c r="Y43" s="648"/>
      <c r="Z43" s="648"/>
      <c r="AA43" s="649"/>
      <c r="AB43" s="649"/>
      <c r="AC43" s="648"/>
      <c r="AD43" s="648"/>
      <c r="AE43" s="648"/>
      <c r="AF43" s="648"/>
      <c r="AG43" s="648"/>
      <c r="AH43" s="648"/>
      <c r="AI43" s="648"/>
      <c r="AJ43" s="648"/>
      <c r="AK43" s="648"/>
      <c r="AL43" s="648"/>
      <c r="AM43" s="648"/>
      <c r="AN43" s="648"/>
      <c r="AO43" s="648"/>
      <c r="AP43" s="648"/>
      <c r="AQ43" s="648"/>
      <c r="AR43" s="648"/>
      <c r="AS43" s="648"/>
      <c r="AT43" s="648"/>
      <c r="AU43" s="648"/>
      <c r="AV43" s="648"/>
      <c r="AW43" s="648"/>
      <c r="AX43" s="648"/>
      <c r="AY43" s="648"/>
      <c r="AZ43" s="648"/>
      <c r="BA43" s="648"/>
      <c r="BB43" s="648"/>
      <c r="BC43" s="648"/>
      <c r="BD43" s="648"/>
      <c r="BE43" s="648"/>
      <c r="BF43" s="648"/>
      <c r="BG43" s="648"/>
      <c r="BH43" s="648"/>
      <c r="BI43" s="648"/>
      <c r="BJ43" s="648"/>
      <c r="BK43" s="648"/>
      <c r="BL43" s="648"/>
      <c r="BM43" s="648"/>
      <c r="BN43" s="648"/>
      <c r="BO43" s="648"/>
      <c r="BP43" s="648"/>
      <c r="BQ43" s="648"/>
      <c r="BR43" s="648"/>
      <c r="BS43" s="648"/>
      <c r="BT43" s="648"/>
      <c r="BU43" s="648"/>
      <c r="BV43" s="648"/>
      <c r="BW43" s="648"/>
      <c r="BX43" s="648"/>
      <c r="BY43" s="648"/>
      <c r="BZ43" s="648"/>
      <c r="CA43" s="648"/>
      <c r="CB43" s="648"/>
      <c r="CC43" s="648"/>
      <c r="CD43" s="648"/>
      <c r="CE43" s="648"/>
      <c r="CF43" s="648"/>
      <c r="CG43" s="648"/>
      <c r="CH43" s="648"/>
      <c r="CI43" s="648"/>
      <c r="CJ43" s="648"/>
      <c r="CK43" s="648"/>
      <c r="CL43" s="648"/>
      <c r="CM43" s="648"/>
      <c r="CN43" s="648"/>
      <c r="CO43" s="648"/>
      <c r="CP43" s="648"/>
      <c r="CQ43" s="648"/>
      <c r="CR43" s="648"/>
      <c r="CS43" s="648"/>
      <c r="CT43" s="648"/>
      <c r="CU43" s="648"/>
      <c r="CV43" s="648"/>
      <c r="CW43" s="648"/>
      <c r="CX43" s="648"/>
      <c r="CY43" s="648"/>
      <c r="CZ43" s="648"/>
      <c r="DA43" s="648"/>
      <c r="DB43" s="648"/>
      <c r="DC43" s="648"/>
      <c r="DD43" s="648"/>
      <c r="DE43" s="648"/>
      <c r="DF43" s="648"/>
      <c r="DG43" s="648"/>
      <c r="DH43" s="648"/>
      <c r="DI43" s="648"/>
      <c r="DJ43" s="648"/>
      <c r="DK43" s="648"/>
      <c r="DL43" s="648"/>
      <c r="DM43" s="648"/>
      <c r="DN43" s="648"/>
      <c r="DO43" s="648"/>
      <c r="DP43" s="648"/>
      <c r="DQ43" s="648"/>
      <c r="DR43" s="648"/>
      <c r="DS43" s="648"/>
      <c r="DT43" s="648"/>
      <c r="DU43" s="648"/>
      <c r="DV43" s="648"/>
      <c r="DW43" s="648"/>
      <c r="DX43" s="648"/>
      <c r="DY43" s="648"/>
      <c r="DZ43" s="648"/>
      <c r="EA43" s="648"/>
      <c r="EB43" s="648"/>
      <c r="EC43" s="648"/>
      <c r="ED43" s="648"/>
      <c r="EE43" s="648"/>
      <c r="EF43" s="648"/>
      <c r="EG43" s="648"/>
      <c r="EH43" s="648"/>
      <c r="EI43" s="648"/>
      <c r="EJ43" s="648"/>
      <c r="EK43" s="648"/>
      <c r="EL43" s="648"/>
      <c r="EM43" s="648"/>
      <c r="EN43" s="648"/>
      <c r="EO43" s="648"/>
      <c r="EP43" s="648"/>
      <c r="EQ43" s="648"/>
      <c r="ER43" s="648"/>
      <c r="ES43" s="648"/>
      <c r="ET43" s="648"/>
      <c r="EU43" s="648"/>
      <c r="EV43" s="648"/>
      <c r="EW43" s="648"/>
      <c r="EX43" s="648"/>
      <c r="EY43" s="648"/>
      <c r="EZ43" s="648"/>
      <c r="FA43" s="648"/>
      <c r="FB43" s="648"/>
      <c r="FC43" s="648"/>
      <c r="FD43" s="648"/>
      <c r="FE43" s="648"/>
      <c r="FF43" s="648"/>
      <c r="FG43" s="648"/>
      <c r="FH43" s="648"/>
      <c r="FI43" s="648"/>
      <c r="FJ43" s="648"/>
      <c r="FK43" s="648"/>
      <c r="FL43" s="648"/>
      <c r="FM43" s="648"/>
      <c r="FN43" s="648"/>
      <c r="FO43" s="648"/>
      <c r="FP43" s="648"/>
      <c r="FQ43" s="648"/>
      <c r="FR43" s="648"/>
      <c r="FS43" s="648"/>
      <c r="FT43" s="648"/>
      <c r="FU43" s="648"/>
      <c r="FV43" s="648"/>
      <c r="FW43" s="648"/>
      <c r="FX43" s="648"/>
      <c r="FY43" s="648"/>
      <c r="FZ43" s="648"/>
      <c r="GA43" s="648"/>
      <c r="GB43" s="648"/>
      <c r="GC43" s="648"/>
      <c r="GD43" s="648"/>
      <c r="GE43" s="648"/>
      <c r="GF43" s="648"/>
      <c r="GG43" s="648"/>
      <c r="GH43" s="648"/>
      <c r="GI43" s="648"/>
      <c r="GJ43" s="648"/>
      <c r="GK43" s="648"/>
      <c r="GL43" s="648"/>
      <c r="GM43" s="648"/>
      <c r="GN43" s="648"/>
      <c r="GO43" s="648"/>
      <c r="GP43" s="648"/>
      <c r="GQ43" s="648"/>
      <c r="GR43" s="648"/>
      <c r="GS43" s="648"/>
      <c r="GT43" s="648"/>
      <c r="GU43" s="648"/>
      <c r="GV43" s="648"/>
      <c r="GW43" s="648"/>
      <c r="GX43" s="648"/>
      <c r="GY43" s="648"/>
      <c r="GZ43" s="648"/>
      <c r="HA43" s="648"/>
      <c r="HB43" s="648"/>
      <c r="HC43" s="648"/>
      <c r="HD43" s="648"/>
      <c r="HE43" s="648"/>
      <c r="HF43" s="648"/>
      <c r="HG43" s="648"/>
      <c r="HH43" s="648"/>
      <c r="HI43" s="648"/>
      <c r="HJ43" s="648"/>
      <c r="HK43" s="648"/>
      <c r="HL43" s="648"/>
      <c r="HM43" s="648"/>
      <c r="HN43" s="648"/>
      <c r="HO43" s="648"/>
      <c r="HP43" s="648"/>
      <c r="HQ43" s="648"/>
      <c r="HR43" s="648"/>
      <c r="HS43" s="648"/>
      <c r="HT43" s="648"/>
      <c r="HU43" s="648"/>
      <c r="HV43" s="648"/>
      <c r="HW43" s="648"/>
      <c r="HX43" s="648"/>
      <c r="HY43" s="648"/>
      <c r="HZ43" s="648"/>
      <c r="IA43" s="648"/>
      <c r="IB43" s="648"/>
      <c r="IC43" s="648"/>
      <c r="ID43" s="648"/>
      <c r="IE43" s="648"/>
      <c r="IF43" s="648"/>
      <c r="IG43" s="648"/>
      <c r="IH43" s="648"/>
      <c r="II43" s="648"/>
      <c r="IJ43" s="648"/>
      <c r="IK43" s="648"/>
      <c r="IL43" s="648"/>
      <c r="IM43" s="648"/>
      <c r="IN43" s="648"/>
      <c r="IO43" s="648"/>
      <c r="IP43" s="648"/>
      <c r="IQ43" s="648"/>
      <c r="IR43" s="648"/>
      <c r="IS43" s="648"/>
      <c r="IT43" s="648"/>
      <c r="IU43" s="648"/>
      <c r="IV43" s="648"/>
    </row>
    <row r="44" spans="1:256" s="313" customFormat="1">
      <c r="A44" s="490"/>
      <c r="B44" s="490"/>
      <c r="C44" s="490"/>
      <c r="D44" s="490"/>
      <c r="E44" s="490"/>
      <c r="F44" s="490"/>
      <c r="G44" s="490"/>
      <c r="H44" s="490"/>
      <c r="I44" s="490"/>
      <c r="J44" s="490"/>
      <c r="K44" s="490"/>
    </row>
    <row r="45" spans="1:256" s="313" customFormat="1">
      <c r="A45" s="490"/>
      <c r="B45" s="490"/>
      <c r="C45" s="490"/>
      <c r="D45" s="490"/>
      <c r="E45" s="490"/>
      <c r="F45" s="490"/>
      <c r="G45" s="490"/>
      <c r="H45" s="490"/>
      <c r="I45" s="490"/>
      <c r="J45" s="490"/>
      <c r="K45" s="490"/>
    </row>
    <row r="46" spans="1:256" s="313" customFormat="1">
      <c r="A46" s="569" t="s">
        <v>547</v>
      </c>
      <c r="B46" s="570"/>
      <c r="C46" s="570"/>
      <c r="D46" s="570"/>
      <c r="E46" s="571"/>
      <c r="F46" s="570"/>
      <c r="G46" s="570"/>
      <c r="H46" s="570"/>
      <c r="I46" s="570"/>
      <c r="J46" s="570"/>
      <c r="K46" s="570"/>
      <c r="S46" s="561"/>
    </row>
    <row r="47" spans="1:256" s="313" customFormat="1" ht="24.75" customHeight="1">
      <c r="A47" s="840" t="s">
        <v>559</v>
      </c>
      <c r="B47" s="840"/>
      <c r="C47" s="840"/>
      <c r="D47" s="840"/>
      <c r="E47" s="840"/>
      <c r="F47" s="840"/>
      <c r="G47" s="840"/>
      <c r="H47" s="840"/>
      <c r="I47" s="840"/>
      <c r="J47" s="840"/>
      <c r="K47" s="840"/>
      <c r="S47" s="561"/>
    </row>
    <row r="48" spans="1:256" s="313" customFormat="1">
      <c r="A48" s="572"/>
      <c r="B48" s="570"/>
      <c r="C48" s="570"/>
      <c r="D48" s="570"/>
      <c r="E48" s="571"/>
      <c r="F48" s="570"/>
      <c r="G48" s="570"/>
      <c r="H48" s="570"/>
      <c r="I48" s="570"/>
      <c r="J48" s="570"/>
      <c r="K48" s="570"/>
      <c r="S48" s="561"/>
    </row>
    <row r="49" spans="1:256" s="313" customFormat="1" ht="87.75" customHeight="1">
      <c r="A49" s="840" t="s">
        <v>556</v>
      </c>
      <c r="B49" s="840"/>
      <c r="C49" s="840"/>
      <c r="D49" s="840"/>
      <c r="E49" s="840"/>
      <c r="F49" s="840"/>
      <c r="G49" s="840"/>
      <c r="H49" s="840"/>
      <c r="I49" s="840"/>
      <c r="J49" s="840"/>
      <c r="K49" s="840"/>
      <c r="S49" s="561"/>
    </row>
    <row r="50" spans="1:256" s="313" customFormat="1" ht="50.25" customHeight="1">
      <c r="A50" s="840" t="s">
        <v>549</v>
      </c>
      <c r="B50" s="840"/>
      <c r="C50" s="840"/>
      <c r="D50" s="840"/>
      <c r="E50" s="840"/>
      <c r="F50" s="840"/>
      <c r="G50" s="840"/>
      <c r="H50" s="840"/>
      <c r="I50" s="840"/>
      <c r="J50" s="840"/>
      <c r="K50" s="840"/>
      <c r="L50" s="648"/>
      <c r="M50" s="648"/>
      <c r="N50" s="648"/>
      <c r="O50" s="648"/>
      <c r="P50" s="648"/>
      <c r="Q50" s="648"/>
      <c r="R50" s="648"/>
      <c r="S50" s="648"/>
      <c r="T50" s="648"/>
      <c r="U50" s="648"/>
      <c r="V50" s="648"/>
      <c r="W50" s="648"/>
      <c r="X50" s="648"/>
      <c r="Y50" s="648"/>
      <c r="Z50" s="648"/>
      <c r="AA50" s="649"/>
      <c r="AB50" s="649"/>
      <c r="AC50" s="648"/>
      <c r="AD50" s="648"/>
      <c r="AE50" s="648"/>
      <c r="AF50" s="648"/>
      <c r="AG50" s="648"/>
      <c r="AH50" s="648"/>
      <c r="AI50" s="648"/>
      <c r="AJ50" s="648"/>
      <c r="AK50" s="648"/>
      <c r="AL50" s="648"/>
      <c r="AM50" s="648"/>
      <c r="AN50" s="648"/>
      <c r="AO50" s="648"/>
      <c r="AP50" s="648"/>
      <c r="AQ50" s="648"/>
      <c r="AR50" s="648"/>
      <c r="AS50" s="648"/>
      <c r="AT50" s="648"/>
      <c r="AU50" s="648"/>
      <c r="AV50" s="648"/>
      <c r="AW50" s="648"/>
      <c r="AX50" s="648"/>
      <c r="AY50" s="648"/>
      <c r="AZ50" s="648"/>
      <c r="BA50" s="648"/>
      <c r="BB50" s="648"/>
      <c r="BC50" s="648"/>
      <c r="BD50" s="648"/>
      <c r="BE50" s="648"/>
      <c r="BF50" s="648"/>
      <c r="BG50" s="648"/>
      <c r="BH50" s="648"/>
      <c r="BI50" s="648"/>
      <c r="BJ50" s="648"/>
      <c r="BK50" s="648"/>
      <c r="BL50" s="648"/>
      <c r="BM50" s="648"/>
      <c r="BN50" s="648"/>
      <c r="BO50" s="648"/>
      <c r="BP50" s="648"/>
      <c r="BQ50" s="648"/>
      <c r="BR50" s="648"/>
      <c r="BS50" s="648"/>
      <c r="BT50" s="648"/>
      <c r="BU50" s="648"/>
      <c r="BV50" s="648"/>
      <c r="BW50" s="648"/>
      <c r="BX50" s="648"/>
      <c r="BY50" s="648"/>
      <c r="BZ50" s="648"/>
      <c r="CA50" s="648"/>
      <c r="CB50" s="648"/>
      <c r="CC50" s="648"/>
      <c r="CD50" s="648"/>
      <c r="CE50" s="648"/>
      <c r="CF50" s="648"/>
      <c r="CG50" s="648"/>
      <c r="CH50" s="648"/>
      <c r="CI50" s="648"/>
      <c r="CJ50" s="648"/>
      <c r="CK50" s="648"/>
      <c r="CL50" s="648"/>
      <c r="CM50" s="648"/>
      <c r="CN50" s="648"/>
      <c r="CO50" s="648"/>
      <c r="CP50" s="648"/>
      <c r="CQ50" s="648"/>
      <c r="CR50" s="648"/>
      <c r="CS50" s="648"/>
      <c r="CT50" s="648"/>
      <c r="CU50" s="648"/>
      <c r="CV50" s="648"/>
      <c r="CW50" s="648"/>
      <c r="CX50" s="648"/>
      <c r="CY50" s="648"/>
      <c r="CZ50" s="648"/>
      <c r="DA50" s="648"/>
      <c r="DB50" s="648"/>
      <c r="DC50" s="648"/>
      <c r="DD50" s="648"/>
      <c r="DE50" s="648"/>
      <c r="DF50" s="648"/>
      <c r="DG50" s="648"/>
      <c r="DH50" s="648"/>
      <c r="DI50" s="648"/>
      <c r="DJ50" s="648"/>
      <c r="DK50" s="648"/>
      <c r="DL50" s="648"/>
      <c r="DM50" s="648"/>
      <c r="DN50" s="648"/>
      <c r="DO50" s="648"/>
      <c r="DP50" s="648"/>
      <c r="DQ50" s="648"/>
      <c r="DR50" s="648"/>
      <c r="DS50" s="648"/>
      <c r="DT50" s="648"/>
      <c r="DU50" s="648"/>
      <c r="DV50" s="648"/>
      <c r="DW50" s="648"/>
      <c r="DX50" s="648"/>
      <c r="DY50" s="648"/>
      <c r="DZ50" s="648"/>
      <c r="EA50" s="648"/>
      <c r="EB50" s="648"/>
      <c r="EC50" s="648"/>
      <c r="ED50" s="648"/>
      <c r="EE50" s="648"/>
      <c r="EF50" s="648"/>
      <c r="EG50" s="648"/>
      <c r="EH50" s="648"/>
      <c r="EI50" s="648"/>
      <c r="EJ50" s="648"/>
      <c r="EK50" s="648"/>
      <c r="EL50" s="648"/>
      <c r="EM50" s="648"/>
      <c r="EN50" s="648"/>
      <c r="EO50" s="648"/>
      <c r="EP50" s="648"/>
      <c r="EQ50" s="648"/>
      <c r="ER50" s="648"/>
      <c r="ES50" s="648"/>
      <c r="ET50" s="648"/>
      <c r="EU50" s="648"/>
      <c r="EV50" s="648"/>
      <c r="EW50" s="648"/>
      <c r="EX50" s="648"/>
      <c r="EY50" s="648"/>
      <c r="EZ50" s="648"/>
      <c r="FA50" s="648"/>
      <c r="FB50" s="648"/>
      <c r="FC50" s="648"/>
      <c r="FD50" s="648"/>
      <c r="FE50" s="648"/>
      <c r="FF50" s="648"/>
      <c r="FG50" s="648"/>
      <c r="FH50" s="648"/>
      <c r="FI50" s="648"/>
      <c r="FJ50" s="648"/>
      <c r="FK50" s="648"/>
      <c r="FL50" s="648"/>
      <c r="FM50" s="648"/>
      <c r="FN50" s="648"/>
      <c r="FO50" s="648"/>
      <c r="FP50" s="648"/>
      <c r="FQ50" s="648"/>
      <c r="FR50" s="648"/>
      <c r="FS50" s="648"/>
      <c r="FT50" s="648"/>
      <c r="FU50" s="648"/>
      <c r="FV50" s="648"/>
      <c r="FW50" s="648"/>
      <c r="FX50" s="648"/>
      <c r="FY50" s="648"/>
      <c r="FZ50" s="648"/>
      <c r="GA50" s="648"/>
      <c r="GB50" s="648"/>
      <c r="GC50" s="648"/>
      <c r="GD50" s="648"/>
      <c r="GE50" s="648"/>
      <c r="GF50" s="648"/>
      <c r="GG50" s="648"/>
      <c r="GH50" s="648"/>
      <c r="GI50" s="648"/>
      <c r="GJ50" s="648"/>
      <c r="GK50" s="648"/>
      <c r="GL50" s="648"/>
      <c r="GM50" s="648"/>
      <c r="GN50" s="648"/>
      <c r="GO50" s="648"/>
      <c r="GP50" s="648"/>
      <c r="GQ50" s="648"/>
      <c r="GR50" s="648"/>
      <c r="GS50" s="648"/>
      <c r="GT50" s="648"/>
      <c r="GU50" s="648"/>
      <c r="GV50" s="648"/>
      <c r="GW50" s="648"/>
      <c r="GX50" s="648"/>
      <c r="GY50" s="648"/>
      <c r="GZ50" s="648"/>
      <c r="HA50" s="648"/>
      <c r="HB50" s="648"/>
      <c r="HC50" s="648"/>
      <c r="HD50" s="648"/>
      <c r="HE50" s="648"/>
      <c r="HF50" s="648"/>
      <c r="HG50" s="648"/>
      <c r="HH50" s="648"/>
      <c r="HI50" s="648"/>
      <c r="HJ50" s="648"/>
      <c r="HK50" s="648"/>
      <c r="HL50" s="648"/>
      <c r="HM50" s="648"/>
      <c r="HN50" s="648"/>
      <c r="HO50" s="648"/>
      <c r="HP50" s="648"/>
      <c r="HQ50" s="648"/>
      <c r="HR50" s="648"/>
      <c r="HS50" s="648"/>
      <c r="HT50" s="648"/>
      <c r="HU50" s="648"/>
      <c r="HV50" s="648"/>
      <c r="HW50" s="648"/>
      <c r="HX50" s="648"/>
      <c r="HY50" s="648"/>
      <c r="HZ50" s="648"/>
      <c r="IA50" s="648"/>
      <c r="IB50" s="648"/>
      <c r="IC50" s="648"/>
      <c r="ID50" s="648"/>
      <c r="IE50" s="648"/>
      <c r="IF50" s="648"/>
      <c r="IG50" s="648"/>
      <c r="IH50" s="648"/>
      <c r="II50" s="648"/>
      <c r="IJ50" s="648"/>
      <c r="IK50" s="648"/>
      <c r="IL50" s="648"/>
      <c r="IM50" s="648"/>
      <c r="IN50" s="648"/>
      <c r="IO50" s="648"/>
      <c r="IP50" s="648"/>
      <c r="IQ50" s="648"/>
      <c r="IR50" s="648"/>
      <c r="IS50" s="648"/>
      <c r="IT50" s="648"/>
      <c r="IU50" s="648"/>
      <c r="IV50" s="648"/>
    </row>
    <row r="51" spans="1:256" s="313" customFormat="1" ht="26.25" customHeight="1">
      <c r="A51" s="840" t="s">
        <v>551</v>
      </c>
      <c r="B51" s="840"/>
      <c r="C51" s="840"/>
      <c r="D51" s="840"/>
      <c r="E51" s="840"/>
      <c r="F51" s="840"/>
      <c r="G51" s="840"/>
      <c r="H51" s="840"/>
      <c r="I51" s="840"/>
      <c r="J51" s="840"/>
      <c r="K51" s="840"/>
      <c r="L51" s="648"/>
      <c r="M51" s="648"/>
      <c r="N51" s="648"/>
      <c r="O51" s="648"/>
      <c r="P51" s="648"/>
      <c r="Q51" s="648"/>
      <c r="R51" s="648"/>
      <c r="S51" s="648"/>
      <c r="T51" s="648"/>
      <c r="U51" s="648"/>
      <c r="V51" s="648"/>
      <c r="W51" s="648"/>
      <c r="X51" s="648"/>
      <c r="Y51" s="648"/>
      <c r="Z51" s="648"/>
      <c r="AA51" s="649"/>
      <c r="AB51" s="649"/>
      <c r="AC51" s="648"/>
      <c r="AD51" s="648"/>
      <c r="AE51" s="648"/>
      <c r="AF51" s="648"/>
      <c r="AG51" s="648"/>
      <c r="AH51" s="648"/>
      <c r="AI51" s="648"/>
      <c r="AJ51" s="648"/>
      <c r="AK51" s="648"/>
      <c r="AL51" s="648"/>
      <c r="AM51" s="648"/>
      <c r="AN51" s="648"/>
      <c r="AO51" s="648"/>
      <c r="AP51" s="648"/>
      <c r="AQ51" s="648"/>
      <c r="AR51" s="648"/>
      <c r="AS51" s="648"/>
      <c r="AT51" s="648"/>
      <c r="AU51" s="648"/>
      <c r="AV51" s="648"/>
      <c r="AW51" s="648"/>
      <c r="AX51" s="648"/>
      <c r="AY51" s="648"/>
      <c r="AZ51" s="648"/>
      <c r="BA51" s="648"/>
      <c r="BB51" s="648"/>
      <c r="BC51" s="648"/>
      <c r="BD51" s="648"/>
      <c r="BE51" s="648"/>
      <c r="BF51" s="648"/>
      <c r="BG51" s="648"/>
      <c r="BH51" s="648"/>
      <c r="BI51" s="648"/>
      <c r="BJ51" s="648"/>
      <c r="BK51" s="648"/>
      <c r="BL51" s="648"/>
      <c r="BM51" s="648"/>
      <c r="BN51" s="648"/>
      <c r="BO51" s="648"/>
      <c r="BP51" s="648"/>
      <c r="BQ51" s="648"/>
      <c r="BR51" s="648"/>
      <c r="BS51" s="648"/>
      <c r="BT51" s="648"/>
      <c r="BU51" s="648"/>
      <c r="BV51" s="648"/>
      <c r="BW51" s="648"/>
      <c r="BX51" s="648"/>
      <c r="BY51" s="648"/>
      <c r="BZ51" s="648"/>
      <c r="CA51" s="648"/>
      <c r="CB51" s="648"/>
      <c r="CC51" s="648"/>
      <c r="CD51" s="648"/>
      <c r="CE51" s="648"/>
      <c r="CF51" s="648"/>
      <c r="CG51" s="648"/>
      <c r="CH51" s="648"/>
      <c r="CI51" s="648"/>
      <c r="CJ51" s="648"/>
      <c r="CK51" s="648"/>
      <c r="CL51" s="648"/>
      <c r="CM51" s="648"/>
      <c r="CN51" s="648"/>
      <c r="CO51" s="648"/>
      <c r="CP51" s="648"/>
      <c r="CQ51" s="648"/>
      <c r="CR51" s="648"/>
      <c r="CS51" s="648"/>
      <c r="CT51" s="648"/>
      <c r="CU51" s="648"/>
      <c r="CV51" s="648"/>
      <c r="CW51" s="648"/>
      <c r="CX51" s="648"/>
      <c r="CY51" s="648"/>
      <c r="CZ51" s="648"/>
      <c r="DA51" s="648"/>
      <c r="DB51" s="648"/>
      <c r="DC51" s="648"/>
      <c r="DD51" s="648"/>
      <c r="DE51" s="648"/>
      <c r="DF51" s="648"/>
      <c r="DG51" s="648"/>
      <c r="DH51" s="648"/>
      <c r="DI51" s="648"/>
      <c r="DJ51" s="648"/>
      <c r="DK51" s="648"/>
      <c r="DL51" s="648"/>
      <c r="DM51" s="648"/>
      <c r="DN51" s="648"/>
      <c r="DO51" s="648"/>
      <c r="DP51" s="648"/>
      <c r="DQ51" s="648"/>
      <c r="DR51" s="648"/>
      <c r="DS51" s="648"/>
      <c r="DT51" s="648"/>
      <c r="DU51" s="648"/>
      <c r="DV51" s="648"/>
      <c r="DW51" s="648"/>
      <c r="DX51" s="648"/>
      <c r="DY51" s="648"/>
      <c r="DZ51" s="648"/>
      <c r="EA51" s="648"/>
      <c r="EB51" s="648"/>
      <c r="EC51" s="648"/>
      <c r="ED51" s="648"/>
      <c r="EE51" s="648"/>
      <c r="EF51" s="648"/>
      <c r="EG51" s="648"/>
      <c r="EH51" s="648"/>
      <c r="EI51" s="648"/>
      <c r="EJ51" s="648"/>
      <c r="EK51" s="648"/>
      <c r="EL51" s="648"/>
      <c r="EM51" s="648"/>
      <c r="EN51" s="648"/>
      <c r="EO51" s="648"/>
      <c r="EP51" s="648"/>
      <c r="EQ51" s="648"/>
      <c r="ER51" s="648"/>
      <c r="ES51" s="648"/>
      <c r="ET51" s="648"/>
      <c r="EU51" s="648"/>
      <c r="EV51" s="648"/>
      <c r="EW51" s="648"/>
      <c r="EX51" s="648"/>
      <c r="EY51" s="648"/>
      <c r="EZ51" s="648"/>
      <c r="FA51" s="648"/>
      <c r="FB51" s="648"/>
      <c r="FC51" s="648"/>
      <c r="FD51" s="648"/>
      <c r="FE51" s="648"/>
      <c r="FF51" s="648"/>
      <c r="FG51" s="648"/>
      <c r="FH51" s="648"/>
      <c r="FI51" s="648"/>
      <c r="FJ51" s="648"/>
      <c r="FK51" s="648"/>
      <c r="FL51" s="648"/>
      <c r="FM51" s="648"/>
      <c r="FN51" s="648"/>
      <c r="FO51" s="648"/>
      <c r="FP51" s="648"/>
      <c r="FQ51" s="648"/>
      <c r="FR51" s="648"/>
      <c r="FS51" s="648"/>
      <c r="FT51" s="648"/>
      <c r="FU51" s="648"/>
      <c r="FV51" s="648"/>
      <c r="FW51" s="648"/>
      <c r="FX51" s="648"/>
      <c r="FY51" s="648"/>
      <c r="FZ51" s="648"/>
      <c r="GA51" s="648"/>
      <c r="GB51" s="648"/>
      <c r="GC51" s="648"/>
      <c r="GD51" s="648"/>
      <c r="GE51" s="648"/>
      <c r="GF51" s="648"/>
      <c r="GG51" s="648"/>
      <c r="GH51" s="648"/>
      <c r="GI51" s="648"/>
      <c r="GJ51" s="648"/>
      <c r="GK51" s="648"/>
      <c r="GL51" s="648"/>
      <c r="GM51" s="648"/>
      <c r="GN51" s="648"/>
      <c r="GO51" s="648"/>
      <c r="GP51" s="648"/>
      <c r="GQ51" s="648"/>
      <c r="GR51" s="648"/>
      <c r="GS51" s="648"/>
      <c r="GT51" s="648"/>
      <c r="GU51" s="648"/>
      <c r="GV51" s="648"/>
      <c r="GW51" s="648"/>
      <c r="GX51" s="648"/>
      <c r="GY51" s="648"/>
      <c r="GZ51" s="648"/>
      <c r="HA51" s="648"/>
      <c r="HB51" s="648"/>
      <c r="HC51" s="648"/>
      <c r="HD51" s="648"/>
      <c r="HE51" s="648"/>
      <c r="HF51" s="648"/>
      <c r="HG51" s="648"/>
      <c r="HH51" s="648"/>
      <c r="HI51" s="648"/>
      <c r="HJ51" s="648"/>
      <c r="HK51" s="648"/>
      <c r="HL51" s="648"/>
      <c r="HM51" s="648"/>
      <c r="HN51" s="648"/>
      <c r="HO51" s="648"/>
      <c r="HP51" s="648"/>
      <c r="HQ51" s="648"/>
      <c r="HR51" s="648"/>
      <c r="HS51" s="648"/>
      <c r="HT51" s="648"/>
      <c r="HU51" s="648"/>
      <c r="HV51" s="648"/>
      <c r="HW51" s="648"/>
      <c r="HX51" s="648"/>
      <c r="HY51" s="648"/>
      <c r="HZ51" s="648"/>
      <c r="IA51" s="648"/>
      <c r="IB51" s="648"/>
      <c r="IC51" s="648"/>
      <c r="ID51" s="648"/>
      <c r="IE51" s="648"/>
      <c r="IF51" s="648"/>
      <c r="IG51" s="648"/>
      <c r="IH51" s="648"/>
      <c r="II51" s="648"/>
      <c r="IJ51" s="648"/>
      <c r="IK51" s="648"/>
      <c r="IL51" s="648"/>
      <c r="IM51" s="648"/>
      <c r="IN51" s="648"/>
      <c r="IO51" s="648"/>
      <c r="IP51" s="648"/>
      <c r="IQ51" s="648"/>
      <c r="IR51" s="648"/>
      <c r="IS51" s="648"/>
      <c r="IT51" s="648"/>
      <c r="IU51" s="648"/>
      <c r="IV51" s="648"/>
    </row>
    <row r="52" spans="1:256" s="313" customFormat="1" ht="25.5" customHeight="1">
      <c r="A52" s="840" t="s">
        <v>135</v>
      </c>
      <c r="B52" s="840"/>
      <c r="C52" s="840"/>
      <c r="D52" s="840"/>
      <c r="E52" s="840"/>
      <c r="F52" s="840"/>
      <c r="G52" s="840"/>
      <c r="H52" s="840"/>
      <c r="I52" s="840"/>
      <c r="J52" s="840"/>
      <c r="K52" s="840"/>
      <c r="L52" s="648"/>
      <c r="M52" s="648"/>
      <c r="N52" s="648"/>
      <c r="O52" s="648"/>
      <c r="P52" s="648"/>
      <c r="Q52" s="648"/>
      <c r="R52" s="648"/>
      <c r="S52" s="648"/>
      <c r="T52" s="648"/>
      <c r="U52" s="648"/>
      <c r="V52" s="648"/>
      <c r="W52" s="648"/>
      <c r="X52" s="648"/>
      <c r="Y52" s="648"/>
      <c r="Z52" s="648"/>
      <c r="AA52" s="649"/>
      <c r="AB52" s="649"/>
      <c r="AC52" s="648"/>
      <c r="AD52" s="648"/>
      <c r="AE52" s="648"/>
      <c r="AF52" s="648"/>
      <c r="AG52" s="648"/>
      <c r="AH52" s="648"/>
      <c r="AI52" s="648"/>
      <c r="AJ52" s="648"/>
      <c r="AK52" s="648"/>
      <c r="AL52" s="648"/>
      <c r="AM52" s="648"/>
      <c r="AN52" s="648"/>
      <c r="AO52" s="648"/>
      <c r="AP52" s="648"/>
      <c r="AQ52" s="648"/>
      <c r="AR52" s="648"/>
      <c r="AS52" s="648"/>
      <c r="AT52" s="648"/>
      <c r="AU52" s="648"/>
      <c r="AV52" s="648"/>
      <c r="AW52" s="648"/>
      <c r="AX52" s="648"/>
      <c r="AY52" s="648"/>
      <c r="AZ52" s="648"/>
      <c r="BA52" s="648"/>
      <c r="BB52" s="648"/>
      <c r="BC52" s="648"/>
      <c r="BD52" s="648"/>
      <c r="BE52" s="648"/>
      <c r="BF52" s="648"/>
      <c r="BG52" s="648"/>
      <c r="BH52" s="648"/>
      <c r="BI52" s="648"/>
      <c r="BJ52" s="648"/>
      <c r="BK52" s="648"/>
      <c r="BL52" s="648"/>
      <c r="BM52" s="648"/>
      <c r="BN52" s="648"/>
      <c r="BO52" s="648"/>
      <c r="BP52" s="648"/>
      <c r="BQ52" s="648"/>
      <c r="BR52" s="648"/>
      <c r="BS52" s="648"/>
      <c r="BT52" s="648"/>
      <c r="BU52" s="648"/>
      <c r="BV52" s="648"/>
      <c r="BW52" s="648"/>
      <c r="BX52" s="648"/>
      <c r="BY52" s="648"/>
      <c r="BZ52" s="648"/>
      <c r="CA52" s="648"/>
      <c r="CB52" s="648"/>
      <c r="CC52" s="648"/>
      <c r="CD52" s="648"/>
      <c r="CE52" s="648"/>
      <c r="CF52" s="648"/>
      <c r="CG52" s="648"/>
      <c r="CH52" s="648"/>
      <c r="CI52" s="648"/>
      <c r="CJ52" s="648"/>
      <c r="CK52" s="648"/>
      <c r="CL52" s="648"/>
      <c r="CM52" s="648"/>
      <c r="CN52" s="648"/>
      <c r="CO52" s="648"/>
      <c r="CP52" s="648"/>
      <c r="CQ52" s="648"/>
      <c r="CR52" s="648"/>
      <c r="CS52" s="648"/>
      <c r="CT52" s="648"/>
      <c r="CU52" s="648"/>
      <c r="CV52" s="648"/>
      <c r="CW52" s="648"/>
      <c r="CX52" s="648"/>
      <c r="CY52" s="648"/>
      <c r="CZ52" s="648"/>
      <c r="DA52" s="648"/>
      <c r="DB52" s="648"/>
      <c r="DC52" s="648"/>
      <c r="DD52" s="648"/>
      <c r="DE52" s="648"/>
      <c r="DF52" s="648"/>
      <c r="DG52" s="648"/>
      <c r="DH52" s="648"/>
      <c r="DI52" s="648"/>
      <c r="DJ52" s="648"/>
      <c r="DK52" s="648"/>
      <c r="DL52" s="648"/>
      <c r="DM52" s="648"/>
      <c r="DN52" s="648"/>
      <c r="DO52" s="648"/>
      <c r="DP52" s="648"/>
      <c r="DQ52" s="648"/>
      <c r="DR52" s="648"/>
      <c r="DS52" s="648"/>
      <c r="DT52" s="648"/>
      <c r="DU52" s="648"/>
      <c r="DV52" s="648"/>
      <c r="DW52" s="648"/>
      <c r="DX52" s="648"/>
      <c r="DY52" s="648"/>
      <c r="DZ52" s="648"/>
      <c r="EA52" s="648"/>
      <c r="EB52" s="648"/>
      <c r="EC52" s="648"/>
      <c r="ED52" s="648"/>
      <c r="EE52" s="648"/>
      <c r="EF52" s="648"/>
      <c r="EG52" s="648"/>
      <c r="EH52" s="648"/>
      <c r="EI52" s="648"/>
      <c r="EJ52" s="648"/>
      <c r="EK52" s="648"/>
      <c r="EL52" s="648"/>
      <c r="EM52" s="648"/>
      <c r="EN52" s="648"/>
      <c r="EO52" s="648"/>
      <c r="EP52" s="648"/>
      <c r="EQ52" s="648"/>
      <c r="ER52" s="648"/>
      <c r="ES52" s="648"/>
      <c r="ET52" s="648"/>
      <c r="EU52" s="648"/>
      <c r="EV52" s="648"/>
      <c r="EW52" s="648"/>
      <c r="EX52" s="648"/>
      <c r="EY52" s="648"/>
      <c r="EZ52" s="648"/>
      <c r="FA52" s="648"/>
      <c r="FB52" s="648"/>
      <c r="FC52" s="648"/>
      <c r="FD52" s="648"/>
      <c r="FE52" s="648"/>
      <c r="FF52" s="648"/>
      <c r="FG52" s="648"/>
      <c r="FH52" s="648"/>
      <c r="FI52" s="648"/>
      <c r="FJ52" s="648"/>
      <c r="FK52" s="648"/>
      <c r="FL52" s="648"/>
      <c r="FM52" s="648"/>
      <c r="FN52" s="648"/>
      <c r="FO52" s="648"/>
      <c r="FP52" s="648"/>
      <c r="FQ52" s="648"/>
      <c r="FR52" s="648"/>
      <c r="FS52" s="648"/>
      <c r="FT52" s="648"/>
      <c r="FU52" s="648"/>
      <c r="FV52" s="648"/>
      <c r="FW52" s="648"/>
      <c r="FX52" s="648"/>
      <c r="FY52" s="648"/>
      <c r="FZ52" s="648"/>
      <c r="GA52" s="648"/>
      <c r="GB52" s="648"/>
      <c r="GC52" s="648"/>
      <c r="GD52" s="648"/>
      <c r="GE52" s="648"/>
      <c r="GF52" s="648"/>
      <c r="GG52" s="648"/>
      <c r="GH52" s="648"/>
      <c r="GI52" s="648"/>
      <c r="GJ52" s="648"/>
      <c r="GK52" s="648"/>
      <c r="GL52" s="648"/>
      <c r="GM52" s="648"/>
      <c r="GN52" s="648"/>
      <c r="GO52" s="648"/>
      <c r="GP52" s="648"/>
      <c r="GQ52" s="648"/>
      <c r="GR52" s="648"/>
      <c r="GS52" s="648"/>
      <c r="GT52" s="648"/>
      <c r="GU52" s="648"/>
      <c r="GV52" s="648"/>
      <c r="GW52" s="648"/>
      <c r="GX52" s="648"/>
      <c r="GY52" s="648"/>
      <c r="GZ52" s="648"/>
      <c r="HA52" s="648"/>
      <c r="HB52" s="648"/>
      <c r="HC52" s="648"/>
      <c r="HD52" s="648"/>
      <c r="HE52" s="648"/>
      <c r="HF52" s="648"/>
      <c r="HG52" s="648"/>
      <c r="HH52" s="648"/>
      <c r="HI52" s="648"/>
      <c r="HJ52" s="648"/>
      <c r="HK52" s="648"/>
      <c r="HL52" s="648"/>
      <c r="HM52" s="648"/>
      <c r="HN52" s="648"/>
      <c r="HO52" s="648"/>
      <c r="HP52" s="648"/>
      <c r="HQ52" s="648"/>
      <c r="HR52" s="648"/>
      <c r="HS52" s="648"/>
      <c r="HT52" s="648"/>
      <c r="HU52" s="648"/>
      <c r="HV52" s="648"/>
      <c r="HW52" s="648"/>
      <c r="HX52" s="648"/>
      <c r="HY52" s="648"/>
      <c r="HZ52" s="648"/>
      <c r="IA52" s="648"/>
      <c r="IB52" s="648"/>
      <c r="IC52" s="648"/>
      <c r="ID52" s="648"/>
      <c r="IE52" s="648"/>
      <c r="IF52" s="648"/>
      <c r="IG52" s="648"/>
      <c r="IH52" s="648"/>
      <c r="II52" s="648"/>
      <c r="IJ52" s="648"/>
      <c r="IK52" s="648"/>
      <c r="IL52" s="648"/>
      <c r="IM52" s="648"/>
      <c r="IN52" s="648"/>
      <c r="IO52" s="648"/>
      <c r="IP52" s="648"/>
      <c r="IQ52" s="648"/>
      <c r="IR52" s="648"/>
      <c r="IS52" s="648"/>
      <c r="IT52" s="648"/>
      <c r="IU52" s="648"/>
      <c r="IV52" s="648"/>
    </row>
    <row r="53" spans="1:256" s="313" customFormat="1" ht="39" customHeight="1">
      <c r="A53" s="840" t="s">
        <v>550</v>
      </c>
      <c r="B53" s="840"/>
      <c r="C53" s="840"/>
      <c r="D53" s="840"/>
      <c r="E53" s="840"/>
      <c r="F53" s="840"/>
      <c r="G53" s="840"/>
      <c r="H53" s="840"/>
      <c r="I53" s="840"/>
      <c r="J53" s="840"/>
      <c r="K53" s="840"/>
      <c r="L53" s="648"/>
      <c r="M53" s="648"/>
      <c r="N53" s="648"/>
      <c r="O53" s="648"/>
      <c r="P53" s="648"/>
      <c r="Q53" s="648"/>
      <c r="R53" s="648"/>
      <c r="S53" s="648"/>
      <c r="T53" s="648"/>
      <c r="U53" s="648"/>
      <c r="V53" s="648"/>
      <c r="W53" s="648"/>
      <c r="X53" s="648"/>
      <c r="Y53" s="648"/>
      <c r="Z53" s="648"/>
      <c r="AA53" s="649"/>
      <c r="AB53" s="649"/>
      <c r="AC53" s="648"/>
      <c r="AD53" s="648"/>
      <c r="AE53" s="648"/>
      <c r="AF53" s="648"/>
      <c r="AG53" s="648"/>
      <c r="AH53" s="648"/>
      <c r="AI53" s="648"/>
      <c r="AJ53" s="648"/>
      <c r="AK53" s="648"/>
      <c r="AL53" s="648"/>
      <c r="AM53" s="648"/>
      <c r="AN53" s="648"/>
      <c r="AO53" s="648"/>
      <c r="AP53" s="648"/>
      <c r="AQ53" s="648"/>
      <c r="AR53" s="648"/>
      <c r="AS53" s="648"/>
      <c r="AT53" s="648"/>
      <c r="AU53" s="648"/>
      <c r="AV53" s="648"/>
      <c r="AW53" s="648"/>
      <c r="AX53" s="648"/>
      <c r="AY53" s="648"/>
      <c r="AZ53" s="648"/>
      <c r="BA53" s="648"/>
      <c r="BB53" s="648"/>
      <c r="BC53" s="648"/>
      <c r="BD53" s="648"/>
      <c r="BE53" s="648"/>
      <c r="BF53" s="648"/>
      <c r="BG53" s="648"/>
      <c r="BH53" s="648"/>
      <c r="BI53" s="648"/>
      <c r="BJ53" s="648"/>
      <c r="BK53" s="648"/>
      <c r="BL53" s="648"/>
      <c r="BM53" s="648"/>
      <c r="BN53" s="648"/>
      <c r="BO53" s="648"/>
      <c r="BP53" s="648"/>
      <c r="BQ53" s="648"/>
      <c r="BR53" s="648"/>
      <c r="BS53" s="648"/>
      <c r="BT53" s="648"/>
      <c r="BU53" s="648"/>
      <c r="BV53" s="648"/>
      <c r="BW53" s="648"/>
      <c r="BX53" s="648"/>
      <c r="BY53" s="648"/>
      <c r="BZ53" s="648"/>
      <c r="CA53" s="648"/>
      <c r="CB53" s="648"/>
      <c r="CC53" s="648"/>
      <c r="CD53" s="648"/>
      <c r="CE53" s="648"/>
      <c r="CF53" s="648"/>
      <c r="CG53" s="648"/>
      <c r="CH53" s="648"/>
      <c r="CI53" s="648"/>
      <c r="CJ53" s="648"/>
      <c r="CK53" s="648"/>
      <c r="CL53" s="648"/>
      <c r="CM53" s="648"/>
      <c r="CN53" s="648"/>
      <c r="CO53" s="648"/>
      <c r="CP53" s="648"/>
      <c r="CQ53" s="648"/>
      <c r="CR53" s="648"/>
      <c r="CS53" s="648"/>
      <c r="CT53" s="648"/>
      <c r="CU53" s="648"/>
      <c r="CV53" s="648"/>
      <c r="CW53" s="648"/>
      <c r="CX53" s="648"/>
      <c r="CY53" s="648"/>
      <c r="CZ53" s="648"/>
      <c r="DA53" s="648"/>
      <c r="DB53" s="648"/>
      <c r="DC53" s="648"/>
      <c r="DD53" s="648"/>
      <c r="DE53" s="648"/>
      <c r="DF53" s="648"/>
      <c r="DG53" s="648"/>
      <c r="DH53" s="648"/>
      <c r="DI53" s="648"/>
      <c r="DJ53" s="648"/>
      <c r="DK53" s="648"/>
      <c r="DL53" s="648"/>
      <c r="DM53" s="648"/>
      <c r="DN53" s="648"/>
      <c r="DO53" s="648"/>
      <c r="DP53" s="648"/>
      <c r="DQ53" s="648"/>
      <c r="DR53" s="648"/>
      <c r="DS53" s="648"/>
      <c r="DT53" s="648"/>
      <c r="DU53" s="648"/>
      <c r="DV53" s="648"/>
      <c r="DW53" s="648"/>
      <c r="DX53" s="648"/>
      <c r="DY53" s="648"/>
      <c r="DZ53" s="648"/>
      <c r="EA53" s="648"/>
      <c r="EB53" s="648"/>
      <c r="EC53" s="648"/>
      <c r="ED53" s="648"/>
      <c r="EE53" s="648"/>
      <c r="EF53" s="648"/>
      <c r="EG53" s="648"/>
      <c r="EH53" s="648"/>
      <c r="EI53" s="648"/>
      <c r="EJ53" s="648"/>
      <c r="EK53" s="648"/>
      <c r="EL53" s="648"/>
      <c r="EM53" s="648"/>
      <c r="EN53" s="648"/>
      <c r="EO53" s="648"/>
      <c r="EP53" s="648"/>
      <c r="EQ53" s="648"/>
      <c r="ER53" s="648"/>
      <c r="ES53" s="648"/>
      <c r="ET53" s="648"/>
      <c r="EU53" s="648"/>
      <c r="EV53" s="648"/>
      <c r="EW53" s="648"/>
      <c r="EX53" s="648"/>
      <c r="EY53" s="648"/>
      <c r="EZ53" s="648"/>
      <c r="FA53" s="648"/>
      <c r="FB53" s="648"/>
      <c r="FC53" s="648"/>
      <c r="FD53" s="648"/>
      <c r="FE53" s="648"/>
      <c r="FF53" s="648"/>
      <c r="FG53" s="648"/>
      <c r="FH53" s="648"/>
      <c r="FI53" s="648"/>
      <c r="FJ53" s="648"/>
      <c r="FK53" s="648"/>
      <c r="FL53" s="648"/>
      <c r="FM53" s="648"/>
      <c r="FN53" s="648"/>
      <c r="FO53" s="648"/>
      <c r="FP53" s="648"/>
      <c r="FQ53" s="648"/>
      <c r="FR53" s="648"/>
      <c r="FS53" s="648"/>
      <c r="FT53" s="648"/>
      <c r="FU53" s="648"/>
      <c r="FV53" s="648"/>
      <c r="FW53" s="648"/>
      <c r="FX53" s="648"/>
      <c r="FY53" s="648"/>
      <c r="FZ53" s="648"/>
      <c r="GA53" s="648"/>
      <c r="GB53" s="648"/>
      <c r="GC53" s="648"/>
      <c r="GD53" s="648"/>
      <c r="GE53" s="648"/>
      <c r="GF53" s="648"/>
      <c r="GG53" s="648"/>
      <c r="GH53" s="648"/>
      <c r="GI53" s="648"/>
      <c r="GJ53" s="648"/>
      <c r="GK53" s="648"/>
      <c r="GL53" s="648"/>
      <c r="GM53" s="648"/>
      <c r="GN53" s="648"/>
      <c r="GO53" s="648"/>
      <c r="GP53" s="648"/>
      <c r="GQ53" s="648"/>
      <c r="GR53" s="648"/>
      <c r="GS53" s="648"/>
      <c r="GT53" s="648"/>
      <c r="GU53" s="648"/>
      <c r="GV53" s="648"/>
      <c r="GW53" s="648"/>
      <c r="GX53" s="648"/>
      <c r="GY53" s="648"/>
      <c r="GZ53" s="648"/>
      <c r="HA53" s="648"/>
      <c r="HB53" s="648"/>
      <c r="HC53" s="648"/>
      <c r="HD53" s="648"/>
      <c r="HE53" s="648"/>
      <c r="HF53" s="648"/>
      <c r="HG53" s="648"/>
      <c r="HH53" s="648"/>
      <c r="HI53" s="648"/>
      <c r="HJ53" s="648"/>
      <c r="HK53" s="648"/>
      <c r="HL53" s="648"/>
      <c r="HM53" s="648"/>
      <c r="HN53" s="648"/>
      <c r="HO53" s="648"/>
      <c r="HP53" s="648"/>
      <c r="HQ53" s="648"/>
      <c r="HR53" s="648"/>
      <c r="HS53" s="648"/>
      <c r="HT53" s="648"/>
      <c r="HU53" s="648"/>
      <c r="HV53" s="648"/>
      <c r="HW53" s="648"/>
      <c r="HX53" s="648"/>
      <c r="HY53" s="648"/>
      <c r="HZ53" s="648"/>
      <c r="IA53" s="648"/>
      <c r="IB53" s="648"/>
      <c r="IC53" s="648"/>
      <c r="ID53" s="648"/>
      <c r="IE53" s="648"/>
      <c r="IF53" s="648"/>
      <c r="IG53" s="648"/>
      <c r="IH53" s="648"/>
      <c r="II53" s="648"/>
      <c r="IJ53" s="648"/>
      <c r="IK53" s="648"/>
      <c r="IL53" s="648"/>
      <c r="IM53" s="648"/>
      <c r="IN53" s="648"/>
      <c r="IO53" s="648"/>
      <c r="IP53" s="648"/>
      <c r="IQ53" s="648"/>
      <c r="IR53" s="648"/>
      <c r="IS53" s="648"/>
      <c r="IT53" s="648"/>
      <c r="IU53" s="648"/>
      <c r="IV53" s="648"/>
    </row>
    <row r="54" spans="1:256" s="313" customFormat="1" ht="63" customHeight="1">
      <c r="A54" s="840" t="s">
        <v>555</v>
      </c>
      <c r="B54" s="840"/>
      <c r="C54" s="840"/>
      <c r="D54" s="840"/>
      <c r="E54" s="840"/>
      <c r="F54" s="840"/>
      <c r="G54" s="840"/>
      <c r="H54" s="840"/>
      <c r="I54" s="840"/>
      <c r="J54" s="840"/>
      <c r="K54" s="840"/>
      <c r="L54" s="648"/>
      <c r="M54" s="648"/>
      <c r="N54" s="648"/>
      <c r="O54" s="648"/>
      <c r="P54" s="648"/>
      <c r="Q54" s="648"/>
      <c r="R54" s="648"/>
      <c r="S54" s="648"/>
      <c r="T54" s="648"/>
      <c r="U54" s="648"/>
      <c r="V54" s="648"/>
      <c r="W54" s="648"/>
      <c r="X54" s="648"/>
      <c r="Y54" s="648"/>
      <c r="Z54" s="648"/>
      <c r="AA54" s="649"/>
      <c r="AB54" s="649"/>
      <c r="AC54" s="648"/>
      <c r="AD54" s="648"/>
      <c r="AE54" s="648"/>
      <c r="AF54" s="648"/>
      <c r="AG54" s="648"/>
      <c r="AH54" s="648"/>
      <c r="AI54" s="648"/>
      <c r="AJ54" s="648"/>
      <c r="AK54" s="648"/>
      <c r="AL54" s="648"/>
      <c r="AM54" s="648"/>
      <c r="AN54" s="648"/>
      <c r="AO54" s="648"/>
      <c r="AP54" s="648"/>
      <c r="AQ54" s="648"/>
      <c r="AR54" s="648"/>
      <c r="AS54" s="648"/>
      <c r="AT54" s="648"/>
      <c r="AU54" s="648"/>
      <c r="AV54" s="648"/>
      <c r="AW54" s="648"/>
      <c r="AX54" s="648"/>
      <c r="AY54" s="648"/>
      <c r="AZ54" s="648"/>
      <c r="BA54" s="648"/>
      <c r="BB54" s="648"/>
      <c r="BC54" s="648"/>
      <c r="BD54" s="648"/>
      <c r="BE54" s="648"/>
      <c r="BF54" s="648"/>
      <c r="BG54" s="648"/>
      <c r="BH54" s="648"/>
      <c r="BI54" s="648"/>
      <c r="BJ54" s="648"/>
      <c r="BK54" s="648"/>
      <c r="BL54" s="648"/>
      <c r="BM54" s="648"/>
      <c r="BN54" s="648"/>
      <c r="BO54" s="648"/>
      <c r="BP54" s="648"/>
      <c r="BQ54" s="648"/>
      <c r="BR54" s="648"/>
      <c r="BS54" s="648"/>
      <c r="BT54" s="648"/>
      <c r="BU54" s="648"/>
      <c r="BV54" s="648"/>
      <c r="BW54" s="648"/>
      <c r="BX54" s="648"/>
      <c r="BY54" s="648"/>
      <c r="BZ54" s="648"/>
      <c r="CA54" s="648"/>
      <c r="CB54" s="648"/>
      <c r="CC54" s="648"/>
      <c r="CD54" s="648"/>
      <c r="CE54" s="648"/>
      <c r="CF54" s="648"/>
      <c r="CG54" s="648"/>
      <c r="CH54" s="648"/>
      <c r="CI54" s="648"/>
      <c r="CJ54" s="648"/>
      <c r="CK54" s="648"/>
      <c r="CL54" s="648"/>
      <c r="CM54" s="648"/>
      <c r="CN54" s="648"/>
      <c r="CO54" s="648"/>
      <c r="CP54" s="648"/>
      <c r="CQ54" s="648"/>
      <c r="CR54" s="648"/>
      <c r="CS54" s="648"/>
      <c r="CT54" s="648"/>
      <c r="CU54" s="648"/>
      <c r="CV54" s="648"/>
      <c r="CW54" s="648"/>
      <c r="CX54" s="648"/>
      <c r="CY54" s="648"/>
      <c r="CZ54" s="648"/>
      <c r="DA54" s="648"/>
      <c r="DB54" s="648"/>
      <c r="DC54" s="648"/>
      <c r="DD54" s="648"/>
      <c r="DE54" s="648"/>
      <c r="DF54" s="648"/>
      <c r="DG54" s="648"/>
      <c r="DH54" s="648"/>
      <c r="DI54" s="648"/>
      <c r="DJ54" s="648"/>
      <c r="DK54" s="648"/>
      <c r="DL54" s="648"/>
      <c r="DM54" s="648"/>
      <c r="DN54" s="648"/>
      <c r="DO54" s="648"/>
      <c r="DP54" s="648"/>
      <c r="DQ54" s="648"/>
      <c r="DR54" s="648"/>
      <c r="DS54" s="648"/>
      <c r="DT54" s="648"/>
      <c r="DU54" s="648"/>
      <c r="DV54" s="648"/>
      <c r="DW54" s="648"/>
      <c r="DX54" s="648"/>
      <c r="DY54" s="648"/>
      <c r="DZ54" s="648"/>
      <c r="EA54" s="648"/>
      <c r="EB54" s="648"/>
      <c r="EC54" s="648"/>
      <c r="ED54" s="648"/>
      <c r="EE54" s="648"/>
      <c r="EF54" s="648"/>
      <c r="EG54" s="648"/>
      <c r="EH54" s="648"/>
      <c r="EI54" s="648"/>
      <c r="EJ54" s="648"/>
      <c r="EK54" s="648"/>
      <c r="EL54" s="648"/>
      <c r="EM54" s="648"/>
      <c r="EN54" s="648"/>
      <c r="EO54" s="648"/>
      <c r="EP54" s="648"/>
      <c r="EQ54" s="648"/>
      <c r="ER54" s="648"/>
      <c r="ES54" s="648"/>
      <c r="ET54" s="648"/>
      <c r="EU54" s="648"/>
      <c r="EV54" s="648"/>
      <c r="EW54" s="648"/>
      <c r="EX54" s="648"/>
      <c r="EY54" s="648"/>
      <c r="EZ54" s="648"/>
      <c r="FA54" s="648"/>
      <c r="FB54" s="648"/>
      <c r="FC54" s="648"/>
      <c r="FD54" s="648"/>
      <c r="FE54" s="648"/>
      <c r="FF54" s="648"/>
      <c r="FG54" s="648"/>
      <c r="FH54" s="648"/>
      <c r="FI54" s="648"/>
      <c r="FJ54" s="648"/>
      <c r="FK54" s="648"/>
      <c r="FL54" s="648"/>
      <c r="FM54" s="648"/>
      <c r="FN54" s="648"/>
      <c r="FO54" s="648"/>
      <c r="FP54" s="648"/>
      <c r="FQ54" s="648"/>
      <c r="FR54" s="648"/>
      <c r="FS54" s="648"/>
      <c r="FT54" s="648"/>
      <c r="FU54" s="648"/>
      <c r="FV54" s="648"/>
      <c r="FW54" s="648"/>
      <c r="FX54" s="648"/>
      <c r="FY54" s="648"/>
      <c r="FZ54" s="648"/>
      <c r="GA54" s="648"/>
      <c r="GB54" s="648"/>
      <c r="GC54" s="648"/>
      <c r="GD54" s="648"/>
      <c r="GE54" s="648"/>
      <c r="GF54" s="648"/>
      <c r="GG54" s="648"/>
      <c r="GH54" s="648"/>
      <c r="GI54" s="648"/>
      <c r="GJ54" s="648"/>
      <c r="GK54" s="648"/>
      <c r="GL54" s="648"/>
      <c r="GM54" s="648"/>
      <c r="GN54" s="648"/>
      <c r="GO54" s="648"/>
      <c r="GP54" s="648"/>
      <c r="GQ54" s="648"/>
      <c r="GR54" s="648"/>
      <c r="GS54" s="648"/>
      <c r="GT54" s="648"/>
      <c r="GU54" s="648"/>
      <c r="GV54" s="648"/>
      <c r="GW54" s="648"/>
      <c r="GX54" s="648"/>
      <c r="GY54" s="648"/>
      <c r="GZ54" s="648"/>
      <c r="HA54" s="648"/>
      <c r="HB54" s="648"/>
      <c r="HC54" s="648"/>
      <c r="HD54" s="648"/>
      <c r="HE54" s="648"/>
      <c r="HF54" s="648"/>
      <c r="HG54" s="648"/>
      <c r="HH54" s="648"/>
      <c r="HI54" s="648"/>
      <c r="HJ54" s="648"/>
      <c r="HK54" s="648"/>
      <c r="HL54" s="648"/>
      <c r="HM54" s="648"/>
      <c r="HN54" s="648"/>
      <c r="HO54" s="648"/>
      <c r="HP54" s="648"/>
      <c r="HQ54" s="648"/>
      <c r="HR54" s="648"/>
      <c r="HS54" s="648"/>
      <c r="HT54" s="648"/>
      <c r="HU54" s="648"/>
      <c r="HV54" s="648"/>
      <c r="HW54" s="648"/>
      <c r="HX54" s="648"/>
      <c r="HY54" s="648"/>
      <c r="HZ54" s="648"/>
      <c r="IA54" s="648"/>
      <c r="IB54" s="648"/>
      <c r="IC54" s="648"/>
      <c r="ID54" s="648"/>
      <c r="IE54" s="648"/>
      <c r="IF54" s="648"/>
      <c r="IG54" s="648"/>
      <c r="IH54" s="648"/>
      <c r="II54" s="648"/>
      <c r="IJ54" s="648"/>
      <c r="IK54" s="648"/>
      <c r="IL54" s="648"/>
      <c r="IM54" s="648"/>
      <c r="IN54" s="648"/>
      <c r="IO54" s="648"/>
      <c r="IP54" s="648"/>
      <c r="IQ54" s="648"/>
      <c r="IR54" s="648"/>
      <c r="IS54" s="648"/>
      <c r="IT54" s="648"/>
      <c r="IU54" s="648"/>
      <c r="IV54" s="648"/>
    </row>
    <row r="55" spans="1:256" s="313" customFormat="1" ht="24.75" customHeight="1">
      <c r="A55" s="840" t="s">
        <v>953</v>
      </c>
      <c r="B55" s="840"/>
      <c r="C55" s="840"/>
      <c r="D55" s="840"/>
      <c r="E55" s="840"/>
      <c r="F55" s="840"/>
      <c r="G55" s="840"/>
      <c r="H55" s="840"/>
      <c r="I55" s="840"/>
      <c r="J55" s="840"/>
      <c r="K55" s="840"/>
      <c r="L55" s="648"/>
      <c r="M55" s="648"/>
      <c r="N55" s="648"/>
      <c r="O55" s="648"/>
      <c r="P55" s="648"/>
      <c r="Q55" s="648"/>
      <c r="R55" s="648"/>
      <c r="S55" s="648"/>
      <c r="T55" s="648"/>
      <c r="U55" s="648"/>
      <c r="V55" s="648"/>
      <c r="W55" s="648"/>
      <c r="X55" s="648"/>
      <c r="Y55" s="648"/>
      <c r="Z55" s="648"/>
      <c r="AA55" s="649"/>
      <c r="AB55" s="649"/>
      <c r="AC55" s="648"/>
      <c r="AD55" s="648"/>
      <c r="AE55" s="648"/>
      <c r="AF55" s="648"/>
      <c r="AG55" s="648"/>
      <c r="AH55" s="648"/>
      <c r="AI55" s="648"/>
      <c r="AJ55" s="648"/>
      <c r="AK55" s="648"/>
      <c r="AL55" s="648"/>
      <c r="AM55" s="648"/>
      <c r="AN55" s="648"/>
      <c r="AO55" s="648"/>
      <c r="AP55" s="648"/>
      <c r="AQ55" s="648"/>
      <c r="AR55" s="648"/>
      <c r="AS55" s="648"/>
      <c r="AT55" s="648"/>
      <c r="AU55" s="648"/>
      <c r="AV55" s="648"/>
      <c r="AW55" s="648"/>
      <c r="AX55" s="648"/>
      <c r="AY55" s="648"/>
      <c r="AZ55" s="648"/>
      <c r="BA55" s="648"/>
      <c r="BB55" s="648"/>
      <c r="BC55" s="648"/>
      <c r="BD55" s="648"/>
      <c r="BE55" s="648"/>
      <c r="BF55" s="648"/>
      <c r="BG55" s="648"/>
      <c r="BH55" s="648"/>
      <c r="BI55" s="648"/>
      <c r="BJ55" s="648"/>
      <c r="BK55" s="648"/>
      <c r="BL55" s="648"/>
      <c r="BM55" s="648"/>
      <c r="BN55" s="648"/>
      <c r="BO55" s="648"/>
      <c r="BP55" s="648"/>
      <c r="BQ55" s="648"/>
      <c r="BR55" s="648"/>
      <c r="BS55" s="648"/>
      <c r="BT55" s="648"/>
      <c r="BU55" s="648"/>
      <c r="BV55" s="648"/>
      <c r="BW55" s="648"/>
      <c r="BX55" s="648"/>
      <c r="BY55" s="648"/>
      <c r="BZ55" s="648"/>
      <c r="CA55" s="648"/>
      <c r="CB55" s="648"/>
      <c r="CC55" s="648"/>
      <c r="CD55" s="648"/>
      <c r="CE55" s="648"/>
      <c r="CF55" s="648"/>
      <c r="CG55" s="648"/>
      <c r="CH55" s="648"/>
      <c r="CI55" s="648"/>
      <c r="CJ55" s="648"/>
      <c r="CK55" s="648"/>
      <c r="CL55" s="648"/>
      <c r="CM55" s="648"/>
      <c r="CN55" s="648"/>
      <c r="CO55" s="648"/>
      <c r="CP55" s="648"/>
      <c r="CQ55" s="648"/>
      <c r="CR55" s="648"/>
      <c r="CS55" s="648"/>
      <c r="CT55" s="648"/>
      <c r="CU55" s="648"/>
      <c r="CV55" s="648"/>
      <c r="CW55" s="648"/>
      <c r="CX55" s="648"/>
      <c r="CY55" s="648"/>
      <c r="CZ55" s="648"/>
      <c r="DA55" s="648"/>
      <c r="DB55" s="648"/>
      <c r="DC55" s="648"/>
      <c r="DD55" s="648"/>
      <c r="DE55" s="648"/>
      <c r="DF55" s="648"/>
      <c r="DG55" s="648"/>
      <c r="DH55" s="648"/>
      <c r="DI55" s="648"/>
      <c r="DJ55" s="648"/>
      <c r="DK55" s="648"/>
      <c r="DL55" s="648"/>
      <c r="DM55" s="648"/>
      <c r="DN55" s="648"/>
      <c r="DO55" s="648"/>
      <c r="DP55" s="648"/>
      <c r="DQ55" s="648"/>
      <c r="DR55" s="648"/>
      <c r="DS55" s="648"/>
      <c r="DT55" s="648"/>
      <c r="DU55" s="648"/>
      <c r="DV55" s="648"/>
      <c r="DW55" s="648"/>
      <c r="DX55" s="648"/>
      <c r="DY55" s="648"/>
      <c r="DZ55" s="648"/>
      <c r="EA55" s="648"/>
      <c r="EB55" s="648"/>
      <c r="EC55" s="648"/>
      <c r="ED55" s="648"/>
      <c r="EE55" s="648"/>
      <c r="EF55" s="648"/>
      <c r="EG55" s="648"/>
      <c r="EH55" s="648"/>
      <c r="EI55" s="648"/>
      <c r="EJ55" s="648"/>
      <c r="EK55" s="648"/>
      <c r="EL55" s="648"/>
      <c r="EM55" s="648"/>
      <c r="EN55" s="648"/>
      <c r="EO55" s="648"/>
      <c r="EP55" s="648"/>
      <c r="EQ55" s="648"/>
      <c r="ER55" s="648"/>
      <c r="ES55" s="648"/>
      <c r="ET55" s="648"/>
      <c r="EU55" s="648"/>
      <c r="EV55" s="648"/>
      <c r="EW55" s="648"/>
      <c r="EX55" s="648"/>
      <c r="EY55" s="648"/>
      <c r="EZ55" s="648"/>
      <c r="FA55" s="648"/>
      <c r="FB55" s="648"/>
      <c r="FC55" s="648"/>
      <c r="FD55" s="648"/>
      <c r="FE55" s="648"/>
      <c r="FF55" s="648"/>
      <c r="FG55" s="648"/>
      <c r="FH55" s="648"/>
      <c r="FI55" s="648"/>
      <c r="FJ55" s="648"/>
      <c r="FK55" s="648"/>
      <c r="FL55" s="648"/>
      <c r="FM55" s="648"/>
      <c r="FN55" s="648"/>
      <c r="FO55" s="648"/>
      <c r="FP55" s="648"/>
      <c r="FQ55" s="648"/>
      <c r="FR55" s="648"/>
      <c r="FS55" s="648"/>
      <c r="FT55" s="648"/>
      <c r="FU55" s="648"/>
      <c r="FV55" s="648"/>
      <c r="FW55" s="648"/>
      <c r="FX55" s="648"/>
      <c r="FY55" s="648"/>
      <c r="FZ55" s="648"/>
      <c r="GA55" s="648"/>
      <c r="GB55" s="648"/>
      <c r="GC55" s="648"/>
      <c r="GD55" s="648"/>
      <c r="GE55" s="648"/>
      <c r="GF55" s="648"/>
      <c r="GG55" s="648"/>
      <c r="GH55" s="648"/>
      <c r="GI55" s="648"/>
      <c r="GJ55" s="648"/>
      <c r="GK55" s="648"/>
      <c r="GL55" s="648"/>
      <c r="GM55" s="648"/>
      <c r="GN55" s="648"/>
      <c r="GO55" s="648"/>
      <c r="GP55" s="648"/>
      <c r="GQ55" s="648"/>
      <c r="GR55" s="648"/>
      <c r="GS55" s="648"/>
      <c r="GT55" s="648"/>
      <c r="GU55" s="648"/>
      <c r="GV55" s="648"/>
      <c r="GW55" s="648"/>
      <c r="GX55" s="648"/>
      <c r="GY55" s="648"/>
      <c r="GZ55" s="648"/>
      <c r="HA55" s="648"/>
      <c r="HB55" s="648"/>
      <c r="HC55" s="648"/>
      <c r="HD55" s="648"/>
      <c r="HE55" s="648"/>
      <c r="HF55" s="648"/>
      <c r="HG55" s="648"/>
      <c r="HH55" s="648"/>
      <c r="HI55" s="648"/>
      <c r="HJ55" s="648"/>
      <c r="HK55" s="648"/>
      <c r="HL55" s="648"/>
      <c r="HM55" s="648"/>
      <c r="HN55" s="648"/>
      <c r="HO55" s="648"/>
      <c r="HP55" s="648"/>
      <c r="HQ55" s="648"/>
      <c r="HR55" s="648"/>
      <c r="HS55" s="648"/>
      <c r="HT55" s="648"/>
      <c r="HU55" s="648"/>
      <c r="HV55" s="648"/>
      <c r="HW55" s="648"/>
      <c r="HX55" s="648"/>
      <c r="HY55" s="648"/>
      <c r="HZ55" s="648"/>
      <c r="IA55" s="648"/>
      <c r="IB55" s="648"/>
      <c r="IC55" s="648"/>
      <c r="ID55" s="648"/>
      <c r="IE55" s="648"/>
      <c r="IF55" s="648"/>
      <c r="IG55" s="648"/>
      <c r="IH55" s="648"/>
      <c r="II55" s="648"/>
      <c r="IJ55" s="648"/>
      <c r="IK55" s="648"/>
      <c r="IL55" s="648"/>
      <c r="IM55" s="648"/>
      <c r="IN55" s="648"/>
      <c r="IO55" s="648"/>
      <c r="IP55" s="648"/>
      <c r="IQ55" s="648"/>
      <c r="IR55" s="648"/>
      <c r="IS55" s="648"/>
      <c r="IT55" s="648"/>
      <c r="IU55" s="648"/>
      <c r="IV55" s="648"/>
    </row>
    <row r="56" spans="1:256" s="313" customFormat="1">
      <c r="A56" s="840" t="s">
        <v>846</v>
      </c>
      <c r="B56" s="840"/>
      <c r="C56" s="840"/>
      <c r="D56" s="840"/>
      <c r="E56" s="840"/>
      <c r="F56" s="840"/>
      <c r="G56" s="840"/>
      <c r="H56" s="840"/>
      <c r="I56" s="840"/>
      <c r="J56" s="840"/>
      <c r="K56" s="840"/>
      <c r="L56" s="648"/>
      <c r="M56" s="648"/>
      <c r="N56" s="648"/>
      <c r="O56" s="648"/>
      <c r="P56" s="648"/>
      <c r="Q56" s="648"/>
      <c r="R56" s="648"/>
      <c r="S56" s="648"/>
      <c r="T56" s="648"/>
      <c r="U56" s="648"/>
      <c r="V56" s="648"/>
      <c r="W56" s="648"/>
      <c r="X56" s="648"/>
      <c r="Y56" s="648"/>
      <c r="Z56" s="648"/>
      <c r="AA56" s="649"/>
      <c r="AB56" s="649"/>
      <c r="AC56" s="648"/>
      <c r="AD56" s="648"/>
      <c r="AE56" s="648"/>
      <c r="AF56" s="648"/>
      <c r="AG56" s="648"/>
      <c r="AH56" s="648"/>
      <c r="AI56" s="648"/>
      <c r="AJ56" s="648"/>
      <c r="AK56" s="648"/>
      <c r="AL56" s="648"/>
      <c r="AM56" s="648"/>
      <c r="AN56" s="648"/>
      <c r="AO56" s="648"/>
      <c r="AP56" s="648"/>
      <c r="AQ56" s="648"/>
      <c r="AR56" s="648"/>
      <c r="AS56" s="648"/>
      <c r="AT56" s="648"/>
      <c r="AU56" s="648"/>
      <c r="AV56" s="648"/>
      <c r="AW56" s="648"/>
      <c r="AX56" s="648"/>
      <c r="AY56" s="648"/>
      <c r="AZ56" s="648"/>
      <c r="BA56" s="648"/>
      <c r="BB56" s="648"/>
      <c r="BC56" s="648"/>
      <c r="BD56" s="648"/>
      <c r="BE56" s="648"/>
      <c r="BF56" s="648"/>
      <c r="BG56" s="648"/>
      <c r="BH56" s="648"/>
      <c r="BI56" s="648"/>
      <c r="BJ56" s="648"/>
      <c r="BK56" s="648"/>
      <c r="BL56" s="648"/>
      <c r="BM56" s="648"/>
      <c r="BN56" s="648"/>
      <c r="BO56" s="648"/>
      <c r="BP56" s="648"/>
      <c r="BQ56" s="648"/>
      <c r="BR56" s="648"/>
      <c r="BS56" s="648"/>
      <c r="BT56" s="648"/>
      <c r="BU56" s="648"/>
      <c r="BV56" s="648"/>
      <c r="BW56" s="648"/>
      <c r="BX56" s="648"/>
      <c r="BY56" s="648"/>
      <c r="BZ56" s="648"/>
      <c r="CA56" s="648"/>
      <c r="CB56" s="648"/>
      <c r="CC56" s="648"/>
      <c r="CD56" s="648"/>
      <c r="CE56" s="648"/>
      <c r="CF56" s="648"/>
      <c r="CG56" s="648"/>
      <c r="CH56" s="648"/>
      <c r="CI56" s="648"/>
      <c r="CJ56" s="648"/>
      <c r="CK56" s="648"/>
      <c r="CL56" s="648"/>
      <c r="CM56" s="648"/>
      <c r="CN56" s="648"/>
      <c r="CO56" s="648"/>
      <c r="CP56" s="648"/>
      <c r="CQ56" s="648"/>
      <c r="CR56" s="648"/>
      <c r="CS56" s="648"/>
      <c r="CT56" s="648"/>
      <c r="CU56" s="648"/>
      <c r="CV56" s="648"/>
      <c r="CW56" s="648"/>
      <c r="CX56" s="648"/>
      <c r="CY56" s="648"/>
      <c r="CZ56" s="648"/>
      <c r="DA56" s="648"/>
      <c r="DB56" s="648"/>
      <c r="DC56" s="648"/>
      <c r="DD56" s="648"/>
      <c r="DE56" s="648"/>
      <c r="DF56" s="648"/>
      <c r="DG56" s="648"/>
      <c r="DH56" s="648"/>
      <c r="DI56" s="648"/>
      <c r="DJ56" s="648"/>
      <c r="DK56" s="648"/>
      <c r="DL56" s="648"/>
      <c r="DM56" s="648"/>
      <c r="DN56" s="648"/>
      <c r="DO56" s="648"/>
      <c r="DP56" s="648"/>
      <c r="DQ56" s="648"/>
      <c r="DR56" s="648"/>
      <c r="DS56" s="648"/>
      <c r="DT56" s="648"/>
      <c r="DU56" s="648"/>
      <c r="DV56" s="648"/>
      <c r="DW56" s="648"/>
      <c r="DX56" s="648"/>
      <c r="DY56" s="648"/>
      <c r="DZ56" s="648"/>
      <c r="EA56" s="648"/>
      <c r="EB56" s="648"/>
      <c r="EC56" s="648"/>
      <c r="ED56" s="648"/>
      <c r="EE56" s="648"/>
      <c r="EF56" s="648"/>
      <c r="EG56" s="648"/>
      <c r="EH56" s="648"/>
      <c r="EI56" s="648"/>
      <c r="EJ56" s="648"/>
      <c r="EK56" s="648"/>
      <c r="EL56" s="648"/>
      <c r="EM56" s="648"/>
      <c r="EN56" s="648"/>
      <c r="EO56" s="648"/>
      <c r="EP56" s="648"/>
      <c r="EQ56" s="648"/>
      <c r="ER56" s="648"/>
      <c r="ES56" s="648"/>
      <c r="ET56" s="648"/>
      <c r="EU56" s="648"/>
      <c r="EV56" s="648"/>
      <c r="EW56" s="648"/>
      <c r="EX56" s="648"/>
      <c r="EY56" s="648"/>
      <c r="EZ56" s="648"/>
      <c r="FA56" s="648"/>
      <c r="FB56" s="648"/>
      <c r="FC56" s="648"/>
      <c r="FD56" s="648"/>
      <c r="FE56" s="648"/>
      <c r="FF56" s="648"/>
      <c r="FG56" s="648"/>
      <c r="FH56" s="648"/>
      <c r="FI56" s="648"/>
      <c r="FJ56" s="648"/>
      <c r="FK56" s="648"/>
      <c r="FL56" s="648"/>
      <c r="FM56" s="648"/>
      <c r="FN56" s="648"/>
      <c r="FO56" s="648"/>
      <c r="FP56" s="648"/>
      <c r="FQ56" s="648"/>
      <c r="FR56" s="648"/>
      <c r="FS56" s="648"/>
      <c r="FT56" s="648"/>
      <c r="FU56" s="648"/>
      <c r="FV56" s="648"/>
      <c r="FW56" s="648"/>
      <c r="FX56" s="648"/>
      <c r="FY56" s="648"/>
      <c r="FZ56" s="648"/>
      <c r="GA56" s="648"/>
      <c r="GB56" s="648"/>
      <c r="GC56" s="648"/>
      <c r="GD56" s="648"/>
      <c r="GE56" s="648"/>
      <c r="GF56" s="648"/>
      <c r="GG56" s="648"/>
      <c r="GH56" s="648"/>
      <c r="GI56" s="648"/>
      <c r="GJ56" s="648"/>
      <c r="GK56" s="648"/>
      <c r="GL56" s="648"/>
      <c r="GM56" s="648"/>
      <c r="GN56" s="648"/>
      <c r="GO56" s="648"/>
      <c r="GP56" s="648"/>
      <c r="GQ56" s="648"/>
      <c r="GR56" s="648"/>
      <c r="GS56" s="648"/>
      <c r="GT56" s="648"/>
      <c r="GU56" s="648"/>
      <c r="GV56" s="648"/>
      <c r="GW56" s="648"/>
      <c r="GX56" s="648"/>
      <c r="GY56" s="648"/>
      <c r="GZ56" s="648"/>
      <c r="HA56" s="648"/>
      <c r="HB56" s="648"/>
      <c r="HC56" s="648"/>
      <c r="HD56" s="648"/>
      <c r="HE56" s="648"/>
      <c r="HF56" s="648"/>
      <c r="HG56" s="648"/>
      <c r="HH56" s="648"/>
      <c r="HI56" s="648"/>
      <c r="HJ56" s="648"/>
      <c r="HK56" s="648"/>
      <c r="HL56" s="648"/>
      <c r="HM56" s="648"/>
      <c r="HN56" s="648"/>
      <c r="HO56" s="648"/>
      <c r="HP56" s="648"/>
      <c r="HQ56" s="648"/>
      <c r="HR56" s="648"/>
      <c r="HS56" s="648"/>
      <c r="HT56" s="648"/>
      <c r="HU56" s="648"/>
      <c r="HV56" s="648"/>
      <c r="HW56" s="648"/>
      <c r="HX56" s="648"/>
      <c r="HY56" s="648"/>
      <c r="HZ56" s="648"/>
      <c r="IA56" s="648"/>
      <c r="IB56" s="648"/>
      <c r="IC56" s="648"/>
      <c r="ID56" s="648"/>
      <c r="IE56" s="648"/>
      <c r="IF56" s="648"/>
      <c r="IG56" s="648"/>
      <c r="IH56" s="648"/>
      <c r="II56" s="648"/>
      <c r="IJ56" s="648"/>
      <c r="IK56" s="648"/>
      <c r="IL56" s="648"/>
      <c r="IM56" s="648"/>
      <c r="IN56" s="648"/>
      <c r="IO56" s="648"/>
      <c r="IP56" s="648"/>
      <c r="IQ56" s="648"/>
      <c r="IR56" s="648"/>
      <c r="IS56" s="648"/>
      <c r="IT56" s="648"/>
      <c r="IU56" s="648"/>
      <c r="IV56" s="648"/>
    </row>
    <row r="57" spans="1:256" s="313" customFormat="1">
      <c r="A57" s="573"/>
      <c r="B57" s="570"/>
      <c r="C57" s="570"/>
      <c r="D57" s="570"/>
      <c r="E57" s="571"/>
      <c r="F57" s="570"/>
      <c r="G57" s="570"/>
      <c r="H57" s="570"/>
      <c r="I57" s="570"/>
      <c r="J57" s="570"/>
      <c r="K57" s="570"/>
      <c r="S57" s="561"/>
    </row>
    <row r="58" spans="1:256" s="313" customFormat="1" ht="24.75" customHeight="1">
      <c r="A58" s="841" t="s">
        <v>560</v>
      </c>
      <c r="B58" s="841"/>
      <c r="C58" s="841"/>
      <c r="D58" s="841"/>
      <c r="E58" s="841"/>
      <c r="F58" s="841"/>
      <c r="G58" s="841"/>
      <c r="H58" s="841"/>
      <c r="I58" s="841"/>
      <c r="J58" s="841"/>
      <c r="K58" s="841"/>
      <c r="S58" s="561"/>
    </row>
    <row r="59" spans="1:256" s="313" customFormat="1">
      <c r="A59" s="841"/>
      <c r="B59" s="841"/>
      <c r="C59" s="841"/>
      <c r="D59" s="841"/>
      <c r="E59" s="841"/>
      <c r="F59" s="841"/>
      <c r="G59" s="841"/>
      <c r="H59" s="841"/>
      <c r="I59" s="841"/>
      <c r="J59" s="841"/>
      <c r="K59" s="841"/>
      <c r="S59" s="561"/>
    </row>
    <row r="60" spans="1:256" s="313" customFormat="1" ht="74.25" customHeight="1">
      <c r="A60" s="841" t="s">
        <v>557</v>
      </c>
      <c r="B60" s="841"/>
      <c r="C60" s="841"/>
      <c r="D60" s="841"/>
      <c r="E60" s="841"/>
      <c r="F60" s="841"/>
      <c r="G60" s="841"/>
      <c r="H60" s="841"/>
      <c r="I60" s="841"/>
      <c r="J60" s="841"/>
      <c r="K60" s="841"/>
      <c r="S60" s="561"/>
    </row>
    <row r="61" spans="1:256" s="313" customFormat="1" ht="50.25" customHeight="1">
      <c r="A61" s="841" t="s">
        <v>553</v>
      </c>
      <c r="B61" s="841"/>
      <c r="C61" s="841"/>
      <c r="D61" s="841"/>
      <c r="E61" s="841"/>
      <c r="F61" s="841"/>
      <c r="G61" s="841"/>
      <c r="H61" s="841"/>
      <c r="I61" s="841"/>
      <c r="J61" s="841"/>
      <c r="K61" s="841"/>
      <c r="L61" s="648"/>
      <c r="M61" s="648"/>
      <c r="N61" s="648"/>
      <c r="O61" s="648"/>
      <c r="P61" s="648"/>
      <c r="Q61" s="648"/>
      <c r="R61" s="648"/>
      <c r="S61" s="648"/>
      <c r="T61" s="648"/>
      <c r="U61" s="648"/>
      <c r="V61" s="648"/>
      <c r="W61" s="648"/>
      <c r="X61" s="648"/>
      <c r="Y61" s="648"/>
      <c r="Z61" s="648"/>
      <c r="AA61" s="649"/>
      <c r="AB61" s="649"/>
      <c r="AC61" s="648"/>
      <c r="AD61" s="648"/>
      <c r="AE61" s="648"/>
      <c r="AF61" s="648"/>
      <c r="AG61" s="648"/>
      <c r="AH61" s="648"/>
      <c r="AI61" s="648"/>
      <c r="AJ61" s="648"/>
      <c r="AK61" s="648"/>
      <c r="AL61" s="648"/>
      <c r="AM61" s="648"/>
      <c r="AN61" s="648"/>
      <c r="AO61" s="648"/>
      <c r="AP61" s="648"/>
      <c r="AQ61" s="648"/>
      <c r="AR61" s="648"/>
      <c r="AS61" s="648"/>
      <c r="AT61" s="648"/>
      <c r="AU61" s="648"/>
      <c r="AV61" s="648"/>
      <c r="AW61" s="648"/>
      <c r="AX61" s="648"/>
      <c r="AY61" s="648"/>
      <c r="AZ61" s="648"/>
      <c r="BA61" s="648"/>
      <c r="BB61" s="648"/>
      <c r="BC61" s="648"/>
      <c r="BD61" s="648"/>
      <c r="BE61" s="648"/>
      <c r="BF61" s="648"/>
      <c r="BG61" s="648"/>
      <c r="BH61" s="648"/>
      <c r="BI61" s="648"/>
      <c r="BJ61" s="648"/>
      <c r="BK61" s="648"/>
      <c r="BL61" s="648"/>
      <c r="BM61" s="648"/>
      <c r="BN61" s="648"/>
      <c r="BO61" s="648"/>
      <c r="BP61" s="648"/>
      <c r="BQ61" s="648"/>
      <c r="BR61" s="648"/>
      <c r="BS61" s="648"/>
      <c r="BT61" s="648"/>
      <c r="BU61" s="648"/>
      <c r="BV61" s="648"/>
      <c r="BW61" s="648"/>
      <c r="BX61" s="648"/>
      <c r="BY61" s="648"/>
      <c r="BZ61" s="648"/>
      <c r="CA61" s="648"/>
      <c r="CB61" s="648"/>
      <c r="CC61" s="648"/>
      <c r="CD61" s="648"/>
      <c r="CE61" s="648"/>
      <c r="CF61" s="648"/>
      <c r="CG61" s="648"/>
      <c r="CH61" s="648"/>
      <c r="CI61" s="648"/>
      <c r="CJ61" s="648"/>
      <c r="CK61" s="648"/>
      <c r="CL61" s="648"/>
      <c r="CM61" s="648"/>
      <c r="CN61" s="648"/>
      <c r="CO61" s="648"/>
      <c r="CP61" s="648"/>
      <c r="CQ61" s="648"/>
      <c r="CR61" s="648"/>
      <c r="CS61" s="648"/>
      <c r="CT61" s="648"/>
      <c r="CU61" s="648"/>
      <c r="CV61" s="648"/>
      <c r="CW61" s="648"/>
      <c r="CX61" s="648"/>
      <c r="CY61" s="648"/>
      <c r="CZ61" s="648"/>
      <c r="DA61" s="648"/>
      <c r="DB61" s="648"/>
      <c r="DC61" s="648"/>
      <c r="DD61" s="648"/>
      <c r="DE61" s="648"/>
      <c r="DF61" s="648"/>
      <c r="DG61" s="648"/>
      <c r="DH61" s="648"/>
      <c r="DI61" s="648"/>
      <c r="DJ61" s="648"/>
      <c r="DK61" s="648"/>
      <c r="DL61" s="648"/>
      <c r="DM61" s="648"/>
      <c r="DN61" s="648"/>
      <c r="DO61" s="648"/>
      <c r="DP61" s="648"/>
      <c r="DQ61" s="648"/>
      <c r="DR61" s="648"/>
      <c r="DS61" s="648"/>
      <c r="DT61" s="648"/>
      <c r="DU61" s="648"/>
      <c r="DV61" s="648"/>
      <c r="DW61" s="648"/>
      <c r="DX61" s="648"/>
      <c r="DY61" s="648"/>
      <c r="DZ61" s="648"/>
      <c r="EA61" s="648"/>
      <c r="EB61" s="648"/>
      <c r="EC61" s="648"/>
      <c r="ED61" s="648"/>
      <c r="EE61" s="648"/>
      <c r="EF61" s="648"/>
      <c r="EG61" s="648"/>
      <c r="EH61" s="648"/>
      <c r="EI61" s="648"/>
      <c r="EJ61" s="648"/>
      <c r="EK61" s="648"/>
      <c r="EL61" s="648"/>
      <c r="EM61" s="648"/>
      <c r="EN61" s="648"/>
      <c r="EO61" s="648"/>
      <c r="EP61" s="648"/>
      <c r="EQ61" s="648"/>
      <c r="ER61" s="648"/>
      <c r="ES61" s="648"/>
      <c r="ET61" s="648"/>
      <c r="EU61" s="648"/>
      <c r="EV61" s="648"/>
      <c r="EW61" s="648"/>
      <c r="EX61" s="648"/>
      <c r="EY61" s="648"/>
      <c r="EZ61" s="648"/>
      <c r="FA61" s="648"/>
      <c r="FB61" s="648"/>
      <c r="FC61" s="648"/>
      <c r="FD61" s="648"/>
      <c r="FE61" s="648"/>
      <c r="FF61" s="648"/>
      <c r="FG61" s="648"/>
      <c r="FH61" s="648"/>
      <c r="FI61" s="648"/>
      <c r="FJ61" s="648"/>
      <c r="FK61" s="648"/>
      <c r="FL61" s="648"/>
      <c r="FM61" s="648"/>
      <c r="FN61" s="648"/>
      <c r="FO61" s="648"/>
      <c r="FP61" s="648"/>
      <c r="FQ61" s="648"/>
      <c r="FR61" s="648"/>
      <c r="FS61" s="648"/>
      <c r="FT61" s="648"/>
      <c r="FU61" s="648"/>
      <c r="FV61" s="648"/>
      <c r="FW61" s="648"/>
      <c r="FX61" s="648"/>
      <c r="FY61" s="648"/>
      <c r="FZ61" s="648"/>
      <c r="GA61" s="648"/>
      <c r="GB61" s="648"/>
      <c r="GC61" s="648"/>
      <c r="GD61" s="648"/>
      <c r="GE61" s="648"/>
      <c r="GF61" s="648"/>
      <c r="GG61" s="648"/>
      <c r="GH61" s="648"/>
      <c r="GI61" s="648"/>
      <c r="GJ61" s="648"/>
      <c r="GK61" s="648"/>
      <c r="GL61" s="648"/>
      <c r="GM61" s="648"/>
      <c r="GN61" s="648"/>
      <c r="GO61" s="648"/>
      <c r="GP61" s="648"/>
      <c r="GQ61" s="648"/>
      <c r="GR61" s="648"/>
      <c r="GS61" s="648"/>
      <c r="GT61" s="648"/>
      <c r="GU61" s="648"/>
      <c r="GV61" s="648"/>
      <c r="GW61" s="648"/>
      <c r="GX61" s="648"/>
      <c r="GY61" s="648"/>
      <c r="GZ61" s="648"/>
      <c r="HA61" s="648"/>
      <c r="HB61" s="648"/>
      <c r="HC61" s="648"/>
      <c r="HD61" s="648"/>
      <c r="HE61" s="648"/>
      <c r="HF61" s="648"/>
      <c r="HG61" s="648"/>
      <c r="HH61" s="648"/>
      <c r="HI61" s="648"/>
      <c r="HJ61" s="648"/>
      <c r="HK61" s="648"/>
      <c r="HL61" s="648"/>
      <c r="HM61" s="648"/>
      <c r="HN61" s="648"/>
      <c r="HO61" s="648"/>
      <c r="HP61" s="648"/>
      <c r="HQ61" s="648"/>
      <c r="HR61" s="648"/>
      <c r="HS61" s="648"/>
      <c r="HT61" s="648"/>
      <c r="HU61" s="648"/>
      <c r="HV61" s="648"/>
      <c r="HW61" s="648"/>
      <c r="HX61" s="648"/>
      <c r="HY61" s="648"/>
      <c r="HZ61" s="648"/>
      <c r="IA61" s="648"/>
      <c r="IB61" s="648"/>
      <c r="IC61" s="648"/>
      <c r="ID61" s="648"/>
      <c r="IE61" s="648"/>
      <c r="IF61" s="648"/>
      <c r="IG61" s="648"/>
      <c r="IH61" s="648"/>
      <c r="II61" s="648"/>
      <c r="IJ61" s="648"/>
      <c r="IK61" s="648"/>
      <c r="IL61" s="648"/>
      <c r="IM61" s="648"/>
      <c r="IN61" s="648"/>
      <c r="IO61" s="648"/>
      <c r="IP61" s="648"/>
      <c r="IQ61" s="648"/>
      <c r="IR61" s="648"/>
      <c r="IS61" s="648"/>
      <c r="IT61" s="648"/>
      <c r="IU61" s="648"/>
      <c r="IV61" s="648"/>
    </row>
    <row r="62" spans="1:256" s="313" customFormat="1" ht="26.25" customHeight="1">
      <c r="A62" s="841" t="s">
        <v>552</v>
      </c>
      <c r="B62" s="841"/>
      <c r="C62" s="841"/>
      <c r="D62" s="841"/>
      <c r="E62" s="841"/>
      <c r="F62" s="841"/>
      <c r="G62" s="841"/>
      <c r="H62" s="841"/>
      <c r="I62" s="841"/>
      <c r="J62" s="841"/>
      <c r="K62" s="841"/>
      <c r="L62" s="648"/>
      <c r="M62" s="648"/>
      <c r="N62" s="648"/>
      <c r="O62" s="648"/>
      <c r="P62" s="648"/>
      <c r="Q62" s="648"/>
      <c r="R62" s="648"/>
      <c r="S62" s="648"/>
      <c r="T62" s="648"/>
      <c r="U62" s="648"/>
      <c r="V62" s="648"/>
      <c r="W62" s="648"/>
      <c r="X62" s="648"/>
      <c r="Y62" s="648"/>
      <c r="Z62" s="648"/>
      <c r="AA62" s="649"/>
      <c r="AB62" s="649"/>
      <c r="AC62" s="648"/>
      <c r="AD62" s="648"/>
      <c r="AE62" s="648"/>
      <c r="AF62" s="648"/>
      <c r="AG62" s="648"/>
      <c r="AH62" s="648"/>
      <c r="AI62" s="648"/>
      <c r="AJ62" s="648"/>
      <c r="AK62" s="648"/>
      <c r="AL62" s="648"/>
      <c r="AM62" s="648"/>
      <c r="AN62" s="648"/>
      <c r="AO62" s="648"/>
      <c r="AP62" s="648"/>
      <c r="AQ62" s="648"/>
      <c r="AR62" s="648"/>
      <c r="AS62" s="648"/>
      <c r="AT62" s="648"/>
      <c r="AU62" s="648"/>
      <c r="AV62" s="648"/>
      <c r="AW62" s="648"/>
      <c r="AX62" s="648"/>
      <c r="AY62" s="648"/>
      <c r="AZ62" s="648"/>
      <c r="BA62" s="648"/>
      <c r="BB62" s="648"/>
      <c r="BC62" s="648"/>
      <c r="BD62" s="648"/>
      <c r="BE62" s="648"/>
      <c r="BF62" s="648"/>
      <c r="BG62" s="648"/>
      <c r="BH62" s="648"/>
      <c r="BI62" s="648"/>
      <c r="BJ62" s="648"/>
      <c r="BK62" s="648"/>
      <c r="BL62" s="648"/>
      <c r="BM62" s="648"/>
      <c r="BN62" s="648"/>
      <c r="BO62" s="648"/>
      <c r="BP62" s="648"/>
      <c r="BQ62" s="648"/>
      <c r="BR62" s="648"/>
      <c r="BS62" s="648"/>
      <c r="BT62" s="648"/>
      <c r="BU62" s="648"/>
      <c r="BV62" s="648"/>
      <c r="BW62" s="648"/>
      <c r="BX62" s="648"/>
      <c r="BY62" s="648"/>
      <c r="BZ62" s="648"/>
      <c r="CA62" s="648"/>
      <c r="CB62" s="648"/>
      <c r="CC62" s="648"/>
      <c r="CD62" s="648"/>
      <c r="CE62" s="648"/>
      <c r="CF62" s="648"/>
      <c r="CG62" s="648"/>
      <c r="CH62" s="648"/>
      <c r="CI62" s="648"/>
      <c r="CJ62" s="648"/>
      <c r="CK62" s="648"/>
      <c r="CL62" s="648"/>
      <c r="CM62" s="648"/>
      <c r="CN62" s="648"/>
      <c r="CO62" s="648"/>
      <c r="CP62" s="648"/>
      <c r="CQ62" s="648"/>
      <c r="CR62" s="648"/>
      <c r="CS62" s="648"/>
      <c r="CT62" s="648"/>
      <c r="CU62" s="648"/>
      <c r="CV62" s="648"/>
      <c r="CW62" s="648"/>
      <c r="CX62" s="648"/>
      <c r="CY62" s="648"/>
      <c r="CZ62" s="648"/>
      <c r="DA62" s="648"/>
      <c r="DB62" s="648"/>
      <c r="DC62" s="648"/>
      <c r="DD62" s="648"/>
      <c r="DE62" s="648"/>
      <c r="DF62" s="648"/>
      <c r="DG62" s="648"/>
      <c r="DH62" s="648"/>
      <c r="DI62" s="648"/>
      <c r="DJ62" s="648"/>
      <c r="DK62" s="648"/>
      <c r="DL62" s="648"/>
      <c r="DM62" s="648"/>
      <c r="DN62" s="648"/>
      <c r="DO62" s="648"/>
      <c r="DP62" s="648"/>
      <c r="DQ62" s="648"/>
      <c r="DR62" s="648"/>
      <c r="DS62" s="648"/>
      <c r="DT62" s="648"/>
      <c r="DU62" s="648"/>
      <c r="DV62" s="648"/>
      <c r="DW62" s="648"/>
      <c r="DX62" s="648"/>
      <c r="DY62" s="648"/>
      <c r="DZ62" s="648"/>
      <c r="EA62" s="648"/>
      <c r="EB62" s="648"/>
      <c r="EC62" s="648"/>
      <c r="ED62" s="648"/>
      <c r="EE62" s="648"/>
      <c r="EF62" s="648"/>
      <c r="EG62" s="648"/>
      <c r="EH62" s="648"/>
      <c r="EI62" s="648"/>
      <c r="EJ62" s="648"/>
      <c r="EK62" s="648"/>
      <c r="EL62" s="648"/>
      <c r="EM62" s="648"/>
      <c r="EN62" s="648"/>
      <c r="EO62" s="648"/>
      <c r="EP62" s="648"/>
      <c r="EQ62" s="648"/>
      <c r="ER62" s="648"/>
      <c r="ES62" s="648"/>
      <c r="ET62" s="648"/>
      <c r="EU62" s="648"/>
      <c r="EV62" s="648"/>
      <c r="EW62" s="648"/>
      <c r="EX62" s="648"/>
      <c r="EY62" s="648"/>
      <c r="EZ62" s="648"/>
      <c r="FA62" s="648"/>
      <c r="FB62" s="648"/>
      <c r="FC62" s="648"/>
      <c r="FD62" s="648"/>
      <c r="FE62" s="648"/>
      <c r="FF62" s="648"/>
      <c r="FG62" s="648"/>
      <c r="FH62" s="648"/>
      <c r="FI62" s="648"/>
      <c r="FJ62" s="648"/>
      <c r="FK62" s="648"/>
      <c r="FL62" s="648"/>
      <c r="FM62" s="648"/>
      <c r="FN62" s="648"/>
      <c r="FO62" s="648"/>
      <c r="FP62" s="648"/>
      <c r="FQ62" s="648"/>
      <c r="FR62" s="648"/>
      <c r="FS62" s="648"/>
      <c r="FT62" s="648"/>
      <c r="FU62" s="648"/>
      <c r="FV62" s="648"/>
      <c r="FW62" s="648"/>
      <c r="FX62" s="648"/>
      <c r="FY62" s="648"/>
      <c r="FZ62" s="648"/>
      <c r="GA62" s="648"/>
      <c r="GB62" s="648"/>
      <c r="GC62" s="648"/>
      <c r="GD62" s="648"/>
      <c r="GE62" s="648"/>
      <c r="GF62" s="648"/>
      <c r="GG62" s="648"/>
      <c r="GH62" s="648"/>
      <c r="GI62" s="648"/>
      <c r="GJ62" s="648"/>
      <c r="GK62" s="648"/>
      <c r="GL62" s="648"/>
      <c r="GM62" s="648"/>
      <c r="GN62" s="648"/>
      <c r="GO62" s="648"/>
      <c r="GP62" s="648"/>
      <c r="GQ62" s="648"/>
      <c r="GR62" s="648"/>
      <c r="GS62" s="648"/>
      <c r="GT62" s="648"/>
      <c r="GU62" s="648"/>
      <c r="GV62" s="648"/>
      <c r="GW62" s="648"/>
      <c r="GX62" s="648"/>
      <c r="GY62" s="648"/>
      <c r="GZ62" s="648"/>
      <c r="HA62" s="648"/>
      <c r="HB62" s="648"/>
      <c r="HC62" s="648"/>
      <c r="HD62" s="648"/>
      <c r="HE62" s="648"/>
      <c r="HF62" s="648"/>
      <c r="HG62" s="648"/>
      <c r="HH62" s="648"/>
      <c r="HI62" s="648"/>
      <c r="HJ62" s="648"/>
      <c r="HK62" s="648"/>
      <c r="HL62" s="648"/>
      <c r="HM62" s="648"/>
      <c r="HN62" s="648"/>
      <c r="HO62" s="648"/>
      <c r="HP62" s="648"/>
      <c r="HQ62" s="648"/>
      <c r="HR62" s="648"/>
      <c r="HS62" s="648"/>
      <c r="HT62" s="648"/>
      <c r="HU62" s="648"/>
      <c r="HV62" s="648"/>
      <c r="HW62" s="648"/>
      <c r="HX62" s="648"/>
      <c r="HY62" s="648"/>
      <c r="HZ62" s="648"/>
      <c r="IA62" s="648"/>
      <c r="IB62" s="648"/>
      <c r="IC62" s="648"/>
      <c r="ID62" s="648"/>
      <c r="IE62" s="648"/>
      <c r="IF62" s="648"/>
      <c r="IG62" s="648"/>
      <c r="IH62" s="648"/>
      <c r="II62" s="648"/>
      <c r="IJ62" s="648"/>
      <c r="IK62" s="648"/>
      <c r="IL62" s="648"/>
      <c r="IM62" s="648"/>
      <c r="IN62" s="648"/>
      <c r="IO62" s="648"/>
      <c r="IP62" s="648"/>
      <c r="IQ62" s="648"/>
      <c r="IR62" s="648"/>
      <c r="IS62" s="648"/>
      <c r="IT62" s="648"/>
      <c r="IU62" s="648"/>
      <c r="IV62" s="648"/>
    </row>
    <row r="63" spans="1:256" s="313" customFormat="1" ht="25.5" customHeight="1">
      <c r="A63" s="841" t="s">
        <v>123</v>
      </c>
      <c r="B63" s="841"/>
      <c r="C63" s="841"/>
      <c r="D63" s="841"/>
      <c r="E63" s="841"/>
      <c r="F63" s="841"/>
      <c r="G63" s="841"/>
      <c r="H63" s="841"/>
      <c r="I63" s="841"/>
      <c r="J63" s="841"/>
      <c r="K63" s="841"/>
      <c r="L63" s="648"/>
      <c r="M63" s="648"/>
      <c r="N63" s="648"/>
      <c r="O63" s="648"/>
      <c r="P63" s="648"/>
      <c r="Q63" s="648"/>
      <c r="R63" s="648"/>
      <c r="S63" s="648"/>
      <c r="T63" s="648"/>
      <c r="U63" s="648"/>
      <c r="V63" s="648"/>
      <c r="W63" s="648"/>
      <c r="X63" s="648"/>
      <c r="Y63" s="648"/>
      <c r="Z63" s="648"/>
      <c r="AA63" s="649"/>
      <c r="AB63" s="649"/>
      <c r="AC63" s="648"/>
      <c r="AD63" s="648"/>
      <c r="AE63" s="648"/>
      <c r="AF63" s="648"/>
      <c r="AG63" s="648"/>
      <c r="AH63" s="648"/>
      <c r="AI63" s="648"/>
      <c r="AJ63" s="648"/>
      <c r="AK63" s="648"/>
      <c r="AL63" s="648"/>
      <c r="AM63" s="648"/>
      <c r="AN63" s="648"/>
      <c r="AO63" s="648"/>
      <c r="AP63" s="648"/>
      <c r="AQ63" s="648"/>
      <c r="AR63" s="648"/>
      <c r="AS63" s="648"/>
      <c r="AT63" s="648"/>
      <c r="AU63" s="648"/>
      <c r="AV63" s="648"/>
      <c r="AW63" s="648"/>
      <c r="AX63" s="648"/>
      <c r="AY63" s="648"/>
      <c r="AZ63" s="648"/>
      <c r="BA63" s="648"/>
      <c r="BB63" s="648"/>
      <c r="BC63" s="648"/>
      <c r="BD63" s="648"/>
      <c r="BE63" s="648"/>
      <c r="BF63" s="648"/>
      <c r="BG63" s="648"/>
      <c r="BH63" s="648"/>
      <c r="BI63" s="648"/>
      <c r="BJ63" s="648"/>
      <c r="BK63" s="648"/>
      <c r="BL63" s="648"/>
      <c r="BM63" s="648"/>
      <c r="BN63" s="648"/>
      <c r="BO63" s="648"/>
      <c r="BP63" s="648"/>
      <c r="BQ63" s="648"/>
      <c r="BR63" s="648"/>
      <c r="BS63" s="648"/>
      <c r="BT63" s="648"/>
      <c r="BU63" s="648"/>
      <c r="BV63" s="648"/>
      <c r="BW63" s="648"/>
      <c r="BX63" s="648"/>
      <c r="BY63" s="648"/>
      <c r="BZ63" s="648"/>
      <c r="CA63" s="648"/>
      <c r="CB63" s="648"/>
      <c r="CC63" s="648"/>
      <c r="CD63" s="648"/>
      <c r="CE63" s="648"/>
      <c r="CF63" s="648"/>
      <c r="CG63" s="648"/>
      <c r="CH63" s="648"/>
      <c r="CI63" s="648"/>
      <c r="CJ63" s="648"/>
      <c r="CK63" s="648"/>
      <c r="CL63" s="648"/>
      <c r="CM63" s="648"/>
      <c r="CN63" s="648"/>
      <c r="CO63" s="648"/>
      <c r="CP63" s="648"/>
      <c r="CQ63" s="648"/>
      <c r="CR63" s="648"/>
      <c r="CS63" s="648"/>
      <c r="CT63" s="648"/>
      <c r="CU63" s="648"/>
      <c r="CV63" s="648"/>
      <c r="CW63" s="648"/>
      <c r="CX63" s="648"/>
      <c r="CY63" s="648"/>
      <c r="CZ63" s="648"/>
      <c r="DA63" s="648"/>
      <c r="DB63" s="648"/>
      <c r="DC63" s="648"/>
      <c r="DD63" s="648"/>
      <c r="DE63" s="648"/>
      <c r="DF63" s="648"/>
      <c r="DG63" s="648"/>
      <c r="DH63" s="648"/>
      <c r="DI63" s="648"/>
      <c r="DJ63" s="648"/>
      <c r="DK63" s="648"/>
      <c r="DL63" s="648"/>
      <c r="DM63" s="648"/>
      <c r="DN63" s="648"/>
      <c r="DO63" s="648"/>
      <c r="DP63" s="648"/>
      <c r="DQ63" s="648"/>
      <c r="DR63" s="648"/>
      <c r="DS63" s="648"/>
      <c r="DT63" s="648"/>
      <c r="DU63" s="648"/>
      <c r="DV63" s="648"/>
      <c r="DW63" s="648"/>
      <c r="DX63" s="648"/>
      <c r="DY63" s="648"/>
      <c r="DZ63" s="648"/>
      <c r="EA63" s="648"/>
      <c r="EB63" s="648"/>
      <c r="EC63" s="648"/>
      <c r="ED63" s="648"/>
      <c r="EE63" s="648"/>
      <c r="EF63" s="648"/>
      <c r="EG63" s="648"/>
      <c r="EH63" s="648"/>
      <c r="EI63" s="648"/>
      <c r="EJ63" s="648"/>
      <c r="EK63" s="648"/>
      <c r="EL63" s="648"/>
      <c r="EM63" s="648"/>
      <c r="EN63" s="648"/>
      <c r="EO63" s="648"/>
      <c r="EP63" s="648"/>
      <c r="EQ63" s="648"/>
      <c r="ER63" s="648"/>
      <c r="ES63" s="648"/>
      <c r="ET63" s="648"/>
      <c r="EU63" s="648"/>
      <c r="EV63" s="648"/>
      <c r="EW63" s="648"/>
      <c r="EX63" s="648"/>
      <c r="EY63" s="648"/>
      <c r="EZ63" s="648"/>
      <c r="FA63" s="648"/>
      <c r="FB63" s="648"/>
      <c r="FC63" s="648"/>
      <c r="FD63" s="648"/>
      <c r="FE63" s="648"/>
      <c r="FF63" s="648"/>
      <c r="FG63" s="648"/>
      <c r="FH63" s="648"/>
      <c r="FI63" s="648"/>
      <c r="FJ63" s="648"/>
      <c r="FK63" s="648"/>
      <c r="FL63" s="648"/>
      <c r="FM63" s="648"/>
      <c r="FN63" s="648"/>
      <c r="FO63" s="648"/>
      <c r="FP63" s="648"/>
      <c r="FQ63" s="648"/>
      <c r="FR63" s="648"/>
      <c r="FS63" s="648"/>
      <c r="FT63" s="648"/>
      <c r="FU63" s="648"/>
      <c r="FV63" s="648"/>
      <c r="FW63" s="648"/>
      <c r="FX63" s="648"/>
      <c r="FY63" s="648"/>
      <c r="FZ63" s="648"/>
      <c r="GA63" s="648"/>
      <c r="GB63" s="648"/>
      <c r="GC63" s="648"/>
      <c r="GD63" s="648"/>
      <c r="GE63" s="648"/>
      <c r="GF63" s="648"/>
      <c r="GG63" s="648"/>
      <c r="GH63" s="648"/>
      <c r="GI63" s="648"/>
      <c r="GJ63" s="648"/>
      <c r="GK63" s="648"/>
      <c r="GL63" s="648"/>
      <c r="GM63" s="648"/>
      <c r="GN63" s="648"/>
      <c r="GO63" s="648"/>
      <c r="GP63" s="648"/>
      <c r="GQ63" s="648"/>
      <c r="GR63" s="648"/>
      <c r="GS63" s="648"/>
      <c r="GT63" s="648"/>
      <c r="GU63" s="648"/>
      <c r="GV63" s="648"/>
      <c r="GW63" s="648"/>
      <c r="GX63" s="648"/>
      <c r="GY63" s="648"/>
      <c r="GZ63" s="648"/>
      <c r="HA63" s="648"/>
      <c r="HB63" s="648"/>
      <c r="HC63" s="648"/>
      <c r="HD63" s="648"/>
      <c r="HE63" s="648"/>
      <c r="HF63" s="648"/>
      <c r="HG63" s="648"/>
      <c r="HH63" s="648"/>
      <c r="HI63" s="648"/>
      <c r="HJ63" s="648"/>
      <c r="HK63" s="648"/>
      <c r="HL63" s="648"/>
      <c r="HM63" s="648"/>
      <c r="HN63" s="648"/>
      <c r="HO63" s="648"/>
      <c r="HP63" s="648"/>
      <c r="HQ63" s="648"/>
      <c r="HR63" s="648"/>
      <c r="HS63" s="648"/>
      <c r="HT63" s="648"/>
      <c r="HU63" s="648"/>
      <c r="HV63" s="648"/>
      <c r="HW63" s="648"/>
      <c r="HX63" s="648"/>
      <c r="HY63" s="648"/>
      <c r="HZ63" s="648"/>
      <c r="IA63" s="648"/>
      <c r="IB63" s="648"/>
      <c r="IC63" s="648"/>
      <c r="ID63" s="648"/>
      <c r="IE63" s="648"/>
      <c r="IF63" s="648"/>
      <c r="IG63" s="648"/>
      <c r="IH63" s="648"/>
      <c r="II63" s="648"/>
      <c r="IJ63" s="648"/>
      <c r="IK63" s="648"/>
      <c r="IL63" s="648"/>
      <c r="IM63" s="648"/>
      <c r="IN63" s="648"/>
      <c r="IO63" s="648"/>
      <c r="IP63" s="648"/>
      <c r="IQ63" s="648"/>
      <c r="IR63" s="648"/>
      <c r="IS63" s="648"/>
      <c r="IT63" s="648"/>
      <c r="IU63" s="648"/>
      <c r="IV63" s="648"/>
    </row>
    <row r="64" spans="1:256" s="313" customFormat="1" ht="39" customHeight="1">
      <c r="A64" s="841" t="s">
        <v>554</v>
      </c>
      <c r="B64" s="841"/>
      <c r="C64" s="841"/>
      <c r="D64" s="841"/>
      <c r="E64" s="841"/>
      <c r="F64" s="841"/>
      <c r="G64" s="841"/>
      <c r="H64" s="841"/>
      <c r="I64" s="841"/>
      <c r="J64" s="841"/>
      <c r="K64" s="841"/>
      <c r="L64" s="648"/>
      <c r="M64" s="648"/>
      <c r="N64" s="648"/>
      <c r="O64" s="648"/>
      <c r="P64" s="648"/>
      <c r="Q64" s="648"/>
      <c r="R64" s="648"/>
      <c r="S64" s="648"/>
      <c r="T64" s="648"/>
      <c r="U64" s="648"/>
      <c r="V64" s="648"/>
      <c r="W64" s="648"/>
      <c r="X64" s="648"/>
      <c r="Y64" s="648"/>
      <c r="Z64" s="648"/>
      <c r="AA64" s="649"/>
      <c r="AB64" s="649"/>
      <c r="AC64" s="648"/>
      <c r="AD64" s="648"/>
      <c r="AE64" s="648"/>
      <c r="AF64" s="648"/>
      <c r="AG64" s="648"/>
      <c r="AH64" s="648"/>
      <c r="AI64" s="648"/>
      <c r="AJ64" s="648"/>
      <c r="AK64" s="648"/>
      <c r="AL64" s="648"/>
      <c r="AM64" s="648"/>
      <c r="AN64" s="648"/>
      <c r="AO64" s="648"/>
      <c r="AP64" s="648"/>
      <c r="AQ64" s="648"/>
      <c r="AR64" s="648"/>
      <c r="AS64" s="648"/>
      <c r="AT64" s="648"/>
      <c r="AU64" s="648"/>
      <c r="AV64" s="648"/>
      <c r="AW64" s="648"/>
      <c r="AX64" s="648"/>
      <c r="AY64" s="648"/>
      <c r="AZ64" s="648"/>
      <c r="BA64" s="648"/>
      <c r="BB64" s="648"/>
      <c r="BC64" s="648"/>
      <c r="BD64" s="648"/>
      <c r="BE64" s="648"/>
      <c r="BF64" s="648"/>
      <c r="BG64" s="648"/>
      <c r="BH64" s="648"/>
      <c r="BI64" s="648"/>
      <c r="BJ64" s="648"/>
      <c r="BK64" s="648"/>
      <c r="BL64" s="648"/>
      <c r="BM64" s="648"/>
      <c r="BN64" s="648"/>
      <c r="BO64" s="648"/>
      <c r="BP64" s="648"/>
      <c r="BQ64" s="648"/>
      <c r="BR64" s="648"/>
      <c r="BS64" s="648"/>
      <c r="BT64" s="648"/>
      <c r="BU64" s="648"/>
      <c r="BV64" s="648"/>
      <c r="BW64" s="648"/>
      <c r="BX64" s="648"/>
      <c r="BY64" s="648"/>
      <c r="BZ64" s="648"/>
      <c r="CA64" s="648"/>
      <c r="CB64" s="648"/>
      <c r="CC64" s="648"/>
      <c r="CD64" s="648"/>
      <c r="CE64" s="648"/>
      <c r="CF64" s="648"/>
      <c r="CG64" s="648"/>
      <c r="CH64" s="648"/>
      <c r="CI64" s="648"/>
      <c r="CJ64" s="648"/>
      <c r="CK64" s="648"/>
      <c r="CL64" s="648"/>
      <c r="CM64" s="648"/>
      <c r="CN64" s="648"/>
      <c r="CO64" s="648"/>
      <c r="CP64" s="648"/>
      <c r="CQ64" s="648"/>
      <c r="CR64" s="648"/>
      <c r="CS64" s="648"/>
      <c r="CT64" s="648"/>
      <c r="CU64" s="648"/>
      <c r="CV64" s="648"/>
      <c r="CW64" s="648"/>
      <c r="CX64" s="648"/>
      <c r="CY64" s="648"/>
      <c r="CZ64" s="648"/>
      <c r="DA64" s="648"/>
      <c r="DB64" s="648"/>
      <c r="DC64" s="648"/>
      <c r="DD64" s="648"/>
      <c r="DE64" s="648"/>
      <c r="DF64" s="648"/>
      <c r="DG64" s="648"/>
      <c r="DH64" s="648"/>
      <c r="DI64" s="648"/>
      <c r="DJ64" s="648"/>
      <c r="DK64" s="648"/>
      <c r="DL64" s="648"/>
      <c r="DM64" s="648"/>
      <c r="DN64" s="648"/>
      <c r="DO64" s="648"/>
      <c r="DP64" s="648"/>
      <c r="DQ64" s="648"/>
      <c r="DR64" s="648"/>
      <c r="DS64" s="648"/>
      <c r="DT64" s="648"/>
      <c r="DU64" s="648"/>
      <c r="DV64" s="648"/>
      <c r="DW64" s="648"/>
      <c r="DX64" s="648"/>
      <c r="DY64" s="648"/>
      <c r="DZ64" s="648"/>
      <c r="EA64" s="648"/>
      <c r="EB64" s="648"/>
      <c r="EC64" s="648"/>
      <c r="ED64" s="648"/>
      <c r="EE64" s="648"/>
      <c r="EF64" s="648"/>
      <c r="EG64" s="648"/>
      <c r="EH64" s="648"/>
      <c r="EI64" s="648"/>
      <c r="EJ64" s="648"/>
      <c r="EK64" s="648"/>
      <c r="EL64" s="648"/>
      <c r="EM64" s="648"/>
      <c r="EN64" s="648"/>
      <c r="EO64" s="648"/>
      <c r="EP64" s="648"/>
      <c r="EQ64" s="648"/>
      <c r="ER64" s="648"/>
      <c r="ES64" s="648"/>
      <c r="ET64" s="648"/>
      <c r="EU64" s="648"/>
      <c r="EV64" s="648"/>
      <c r="EW64" s="648"/>
      <c r="EX64" s="648"/>
      <c r="EY64" s="648"/>
      <c r="EZ64" s="648"/>
      <c r="FA64" s="648"/>
      <c r="FB64" s="648"/>
      <c r="FC64" s="648"/>
      <c r="FD64" s="648"/>
      <c r="FE64" s="648"/>
      <c r="FF64" s="648"/>
      <c r="FG64" s="648"/>
      <c r="FH64" s="648"/>
      <c r="FI64" s="648"/>
      <c r="FJ64" s="648"/>
      <c r="FK64" s="648"/>
      <c r="FL64" s="648"/>
      <c r="FM64" s="648"/>
      <c r="FN64" s="648"/>
      <c r="FO64" s="648"/>
      <c r="FP64" s="648"/>
      <c r="FQ64" s="648"/>
      <c r="FR64" s="648"/>
      <c r="FS64" s="648"/>
      <c r="FT64" s="648"/>
      <c r="FU64" s="648"/>
      <c r="FV64" s="648"/>
      <c r="FW64" s="648"/>
      <c r="FX64" s="648"/>
      <c r="FY64" s="648"/>
      <c r="FZ64" s="648"/>
      <c r="GA64" s="648"/>
      <c r="GB64" s="648"/>
      <c r="GC64" s="648"/>
      <c r="GD64" s="648"/>
      <c r="GE64" s="648"/>
      <c r="GF64" s="648"/>
      <c r="GG64" s="648"/>
      <c r="GH64" s="648"/>
      <c r="GI64" s="648"/>
      <c r="GJ64" s="648"/>
      <c r="GK64" s="648"/>
      <c r="GL64" s="648"/>
      <c r="GM64" s="648"/>
      <c r="GN64" s="648"/>
      <c r="GO64" s="648"/>
      <c r="GP64" s="648"/>
      <c r="GQ64" s="648"/>
      <c r="GR64" s="648"/>
      <c r="GS64" s="648"/>
      <c r="GT64" s="648"/>
      <c r="GU64" s="648"/>
      <c r="GV64" s="648"/>
      <c r="GW64" s="648"/>
      <c r="GX64" s="648"/>
      <c r="GY64" s="648"/>
      <c r="GZ64" s="648"/>
      <c r="HA64" s="648"/>
      <c r="HB64" s="648"/>
      <c r="HC64" s="648"/>
      <c r="HD64" s="648"/>
      <c r="HE64" s="648"/>
      <c r="HF64" s="648"/>
      <c r="HG64" s="648"/>
      <c r="HH64" s="648"/>
      <c r="HI64" s="648"/>
      <c r="HJ64" s="648"/>
      <c r="HK64" s="648"/>
      <c r="HL64" s="648"/>
      <c r="HM64" s="648"/>
      <c r="HN64" s="648"/>
      <c r="HO64" s="648"/>
      <c r="HP64" s="648"/>
      <c r="HQ64" s="648"/>
      <c r="HR64" s="648"/>
      <c r="HS64" s="648"/>
      <c r="HT64" s="648"/>
      <c r="HU64" s="648"/>
      <c r="HV64" s="648"/>
      <c r="HW64" s="648"/>
      <c r="HX64" s="648"/>
      <c r="HY64" s="648"/>
      <c r="HZ64" s="648"/>
      <c r="IA64" s="648"/>
      <c r="IB64" s="648"/>
      <c r="IC64" s="648"/>
      <c r="ID64" s="648"/>
      <c r="IE64" s="648"/>
      <c r="IF64" s="648"/>
      <c r="IG64" s="648"/>
      <c r="IH64" s="648"/>
      <c r="II64" s="648"/>
      <c r="IJ64" s="648"/>
      <c r="IK64" s="648"/>
      <c r="IL64" s="648"/>
      <c r="IM64" s="648"/>
      <c r="IN64" s="648"/>
      <c r="IO64" s="648"/>
      <c r="IP64" s="648"/>
      <c r="IQ64" s="648"/>
      <c r="IR64" s="648"/>
      <c r="IS64" s="648"/>
      <c r="IT64" s="648"/>
      <c r="IU64" s="648"/>
      <c r="IV64" s="648"/>
    </row>
    <row r="65" spans="1:256" s="313" customFormat="1" ht="63" customHeight="1">
      <c r="A65" s="841" t="s">
        <v>558</v>
      </c>
      <c r="B65" s="841"/>
      <c r="C65" s="841"/>
      <c r="D65" s="841"/>
      <c r="E65" s="841"/>
      <c r="F65" s="841"/>
      <c r="G65" s="841"/>
      <c r="H65" s="841"/>
      <c r="I65" s="841"/>
      <c r="J65" s="841"/>
      <c r="K65" s="841"/>
      <c r="L65" s="648"/>
      <c r="M65" s="648"/>
      <c r="N65" s="648"/>
      <c r="O65" s="648"/>
      <c r="P65" s="648"/>
      <c r="Q65" s="648"/>
      <c r="R65" s="648"/>
      <c r="S65" s="648"/>
      <c r="T65" s="648"/>
      <c r="U65" s="648"/>
      <c r="V65" s="648"/>
      <c r="W65" s="648"/>
      <c r="X65" s="648"/>
      <c r="Y65" s="648"/>
      <c r="Z65" s="648"/>
      <c r="AA65" s="649"/>
      <c r="AB65" s="649"/>
      <c r="AC65" s="648"/>
      <c r="AD65" s="648"/>
      <c r="AE65" s="648"/>
      <c r="AF65" s="648"/>
      <c r="AG65" s="648"/>
      <c r="AH65" s="648"/>
      <c r="AI65" s="648"/>
      <c r="AJ65" s="648"/>
      <c r="AK65" s="648"/>
      <c r="AL65" s="648"/>
      <c r="AM65" s="648"/>
      <c r="AN65" s="648"/>
      <c r="AO65" s="648"/>
      <c r="AP65" s="648"/>
      <c r="AQ65" s="648"/>
      <c r="AR65" s="648"/>
      <c r="AS65" s="648"/>
      <c r="AT65" s="648"/>
      <c r="AU65" s="648"/>
      <c r="AV65" s="648"/>
      <c r="AW65" s="648"/>
      <c r="AX65" s="648"/>
      <c r="AY65" s="648"/>
      <c r="AZ65" s="648"/>
      <c r="BA65" s="648"/>
      <c r="BB65" s="648"/>
      <c r="BC65" s="648"/>
      <c r="BD65" s="648"/>
      <c r="BE65" s="648"/>
      <c r="BF65" s="648"/>
      <c r="BG65" s="648"/>
      <c r="BH65" s="648"/>
      <c r="BI65" s="648"/>
      <c r="BJ65" s="648"/>
      <c r="BK65" s="648"/>
      <c r="BL65" s="648"/>
      <c r="BM65" s="648"/>
      <c r="BN65" s="648"/>
      <c r="BO65" s="648"/>
      <c r="BP65" s="648"/>
      <c r="BQ65" s="648"/>
      <c r="BR65" s="648"/>
      <c r="BS65" s="648"/>
      <c r="BT65" s="648"/>
      <c r="BU65" s="648"/>
      <c r="BV65" s="648"/>
      <c r="BW65" s="648"/>
      <c r="BX65" s="648"/>
      <c r="BY65" s="648"/>
      <c r="BZ65" s="648"/>
      <c r="CA65" s="648"/>
      <c r="CB65" s="648"/>
      <c r="CC65" s="648"/>
      <c r="CD65" s="648"/>
      <c r="CE65" s="648"/>
      <c r="CF65" s="648"/>
      <c r="CG65" s="648"/>
      <c r="CH65" s="648"/>
      <c r="CI65" s="648"/>
      <c r="CJ65" s="648"/>
      <c r="CK65" s="648"/>
      <c r="CL65" s="648"/>
      <c r="CM65" s="648"/>
      <c r="CN65" s="648"/>
      <c r="CO65" s="648"/>
      <c r="CP65" s="648"/>
      <c r="CQ65" s="648"/>
      <c r="CR65" s="648"/>
      <c r="CS65" s="648"/>
      <c r="CT65" s="648"/>
      <c r="CU65" s="648"/>
      <c r="CV65" s="648"/>
      <c r="CW65" s="648"/>
      <c r="CX65" s="648"/>
      <c r="CY65" s="648"/>
      <c r="CZ65" s="648"/>
      <c r="DA65" s="648"/>
      <c r="DB65" s="648"/>
      <c r="DC65" s="648"/>
      <c r="DD65" s="648"/>
      <c r="DE65" s="648"/>
      <c r="DF65" s="648"/>
      <c r="DG65" s="648"/>
      <c r="DH65" s="648"/>
      <c r="DI65" s="648"/>
      <c r="DJ65" s="648"/>
      <c r="DK65" s="648"/>
      <c r="DL65" s="648"/>
      <c r="DM65" s="648"/>
      <c r="DN65" s="648"/>
      <c r="DO65" s="648"/>
      <c r="DP65" s="648"/>
      <c r="DQ65" s="648"/>
      <c r="DR65" s="648"/>
      <c r="DS65" s="648"/>
      <c r="DT65" s="648"/>
      <c r="DU65" s="648"/>
      <c r="DV65" s="648"/>
      <c r="DW65" s="648"/>
      <c r="DX65" s="648"/>
      <c r="DY65" s="648"/>
      <c r="DZ65" s="648"/>
      <c r="EA65" s="648"/>
      <c r="EB65" s="648"/>
      <c r="EC65" s="648"/>
      <c r="ED65" s="648"/>
      <c r="EE65" s="648"/>
      <c r="EF65" s="648"/>
      <c r="EG65" s="648"/>
      <c r="EH65" s="648"/>
      <c r="EI65" s="648"/>
      <c r="EJ65" s="648"/>
      <c r="EK65" s="648"/>
      <c r="EL65" s="648"/>
      <c r="EM65" s="648"/>
      <c r="EN65" s="648"/>
      <c r="EO65" s="648"/>
      <c r="EP65" s="648"/>
      <c r="EQ65" s="648"/>
      <c r="ER65" s="648"/>
      <c r="ES65" s="648"/>
      <c r="ET65" s="648"/>
      <c r="EU65" s="648"/>
      <c r="EV65" s="648"/>
      <c r="EW65" s="648"/>
      <c r="EX65" s="648"/>
      <c r="EY65" s="648"/>
      <c r="EZ65" s="648"/>
      <c r="FA65" s="648"/>
      <c r="FB65" s="648"/>
      <c r="FC65" s="648"/>
      <c r="FD65" s="648"/>
      <c r="FE65" s="648"/>
      <c r="FF65" s="648"/>
      <c r="FG65" s="648"/>
      <c r="FH65" s="648"/>
      <c r="FI65" s="648"/>
      <c r="FJ65" s="648"/>
      <c r="FK65" s="648"/>
      <c r="FL65" s="648"/>
      <c r="FM65" s="648"/>
      <c r="FN65" s="648"/>
      <c r="FO65" s="648"/>
      <c r="FP65" s="648"/>
      <c r="FQ65" s="648"/>
      <c r="FR65" s="648"/>
      <c r="FS65" s="648"/>
      <c r="FT65" s="648"/>
      <c r="FU65" s="648"/>
      <c r="FV65" s="648"/>
      <c r="FW65" s="648"/>
      <c r="FX65" s="648"/>
      <c r="FY65" s="648"/>
      <c r="FZ65" s="648"/>
      <c r="GA65" s="648"/>
      <c r="GB65" s="648"/>
      <c r="GC65" s="648"/>
      <c r="GD65" s="648"/>
      <c r="GE65" s="648"/>
      <c r="GF65" s="648"/>
      <c r="GG65" s="648"/>
      <c r="GH65" s="648"/>
      <c r="GI65" s="648"/>
      <c r="GJ65" s="648"/>
      <c r="GK65" s="648"/>
      <c r="GL65" s="648"/>
      <c r="GM65" s="648"/>
      <c r="GN65" s="648"/>
      <c r="GO65" s="648"/>
      <c r="GP65" s="648"/>
      <c r="GQ65" s="648"/>
      <c r="GR65" s="648"/>
      <c r="GS65" s="648"/>
      <c r="GT65" s="648"/>
      <c r="GU65" s="648"/>
      <c r="GV65" s="648"/>
      <c r="GW65" s="648"/>
      <c r="GX65" s="648"/>
      <c r="GY65" s="648"/>
      <c r="GZ65" s="648"/>
      <c r="HA65" s="648"/>
      <c r="HB65" s="648"/>
      <c r="HC65" s="648"/>
      <c r="HD65" s="648"/>
      <c r="HE65" s="648"/>
      <c r="HF65" s="648"/>
      <c r="HG65" s="648"/>
      <c r="HH65" s="648"/>
      <c r="HI65" s="648"/>
      <c r="HJ65" s="648"/>
      <c r="HK65" s="648"/>
      <c r="HL65" s="648"/>
      <c r="HM65" s="648"/>
      <c r="HN65" s="648"/>
      <c r="HO65" s="648"/>
      <c r="HP65" s="648"/>
      <c r="HQ65" s="648"/>
      <c r="HR65" s="648"/>
      <c r="HS65" s="648"/>
      <c r="HT65" s="648"/>
      <c r="HU65" s="648"/>
      <c r="HV65" s="648"/>
      <c r="HW65" s="648"/>
      <c r="HX65" s="648"/>
      <c r="HY65" s="648"/>
      <c r="HZ65" s="648"/>
      <c r="IA65" s="648"/>
      <c r="IB65" s="648"/>
      <c r="IC65" s="648"/>
      <c r="ID65" s="648"/>
      <c r="IE65" s="648"/>
      <c r="IF65" s="648"/>
      <c r="IG65" s="648"/>
      <c r="IH65" s="648"/>
      <c r="II65" s="648"/>
      <c r="IJ65" s="648"/>
      <c r="IK65" s="648"/>
      <c r="IL65" s="648"/>
      <c r="IM65" s="648"/>
      <c r="IN65" s="648"/>
      <c r="IO65" s="648"/>
      <c r="IP65" s="648"/>
      <c r="IQ65" s="648"/>
      <c r="IR65" s="648"/>
      <c r="IS65" s="648"/>
      <c r="IT65" s="648"/>
      <c r="IU65" s="648"/>
      <c r="IV65" s="648"/>
    </row>
    <row r="66" spans="1:256" s="313" customFormat="1" ht="24.75" customHeight="1">
      <c r="A66" s="841" t="s">
        <v>805</v>
      </c>
      <c r="B66" s="841"/>
      <c r="C66" s="841"/>
      <c r="D66" s="841"/>
      <c r="E66" s="841"/>
      <c r="F66" s="841"/>
      <c r="G66" s="841"/>
      <c r="H66" s="841"/>
      <c r="I66" s="841"/>
      <c r="J66" s="841"/>
      <c r="K66" s="841"/>
      <c r="L66" s="648"/>
      <c r="M66" s="648"/>
      <c r="N66" s="648"/>
      <c r="O66" s="648"/>
      <c r="P66" s="648"/>
      <c r="Q66" s="648"/>
      <c r="R66" s="648"/>
      <c r="S66" s="648"/>
      <c r="T66" s="648"/>
      <c r="U66" s="648"/>
      <c r="V66" s="648"/>
      <c r="W66" s="648"/>
      <c r="X66" s="648"/>
      <c r="Y66" s="648"/>
      <c r="Z66" s="648"/>
      <c r="AA66" s="649"/>
      <c r="AB66" s="649"/>
      <c r="AC66" s="648"/>
      <c r="AD66" s="648"/>
      <c r="AE66" s="648"/>
      <c r="AF66" s="648"/>
      <c r="AG66" s="648"/>
      <c r="AH66" s="648"/>
      <c r="AI66" s="648"/>
      <c r="AJ66" s="648"/>
      <c r="AK66" s="648"/>
      <c r="AL66" s="648"/>
      <c r="AM66" s="648"/>
      <c r="AN66" s="648"/>
      <c r="AO66" s="648"/>
      <c r="AP66" s="648"/>
      <c r="AQ66" s="648"/>
      <c r="AR66" s="648"/>
      <c r="AS66" s="648"/>
      <c r="AT66" s="648"/>
      <c r="AU66" s="648"/>
      <c r="AV66" s="648"/>
      <c r="AW66" s="648"/>
      <c r="AX66" s="648"/>
      <c r="AY66" s="648"/>
      <c r="AZ66" s="648"/>
      <c r="BA66" s="648"/>
      <c r="BB66" s="648"/>
      <c r="BC66" s="648"/>
      <c r="BD66" s="648"/>
      <c r="BE66" s="648"/>
      <c r="BF66" s="648"/>
      <c r="BG66" s="648"/>
      <c r="BH66" s="648"/>
      <c r="BI66" s="648"/>
      <c r="BJ66" s="648"/>
      <c r="BK66" s="648"/>
      <c r="BL66" s="648"/>
      <c r="BM66" s="648"/>
      <c r="BN66" s="648"/>
      <c r="BO66" s="648"/>
      <c r="BP66" s="648"/>
      <c r="BQ66" s="648"/>
      <c r="BR66" s="648"/>
      <c r="BS66" s="648"/>
      <c r="BT66" s="648"/>
      <c r="BU66" s="648"/>
      <c r="BV66" s="648"/>
      <c r="BW66" s="648"/>
      <c r="BX66" s="648"/>
      <c r="BY66" s="648"/>
      <c r="BZ66" s="648"/>
      <c r="CA66" s="648"/>
      <c r="CB66" s="648"/>
      <c r="CC66" s="648"/>
      <c r="CD66" s="648"/>
      <c r="CE66" s="648"/>
      <c r="CF66" s="648"/>
      <c r="CG66" s="648"/>
      <c r="CH66" s="648"/>
      <c r="CI66" s="648"/>
      <c r="CJ66" s="648"/>
      <c r="CK66" s="648"/>
      <c r="CL66" s="648"/>
      <c r="CM66" s="648"/>
      <c r="CN66" s="648"/>
      <c r="CO66" s="648"/>
      <c r="CP66" s="648"/>
      <c r="CQ66" s="648"/>
      <c r="CR66" s="648"/>
      <c r="CS66" s="648"/>
      <c r="CT66" s="648"/>
      <c r="CU66" s="648"/>
      <c r="CV66" s="648"/>
      <c r="CW66" s="648"/>
      <c r="CX66" s="648"/>
      <c r="CY66" s="648"/>
      <c r="CZ66" s="648"/>
      <c r="DA66" s="648"/>
      <c r="DB66" s="648"/>
      <c r="DC66" s="648"/>
      <c r="DD66" s="648"/>
      <c r="DE66" s="648"/>
      <c r="DF66" s="648"/>
      <c r="DG66" s="648"/>
      <c r="DH66" s="648"/>
      <c r="DI66" s="648"/>
      <c r="DJ66" s="648"/>
      <c r="DK66" s="648"/>
      <c r="DL66" s="648"/>
      <c r="DM66" s="648"/>
      <c r="DN66" s="648"/>
      <c r="DO66" s="648"/>
      <c r="DP66" s="648"/>
      <c r="DQ66" s="648"/>
      <c r="DR66" s="648"/>
      <c r="DS66" s="648"/>
      <c r="DT66" s="648"/>
      <c r="DU66" s="648"/>
      <c r="DV66" s="648"/>
      <c r="DW66" s="648"/>
      <c r="DX66" s="648"/>
      <c r="DY66" s="648"/>
      <c r="DZ66" s="648"/>
      <c r="EA66" s="648"/>
      <c r="EB66" s="648"/>
      <c r="EC66" s="648"/>
      <c r="ED66" s="648"/>
      <c r="EE66" s="648"/>
      <c r="EF66" s="648"/>
      <c r="EG66" s="648"/>
      <c r="EH66" s="648"/>
      <c r="EI66" s="648"/>
      <c r="EJ66" s="648"/>
      <c r="EK66" s="648"/>
      <c r="EL66" s="648"/>
      <c r="EM66" s="648"/>
      <c r="EN66" s="648"/>
      <c r="EO66" s="648"/>
      <c r="EP66" s="648"/>
      <c r="EQ66" s="648"/>
      <c r="ER66" s="648"/>
      <c r="ES66" s="648"/>
      <c r="ET66" s="648"/>
      <c r="EU66" s="648"/>
      <c r="EV66" s="648"/>
      <c r="EW66" s="648"/>
      <c r="EX66" s="648"/>
      <c r="EY66" s="648"/>
      <c r="EZ66" s="648"/>
      <c r="FA66" s="648"/>
      <c r="FB66" s="648"/>
      <c r="FC66" s="648"/>
      <c r="FD66" s="648"/>
      <c r="FE66" s="648"/>
      <c r="FF66" s="648"/>
      <c r="FG66" s="648"/>
      <c r="FH66" s="648"/>
      <c r="FI66" s="648"/>
      <c r="FJ66" s="648"/>
      <c r="FK66" s="648"/>
      <c r="FL66" s="648"/>
      <c r="FM66" s="648"/>
      <c r="FN66" s="648"/>
      <c r="FO66" s="648"/>
      <c r="FP66" s="648"/>
      <c r="FQ66" s="648"/>
      <c r="FR66" s="648"/>
      <c r="FS66" s="648"/>
      <c r="FT66" s="648"/>
      <c r="FU66" s="648"/>
      <c r="FV66" s="648"/>
      <c r="FW66" s="648"/>
      <c r="FX66" s="648"/>
      <c r="FY66" s="648"/>
      <c r="FZ66" s="648"/>
      <c r="GA66" s="648"/>
      <c r="GB66" s="648"/>
      <c r="GC66" s="648"/>
      <c r="GD66" s="648"/>
      <c r="GE66" s="648"/>
      <c r="GF66" s="648"/>
      <c r="GG66" s="648"/>
      <c r="GH66" s="648"/>
      <c r="GI66" s="648"/>
      <c r="GJ66" s="648"/>
      <c r="GK66" s="648"/>
      <c r="GL66" s="648"/>
      <c r="GM66" s="648"/>
      <c r="GN66" s="648"/>
      <c r="GO66" s="648"/>
      <c r="GP66" s="648"/>
      <c r="GQ66" s="648"/>
      <c r="GR66" s="648"/>
      <c r="GS66" s="648"/>
      <c r="GT66" s="648"/>
      <c r="GU66" s="648"/>
      <c r="GV66" s="648"/>
      <c r="GW66" s="648"/>
      <c r="GX66" s="648"/>
      <c r="GY66" s="648"/>
      <c r="GZ66" s="648"/>
      <c r="HA66" s="648"/>
      <c r="HB66" s="648"/>
      <c r="HC66" s="648"/>
      <c r="HD66" s="648"/>
      <c r="HE66" s="648"/>
      <c r="HF66" s="648"/>
      <c r="HG66" s="648"/>
      <c r="HH66" s="648"/>
      <c r="HI66" s="648"/>
      <c r="HJ66" s="648"/>
      <c r="HK66" s="648"/>
      <c r="HL66" s="648"/>
      <c r="HM66" s="648"/>
      <c r="HN66" s="648"/>
      <c r="HO66" s="648"/>
      <c r="HP66" s="648"/>
      <c r="HQ66" s="648"/>
      <c r="HR66" s="648"/>
      <c r="HS66" s="648"/>
      <c r="HT66" s="648"/>
      <c r="HU66" s="648"/>
      <c r="HV66" s="648"/>
      <c r="HW66" s="648"/>
      <c r="HX66" s="648"/>
      <c r="HY66" s="648"/>
      <c r="HZ66" s="648"/>
      <c r="IA66" s="648"/>
      <c r="IB66" s="648"/>
      <c r="IC66" s="648"/>
      <c r="ID66" s="648"/>
      <c r="IE66" s="648"/>
      <c r="IF66" s="648"/>
      <c r="IG66" s="648"/>
      <c r="IH66" s="648"/>
      <c r="II66" s="648"/>
      <c r="IJ66" s="648"/>
      <c r="IK66" s="648"/>
      <c r="IL66" s="648"/>
      <c r="IM66" s="648"/>
      <c r="IN66" s="648"/>
      <c r="IO66" s="648"/>
      <c r="IP66" s="648"/>
      <c r="IQ66" s="648"/>
      <c r="IR66" s="648"/>
      <c r="IS66" s="648"/>
      <c r="IT66" s="648"/>
      <c r="IU66" s="648"/>
      <c r="IV66" s="648"/>
    </row>
    <row r="67" spans="1:256" s="313" customFormat="1">
      <c r="A67" s="841" t="s">
        <v>127</v>
      </c>
      <c r="B67" s="841"/>
      <c r="C67" s="841"/>
      <c r="D67" s="841"/>
      <c r="E67" s="841"/>
      <c r="F67" s="841"/>
      <c r="G67" s="841"/>
      <c r="H67" s="841"/>
      <c r="I67" s="841"/>
      <c r="J67" s="841"/>
      <c r="K67" s="841"/>
      <c r="L67" s="648"/>
      <c r="M67" s="648"/>
      <c r="N67" s="648"/>
      <c r="O67" s="648"/>
      <c r="P67" s="648"/>
      <c r="Q67" s="648"/>
      <c r="R67" s="648"/>
      <c r="S67" s="648"/>
      <c r="T67" s="648"/>
      <c r="U67" s="648"/>
      <c r="V67" s="648"/>
      <c r="W67" s="648"/>
      <c r="X67" s="648"/>
      <c r="Y67" s="648"/>
      <c r="Z67" s="648"/>
      <c r="AA67" s="649"/>
      <c r="AB67" s="649"/>
      <c r="AC67" s="648"/>
      <c r="AD67" s="648"/>
      <c r="AE67" s="648"/>
      <c r="AF67" s="648"/>
      <c r="AG67" s="648"/>
      <c r="AH67" s="648"/>
      <c r="AI67" s="648"/>
      <c r="AJ67" s="648"/>
      <c r="AK67" s="648"/>
      <c r="AL67" s="648"/>
      <c r="AM67" s="648"/>
      <c r="AN67" s="648"/>
      <c r="AO67" s="648"/>
      <c r="AP67" s="648"/>
      <c r="AQ67" s="648"/>
      <c r="AR67" s="648"/>
      <c r="AS67" s="648"/>
      <c r="AT67" s="648"/>
      <c r="AU67" s="648"/>
      <c r="AV67" s="648"/>
      <c r="AW67" s="648"/>
      <c r="AX67" s="648"/>
      <c r="AY67" s="648"/>
      <c r="AZ67" s="648"/>
      <c r="BA67" s="648"/>
      <c r="BB67" s="648"/>
      <c r="BC67" s="648"/>
      <c r="BD67" s="648"/>
      <c r="BE67" s="648"/>
      <c r="BF67" s="648"/>
      <c r="BG67" s="648"/>
      <c r="BH67" s="648"/>
      <c r="BI67" s="648"/>
      <c r="BJ67" s="648"/>
      <c r="BK67" s="648"/>
      <c r="BL67" s="648"/>
      <c r="BM67" s="648"/>
      <c r="BN67" s="648"/>
      <c r="BO67" s="648"/>
      <c r="BP67" s="648"/>
      <c r="BQ67" s="648"/>
      <c r="BR67" s="648"/>
      <c r="BS67" s="648"/>
      <c r="BT67" s="648"/>
      <c r="BU67" s="648"/>
      <c r="BV67" s="648"/>
      <c r="BW67" s="648"/>
      <c r="BX67" s="648"/>
      <c r="BY67" s="648"/>
      <c r="BZ67" s="648"/>
      <c r="CA67" s="648"/>
      <c r="CB67" s="648"/>
      <c r="CC67" s="648"/>
      <c r="CD67" s="648"/>
      <c r="CE67" s="648"/>
      <c r="CF67" s="648"/>
      <c r="CG67" s="648"/>
      <c r="CH67" s="648"/>
      <c r="CI67" s="648"/>
      <c r="CJ67" s="648"/>
      <c r="CK67" s="648"/>
      <c r="CL67" s="648"/>
      <c r="CM67" s="648"/>
      <c r="CN67" s="648"/>
      <c r="CO67" s="648"/>
      <c r="CP67" s="648"/>
      <c r="CQ67" s="648"/>
      <c r="CR67" s="648"/>
      <c r="CS67" s="648"/>
      <c r="CT67" s="648"/>
      <c r="CU67" s="648"/>
      <c r="CV67" s="648"/>
      <c r="CW67" s="648"/>
      <c r="CX67" s="648"/>
      <c r="CY67" s="648"/>
      <c r="CZ67" s="648"/>
      <c r="DA67" s="648"/>
      <c r="DB67" s="648"/>
      <c r="DC67" s="648"/>
      <c r="DD67" s="648"/>
      <c r="DE67" s="648"/>
      <c r="DF67" s="648"/>
      <c r="DG67" s="648"/>
      <c r="DH67" s="648"/>
      <c r="DI67" s="648"/>
      <c r="DJ67" s="648"/>
      <c r="DK67" s="648"/>
      <c r="DL67" s="648"/>
      <c r="DM67" s="648"/>
      <c r="DN67" s="648"/>
      <c r="DO67" s="648"/>
      <c r="DP67" s="648"/>
      <c r="DQ67" s="648"/>
      <c r="DR67" s="648"/>
      <c r="DS67" s="648"/>
      <c r="DT67" s="648"/>
      <c r="DU67" s="648"/>
      <c r="DV67" s="648"/>
      <c r="DW67" s="648"/>
      <c r="DX67" s="648"/>
      <c r="DY67" s="648"/>
      <c r="DZ67" s="648"/>
      <c r="EA67" s="648"/>
      <c r="EB67" s="648"/>
      <c r="EC67" s="648"/>
      <c r="ED67" s="648"/>
      <c r="EE67" s="648"/>
      <c r="EF67" s="648"/>
      <c r="EG67" s="648"/>
      <c r="EH67" s="648"/>
      <c r="EI67" s="648"/>
      <c r="EJ67" s="648"/>
      <c r="EK67" s="648"/>
      <c r="EL67" s="648"/>
      <c r="EM67" s="648"/>
      <c r="EN67" s="648"/>
      <c r="EO67" s="648"/>
      <c r="EP67" s="648"/>
      <c r="EQ67" s="648"/>
      <c r="ER67" s="648"/>
      <c r="ES67" s="648"/>
      <c r="ET67" s="648"/>
      <c r="EU67" s="648"/>
      <c r="EV67" s="648"/>
      <c r="EW67" s="648"/>
      <c r="EX67" s="648"/>
      <c r="EY67" s="648"/>
      <c r="EZ67" s="648"/>
      <c r="FA67" s="648"/>
      <c r="FB67" s="648"/>
      <c r="FC67" s="648"/>
      <c r="FD67" s="648"/>
      <c r="FE67" s="648"/>
      <c r="FF67" s="648"/>
      <c r="FG67" s="648"/>
      <c r="FH67" s="648"/>
      <c r="FI67" s="648"/>
      <c r="FJ67" s="648"/>
      <c r="FK67" s="648"/>
      <c r="FL67" s="648"/>
      <c r="FM67" s="648"/>
      <c r="FN67" s="648"/>
      <c r="FO67" s="648"/>
      <c r="FP67" s="648"/>
      <c r="FQ67" s="648"/>
      <c r="FR67" s="648"/>
      <c r="FS67" s="648"/>
      <c r="FT67" s="648"/>
      <c r="FU67" s="648"/>
      <c r="FV67" s="648"/>
      <c r="FW67" s="648"/>
      <c r="FX67" s="648"/>
      <c r="FY67" s="648"/>
      <c r="FZ67" s="648"/>
      <c r="GA67" s="648"/>
      <c r="GB67" s="648"/>
      <c r="GC67" s="648"/>
      <c r="GD67" s="648"/>
      <c r="GE67" s="648"/>
      <c r="GF67" s="648"/>
      <c r="GG67" s="648"/>
      <c r="GH67" s="648"/>
      <c r="GI67" s="648"/>
      <c r="GJ67" s="648"/>
      <c r="GK67" s="648"/>
      <c r="GL67" s="648"/>
      <c r="GM67" s="648"/>
      <c r="GN67" s="648"/>
      <c r="GO67" s="648"/>
      <c r="GP67" s="648"/>
      <c r="GQ67" s="648"/>
      <c r="GR67" s="648"/>
      <c r="GS67" s="648"/>
      <c r="GT67" s="648"/>
      <c r="GU67" s="648"/>
      <c r="GV67" s="648"/>
      <c r="GW67" s="648"/>
      <c r="GX67" s="648"/>
      <c r="GY67" s="648"/>
      <c r="GZ67" s="648"/>
      <c r="HA67" s="648"/>
      <c r="HB67" s="648"/>
      <c r="HC67" s="648"/>
      <c r="HD67" s="648"/>
      <c r="HE67" s="648"/>
      <c r="HF67" s="648"/>
      <c r="HG67" s="648"/>
      <c r="HH67" s="648"/>
      <c r="HI67" s="648"/>
      <c r="HJ67" s="648"/>
      <c r="HK67" s="648"/>
      <c r="HL67" s="648"/>
      <c r="HM67" s="648"/>
      <c r="HN67" s="648"/>
      <c r="HO67" s="648"/>
      <c r="HP67" s="648"/>
      <c r="HQ67" s="648"/>
      <c r="HR67" s="648"/>
      <c r="HS67" s="648"/>
      <c r="HT67" s="648"/>
      <c r="HU67" s="648"/>
      <c r="HV67" s="648"/>
      <c r="HW67" s="648"/>
      <c r="HX67" s="648"/>
      <c r="HY67" s="648"/>
      <c r="HZ67" s="648"/>
      <c r="IA67" s="648"/>
      <c r="IB67" s="648"/>
      <c r="IC67" s="648"/>
      <c r="ID67" s="648"/>
      <c r="IE67" s="648"/>
      <c r="IF67" s="648"/>
      <c r="IG67" s="648"/>
      <c r="IH67" s="648"/>
      <c r="II67" s="648"/>
      <c r="IJ67" s="648"/>
      <c r="IK67" s="648"/>
      <c r="IL67" s="648"/>
      <c r="IM67" s="648"/>
      <c r="IN67" s="648"/>
      <c r="IO67" s="648"/>
      <c r="IP67" s="648"/>
      <c r="IQ67" s="648"/>
      <c r="IR67" s="648"/>
      <c r="IS67" s="648"/>
      <c r="IT67" s="648"/>
      <c r="IU67" s="648"/>
      <c r="IV67" s="648"/>
    </row>
  </sheetData>
  <mergeCells count="38">
    <mergeCell ref="A67:K67"/>
    <mergeCell ref="A47:K47"/>
    <mergeCell ref="A59:K59"/>
    <mergeCell ref="A58:K58"/>
    <mergeCell ref="A63:K63"/>
    <mergeCell ref="A64:K64"/>
    <mergeCell ref="A65:K65"/>
    <mergeCell ref="A66:K66"/>
    <mergeCell ref="A56:K56"/>
    <mergeCell ref="A60:K60"/>
    <mergeCell ref="A51:K51"/>
    <mergeCell ref="A61:K61"/>
    <mergeCell ref="A62:K62"/>
    <mergeCell ref="A52:K52"/>
    <mergeCell ref="A53:K53"/>
    <mergeCell ref="A54:K54"/>
    <mergeCell ref="A55:K55"/>
    <mergeCell ref="A41:K41"/>
    <mergeCell ref="A42:K42"/>
    <mergeCell ref="A49:K49"/>
    <mergeCell ref="A43:K43"/>
    <mergeCell ref="A50:K50"/>
    <mergeCell ref="A37:K37"/>
    <mergeCell ref="A32:K32"/>
    <mergeCell ref="A38:K38"/>
    <mergeCell ref="A39:K39"/>
    <mergeCell ref="A40:K40"/>
    <mergeCell ref="A29:K29"/>
    <mergeCell ref="A30:K30"/>
    <mergeCell ref="A31:K31"/>
    <mergeCell ref="A35:K35"/>
    <mergeCell ref="A36:K36"/>
    <mergeCell ref="A27:K27"/>
    <mergeCell ref="A28:K28"/>
    <mergeCell ref="U1:V1"/>
    <mergeCell ref="A24:K24"/>
    <mergeCell ref="A25:K25"/>
    <mergeCell ref="A26:K26"/>
  </mergeCells>
  <phoneticPr fontId="3" type="noConversion"/>
  <dataValidations disablePrompts="1" count="1">
    <dataValidation type="list" allowBlank="1" showInputMessage="1" showErrorMessage="1" sqref="O2" xr:uid="{00000000-0002-0000-0A00-000000000000}">
      <formula1>CombinacionCI</formula1>
    </dataValidation>
  </dataValidations>
  <printOptions horizontalCentered="1"/>
  <pageMargins left="0" right="0" top="0.39370078740157483" bottom="0.98425196850393704" header="0" footer="0"/>
  <pageSetup scale="24"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9"/>
  <dimension ref="A1:IV361"/>
  <sheetViews>
    <sheetView showGridLines="0" view="pageBreakPreview" zoomScale="70" zoomScaleNormal="70" workbookViewId="0">
      <pane ySplit="4" topLeftCell="A242" activePane="bottomLeft" state="frozen"/>
      <selection activeCell="A2" sqref="A2"/>
      <selection pane="bottomLeft" activeCell="H242" sqref="H242"/>
    </sheetView>
  </sheetViews>
  <sheetFormatPr baseColWidth="10" defaultRowHeight="15" outlineLevelCol="1"/>
  <cols>
    <col min="1" max="1" width="18.42578125" style="5" customWidth="1" outlineLevel="1"/>
    <col min="2" max="2" width="44.140625" style="5" customWidth="1" outlineLevel="1"/>
    <col min="3" max="3" width="13.28515625" style="6" customWidth="1"/>
    <col min="4" max="4" width="13.140625" style="11" customWidth="1"/>
    <col min="5" max="5" width="10.42578125" style="11" customWidth="1"/>
    <col min="6" max="6" width="39.28515625" style="5" bestFit="1" customWidth="1"/>
    <col min="7" max="7" width="54.5703125" style="2" customWidth="1"/>
    <col min="8" max="8" width="6.5703125" style="4" customWidth="1"/>
    <col min="9" max="9" width="27.42578125" style="5" bestFit="1" customWidth="1"/>
    <col min="10" max="10" width="34.42578125" style="11" bestFit="1" customWidth="1"/>
    <col min="11" max="11" width="26.28515625" style="9" customWidth="1"/>
    <col min="12" max="16384" width="11.42578125" style="5"/>
  </cols>
  <sheetData>
    <row r="1" spans="1:11">
      <c r="A1" s="2" t="s">
        <v>138</v>
      </c>
    </row>
    <row r="4" spans="1:11" s="9" customFormat="1" ht="33.75" customHeight="1">
      <c r="A4" s="9" t="s">
        <v>139</v>
      </c>
      <c r="B4" s="9" t="s">
        <v>140</v>
      </c>
      <c r="C4" s="430" t="s">
        <v>141</v>
      </c>
      <c r="D4" s="430" t="s">
        <v>144</v>
      </c>
      <c r="E4" s="430" t="s">
        <v>145</v>
      </c>
      <c r="F4" s="431"/>
      <c r="G4" s="431" t="s">
        <v>146</v>
      </c>
      <c r="H4" s="4" t="s">
        <v>479</v>
      </c>
      <c r="I4" s="431" t="s">
        <v>147</v>
      </c>
      <c r="J4" s="431" t="s">
        <v>148</v>
      </c>
      <c r="K4" s="15"/>
    </row>
    <row r="5" spans="1:11" s="9" customFormat="1" ht="22.5" customHeight="1">
      <c r="C5" s="16"/>
      <c r="H5" s="4"/>
    </row>
    <row r="6" spans="1:11" ht="22.5" customHeight="1">
      <c r="A6" s="17" t="s">
        <v>149</v>
      </c>
      <c r="C6" s="18" t="s">
        <v>149</v>
      </c>
      <c r="E6" s="12"/>
      <c r="G6" s="1"/>
    </row>
    <row r="7" spans="1:11" ht="22.5" customHeight="1">
      <c r="A7" s="7">
        <v>16</v>
      </c>
      <c r="B7" s="5" t="s">
        <v>150</v>
      </c>
      <c r="C7" s="19">
        <v>1000</v>
      </c>
      <c r="D7" s="7">
        <v>110</v>
      </c>
      <c r="E7" s="20" t="s">
        <v>151</v>
      </c>
      <c r="F7" s="8"/>
      <c r="G7" s="1" t="s">
        <v>152</v>
      </c>
      <c r="I7" s="2" t="s">
        <v>153</v>
      </c>
      <c r="J7" s="9" t="s">
        <v>154</v>
      </c>
    </row>
    <row r="8" spans="1:11" ht="22.5" customHeight="1">
      <c r="A8" s="7">
        <v>15</v>
      </c>
      <c r="B8" s="5" t="s">
        <v>150</v>
      </c>
      <c r="C8" s="19">
        <v>1000</v>
      </c>
      <c r="D8" s="7">
        <v>115</v>
      </c>
      <c r="E8" s="20" t="s">
        <v>151</v>
      </c>
      <c r="F8" s="2"/>
      <c r="G8" s="1" t="s">
        <v>152</v>
      </c>
      <c r="I8" s="2" t="s">
        <v>155</v>
      </c>
      <c r="J8" s="9" t="s">
        <v>154</v>
      </c>
    </row>
    <row r="9" spans="1:11" ht="22.5" customHeight="1">
      <c r="A9" s="7">
        <v>17</v>
      </c>
      <c r="B9" s="5" t="s">
        <v>156</v>
      </c>
      <c r="C9" s="19">
        <v>1000</v>
      </c>
      <c r="D9" s="7">
        <v>120</v>
      </c>
      <c r="E9" s="20" t="s">
        <v>151</v>
      </c>
      <c r="F9" s="2"/>
      <c r="G9" s="1" t="s">
        <v>152</v>
      </c>
      <c r="I9" s="2" t="s">
        <v>157</v>
      </c>
      <c r="J9" s="9" t="s">
        <v>154</v>
      </c>
    </row>
    <row r="10" spans="1:11" ht="22.5" customHeight="1">
      <c r="A10" s="7">
        <v>172</v>
      </c>
      <c r="B10" s="5" t="s">
        <v>158</v>
      </c>
      <c r="C10" s="6">
        <v>1000</v>
      </c>
      <c r="D10" s="7">
        <v>125</v>
      </c>
      <c r="E10" s="20" t="s">
        <v>151</v>
      </c>
      <c r="F10" s="8"/>
      <c r="G10" s="1" t="s">
        <v>152</v>
      </c>
      <c r="I10" s="2" t="s">
        <v>159</v>
      </c>
      <c r="J10" s="9" t="s">
        <v>154</v>
      </c>
    </row>
    <row r="11" spans="1:11" ht="22.5" customHeight="1">
      <c r="A11" s="7">
        <v>12</v>
      </c>
      <c r="B11" s="5" t="s">
        <v>160</v>
      </c>
      <c r="C11" s="19">
        <v>1000</v>
      </c>
      <c r="D11" s="7">
        <v>330</v>
      </c>
      <c r="E11" s="20" t="s">
        <v>151</v>
      </c>
      <c r="F11" s="8"/>
      <c r="G11" s="1" t="s">
        <v>152</v>
      </c>
      <c r="I11" s="2" t="s">
        <v>161</v>
      </c>
      <c r="J11" s="9" t="s">
        <v>154</v>
      </c>
    </row>
    <row r="12" spans="1:11" ht="22.5" customHeight="1">
      <c r="A12" s="7"/>
      <c r="C12" s="6">
        <v>1000</v>
      </c>
      <c r="D12" s="7">
        <v>415</v>
      </c>
      <c r="E12" s="20" t="s">
        <v>162</v>
      </c>
      <c r="F12" s="8"/>
      <c r="G12" s="1" t="s">
        <v>152</v>
      </c>
      <c r="I12" s="2" t="s">
        <v>163</v>
      </c>
      <c r="J12" s="9" t="s">
        <v>154</v>
      </c>
    </row>
    <row r="13" spans="1:11" ht="22.5" customHeight="1">
      <c r="A13" s="7">
        <v>3</v>
      </c>
      <c r="B13" s="5" t="s">
        <v>164</v>
      </c>
      <c r="C13" s="19">
        <v>1000</v>
      </c>
      <c r="D13" s="7">
        <v>415</v>
      </c>
      <c r="E13" s="20" t="s">
        <v>151</v>
      </c>
      <c r="F13" s="8"/>
      <c r="G13" s="1" t="s">
        <v>152</v>
      </c>
      <c r="I13" s="2" t="s">
        <v>163</v>
      </c>
      <c r="J13" s="9" t="s">
        <v>154</v>
      </c>
    </row>
    <row r="14" spans="1:11" s="2" customFormat="1" ht="22.5" customHeight="1">
      <c r="A14" s="7">
        <v>2</v>
      </c>
      <c r="B14" s="5" t="s">
        <v>165</v>
      </c>
      <c r="C14" s="19">
        <v>1000</v>
      </c>
      <c r="D14" s="7">
        <v>415</v>
      </c>
      <c r="E14" s="20" t="s">
        <v>151</v>
      </c>
      <c r="F14" s="8"/>
      <c r="G14" s="1" t="s">
        <v>152</v>
      </c>
      <c r="H14" s="4"/>
      <c r="I14" s="2" t="s">
        <v>163</v>
      </c>
      <c r="J14" s="9" t="s">
        <v>154</v>
      </c>
      <c r="K14" s="9"/>
    </row>
    <row r="15" spans="1:11" s="2" customFormat="1" ht="22.5" customHeight="1">
      <c r="A15" s="7">
        <v>4</v>
      </c>
      <c r="B15" s="5" t="s">
        <v>166</v>
      </c>
      <c r="C15" s="19">
        <v>1000</v>
      </c>
      <c r="D15" s="7">
        <v>415</v>
      </c>
      <c r="E15" s="20" t="s">
        <v>151</v>
      </c>
      <c r="F15" s="8"/>
      <c r="G15" s="1" t="s">
        <v>152</v>
      </c>
      <c r="H15" s="4"/>
      <c r="I15" s="2" t="s">
        <v>163</v>
      </c>
      <c r="J15" s="9" t="s">
        <v>154</v>
      </c>
      <c r="K15" s="9"/>
    </row>
    <row r="16" spans="1:11" s="2" customFormat="1" ht="22.5" customHeight="1">
      <c r="A16" s="7">
        <v>6</v>
      </c>
      <c r="B16" s="5" t="s">
        <v>167</v>
      </c>
      <c r="C16" s="19">
        <v>1000</v>
      </c>
      <c r="D16" s="7">
        <v>415</v>
      </c>
      <c r="E16" s="20" t="s">
        <v>151</v>
      </c>
      <c r="F16" s="8"/>
      <c r="G16" s="1" t="s">
        <v>152</v>
      </c>
      <c r="H16" s="4"/>
      <c r="I16" s="2" t="s">
        <v>163</v>
      </c>
      <c r="J16" s="9" t="s">
        <v>154</v>
      </c>
      <c r="K16" s="9"/>
    </row>
    <row r="17" spans="1:11" s="2" customFormat="1" ht="22.5" customHeight="1">
      <c r="A17" s="7">
        <v>25</v>
      </c>
      <c r="B17" s="5" t="s">
        <v>168</v>
      </c>
      <c r="C17" s="19">
        <v>1000</v>
      </c>
      <c r="D17" s="7">
        <v>415</v>
      </c>
      <c r="E17" s="20" t="s">
        <v>151</v>
      </c>
      <c r="F17" s="8"/>
      <c r="G17" s="1" t="s">
        <v>152</v>
      </c>
      <c r="H17" s="4"/>
      <c r="I17" s="2" t="s">
        <v>163</v>
      </c>
      <c r="J17" s="9" t="s">
        <v>154</v>
      </c>
      <c r="K17" s="9"/>
    </row>
    <row r="18" spans="1:11" s="2" customFormat="1" ht="22.5" customHeight="1">
      <c r="A18" s="7"/>
      <c r="B18" s="5"/>
      <c r="C18" s="322">
        <v>1000</v>
      </c>
      <c r="D18" s="323">
        <v>420</v>
      </c>
      <c r="E18" s="328" t="s">
        <v>151</v>
      </c>
      <c r="F18" s="330"/>
      <c r="G18" s="327" t="s">
        <v>880</v>
      </c>
      <c r="H18" s="4"/>
      <c r="J18" s="9"/>
      <c r="K18" s="9"/>
    </row>
    <row r="19" spans="1:11" s="2" customFormat="1" ht="22.5" customHeight="1">
      <c r="A19" s="7"/>
      <c r="B19" s="2" t="s">
        <v>169</v>
      </c>
      <c r="C19" s="6">
        <v>1000</v>
      </c>
      <c r="D19" s="7">
        <v>425</v>
      </c>
      <c r="E19" s="20" t="s">
        <v>151</v>
      </c>
      <c r="F19" s="8"/>
      <c r="G19" s="1" t="s">
        <v>152</v>
      </c>
      <c r="H19" s="4"/>
      <c r="I19" s="2" t="s">
        <v>170</v>
      </c>
      <c r="J19" s="9" t="s">
        <v>154</v>
      </c>
      <c r="K19" s="9"/>
    </row>
    <row r="20" spans="1:11" s="2" customFormat="1" ht="22.5" customHeight="1">
      <c r="A20" s="7">
        <v>9</v>
      </c>
      <c r="B20" s="2" t="s">
        <v>171</v>
      </c>
      <c r="C20" s="19">
        <v>1000</v>
      </c>
      <c r="D20" s="7">
        <v>430</v>
      </c>
      <c r="E20" s="20" t="s">
        <v>151</v>
      </c>
      <c r="F20" s="8"/>
      <c r="G20" s="1" t="s">
        <v>152</v>
      </c>
      <c r="H20" s="4"/>
      <c r="I20" s="2" t="s">
        <v>172</v>
      </c>
      <c r="J20" s="9" t="s">
        <v>154</v>
      </c>
      <c r="K20" s="9"/>
    </row>
    <row r="21" spans="1:11" s="2" customFormat="1" ht="22.5" customHeight="1">
      <c r="A21" s="7">
        <v>11</v>
      </c>
      <c r="B21" s="2" t="s">
        <v>173</v>
      </c>
      <c r="C21" s="19">
        <v>1000</v>
      </c>
      <c r="D21" s="7">
        <v>440</v>
      </c>
      <c r="E21" s="20" t="s">
        <v>151</v>
      </c>
      <c r="F21" s="8"/>
      <c r="G21" s="1" t="s">
        <v>152</v>
      </c>
      <c r="H21" s="4"/>
      <c r="I21" s="2" t="s">
        <v>174</v>
      </c>
      <c r="J21" s="9" t="s">
        <v>154</v>
      </c>
      <c r="K21" s="9"/>
    </row>
    <row r="22" spans="1:11" s="2" customFormat="1" ht="22.5" customHeight="1">
      <c r="A22" s="7"/>
      <c r="B22" s="2" t="s">
        <v>175</v>
      </c>
      <c r="C22" s="6">
        <v>1000</v>
      </c>
      <c r="D22" s="7">
        <v>455</v>
      </c>
      <c r="E22" s="20" t="s">
        <v>151</v>
      </c>
      <c r="F22" s="8"/>
      <c r="G22" s="1" t="s">
        <v>152</v>
      </c>
      <c r="H22" s="4"/>
      <c r="I22" s="2" t="s">
        <v>176</v>
      </c>
      <c r="J22" s="9" t="s">
        <v>154</v>
      </c>
      <c r="K22" s="9"/>
    </row>
    <row r="23" spans="1:11" s="2" customFormat="1" ht="22.5" customHeight="1">
      <c r="A23" s="7">
        <v>1</v>
      </c>
      <c r="B23" s="2" t="s">
        <v>177</v>
      </c>
      <c r="C23" s="19">
        <v>1000</v>
      </c>
      <c r="D23" s="7">
        <v>510</v>
      </c>
      <c r="E23" s="20" t="s">
        <v>151</v>
      </c>
      <c r="F23" s="8"/>
      <c r="G23" s="1" t="s">
        <v>152</v>
      </c>
      <c r="H23" s="4"/>
      <c r="I23" s="2" t="s">
        <v>178</v>
      </c>
      <c r="J23" s="9" t="s">
        <v>154</v>
      </c>
      <c r="K23" s="9"/>
    </row>
    <row r="24" spans="1:11" ht="22.5" customHeight="1">
      <c r="A24" s="7" t="s">
        <v>179</v>
      </c>
      <c r="B24" s="13" t="s">
        <v>180</v>
      </c>
      <c r="C24" s="19">
        <v>1000</v>
      </c>
      <c r="D24" s="7">
        <v>530</v>
      </c>
      <c r="E24" s="20" t="s">
        <v>151</v>
      </c>
      <c r="F24" s="8"/>
      <c r="G24" s="1" t="s">
        <v>152</v>
      </c>
      <c r="I24" s="2" t="s">
        <v>181</v>
      </c>
      <c r="J24" s="9" t="s">
        <v>154</v>
      </c>
    </row>
    <row r="25" spans="1:11" ht="22.5" customHeight="1">
      <c r="A25" s="7">
        <v>166</v>
      </c>
      <c r="B25" s="5" t="s">
        <v>182</v>
      </c>
      <c r="C25" s="6">
        <v>1000</v>
      </c>
      <c r="D25" s="20">
        <v>550</v>
      </c>
      <c r="E25" s="20" t="s">
        <v>151</v>
      </c>
      <c r="F25" s="8"/>
      <c r="G25" s="1" t="s">
        <v>152</v>
      </c>
      <c r="I25" s="2" t="s">
        <v>183</v>
      </c>
      <c r="J25" s="9" t="s">
        <v>154</v>
      </c>
    </row>
    <row r="26" spans="1:11" ht="22.5" customHeight="1">
      <c r="A26" s="7">
        <v>24</v>
      </c>
      <c r="B26" s="5" t="s">
        <v>184</v>
      </c>
      <c r="C26" s="19">
        <v>1000</v>
      </c>
      <c r="D26" s="7">
        <v>800</v>
      </c>
      <c r="E26" s="20" t="s">
        <v>151</v>
      </c>
      <c r="F26" s="8"/>
      <c r="G26" s="1" t="s">
        <v>152</v>
      </c>
      <c r="I26" s="2" t="s">
        <v>185</v>
      </c>
      <c r="J26" s="9" t="s">
        <v>154</v>
      </c>
    </row>
    <row r="27" spans="1:11" ht="22.5" customHeight="1">
      <c r="A27" s="7"/>
      <c r="D27" s="7"/>
      <c r="E27" s="7"/>
      <c r="I27" s="2"/>
      <c r="J27" s="9"/>
    </row>
    <row r="28" spans="1:11" ht="22.5" customHeight="1">
      <c r="A28" s="17" t="s">
        <v>186</v>
      </c>
      <c r="C28" s="18" t="s">
        <v>186</v>
      </c>
      <c r="D28" s="7"/>
      <c r="E28" s="20"/>
      <c r="F28" s="2"/>
      <c r="G28" s="1"/>
      <c r="I28" s="2"/>
      <c r="J28" s="9"/>
    </row>
    <row r="29" spans="1:11" ht="22.5" customHeight="1">
      <c r="A29" s="7">
        <v>14</v>
      </c>
      <c r="B29" s="5" t="s">
        <v>187</v>
      </c>
      <c r="C29" s="19">
        <v>1001</v>
      </c>
      <c r="D29" s="7">
        <v>110</v>
      </c>
      <c r="E29" s="20" t="s">
        <v>151</v>
      </c>
      <c r="F29" s="2"/>
      <c r="G29" s="1" t="s">
        <v>188</v>
      </c>
      <c r="I29" s="2" t="s">
        <v>153</v>
      </c>
      <c r="J29" s="9" t="s">
        <v>154</v>
      </c>
    </row>
    <row r="30" spans="1:11" ht="22.5" customHeight="1">
      <c r="A30" s="7"/>
      <c r="D30" s="7"/>
      <c r="E30" s="20"/>
      <c r="G30" s="1"/>
      <c r="I30" s="2"/>
      <c r="J30" s="9"/>
    </row>
    <row r="31" spans="1:11" ht="22.5" customHeight="1">
      <c r="A31" s="17" t="s">
        <v>189</v>
      </c>
      <c r="C31" s="18" t="s">
        <v>189</v>
      </c>
      <c r="D31" s="7"/>
      <c r="E31" s="20"/>
      <c r="G31" s="1"/>
      <c r="I31" s="2"/>
      <c r="J31" s="9"/>
    </row>
    <row r="32" spans="1:11" ht="22.5" customHeight="1">
      <c r="A32" s="17"/>
      <c r="D32" s="7"/>
      <c r="E32" s="20"/>
      <c r="G32" s="1"/>
      <c r="I32" s="2"/>
      <c r="J32" s="9"/>
    </row>
    <row r="33" spans="1:10" ht="22.5" customHeight="1">
      <c r="A33" s="17" t="s">
        <v>190</v>
      </c>
      <c r="C33" s="18" t="s">
        <v>190</v>
      </c>
      <c r="D33" s="7"/>
      <c r="E33" s="20"/>
      <c r="G33" s="1"/>
      <c r="I33" s="2"/>
      <c r="J33" s="9"/>
    </row>
    <row r="34" spans="1:10" ht="22.5" customHeight="1">
      <c r="A34" s="7">
        <v>163</v>
      </c>
      <c r="B34" s="5" t="s">
        <v>191</v>
      </c>
      <c r="C34" s="6">
        <v>1100</v>
      </c>
      <c r="D34" s="20">
        <v>900</v>
      </c>
      <c r="E34" s="20" t="s">
        <v>151</v>
      </c>
      <c r="F34" s="8"/>
      <c r="G34" s="2" t="s">
        <v>192</v>
      </c>
      <c r="I34" s="2" t="s">
        <v>193</v>
      </c>
      <c r="J34" s="9" t="s">
        <v>154</v>
      </c>
    </row>
    <row r="35" spans="1:10" ht="22.5" customHeight="1">
      <c r="A35" s="7">
        <v>162</v>
      </c>
      <c r="B35" s="5" t="s">
        <v>194</v>
      </c>
      <c r="C35" s="6">
        <v>1100</v>
      </c>
      <c r="D35" s="20">
        <v>900</v>
      </c>
      <c r="E35" s="20" t="s">
        <v>151</v>
      </c>
      <c r="F35" s="8"/>
      <c r="G35" s="2" t="s">
        <v>192</v>
      </c>
      <c r="I35" s="2" t="s">
        <v>193</v>
      </c>
      <c r="J35" s="9" t="s">
        <v>154</v>
      </c>
    </row>
    <row r="36" spans="1:10" ht="22.5" customHeight="1">
      <c r="A36" s="7"/>
      <c r="D36" s="20"/>
      <c r="E36" s="20"/>
      <c r="I36" s="2"/>
      <c r="J36" s="9"/>
    </row>
    <row r="37" spans="1:10" ht="22.5" customHeight="1">
      <c r="A37" s="17" t="s">
        <v>195</v>
      </c>
      <c r="C37" s="18" t="s">
        <v>195</v>
      </c>
      <c r="D37" s="7"/>
      <c r="E37" s="20"/>
      <c r="G37" s="1"/>
      <c r="I37" s="2"/>
      <c r="J37" s="9"/>
    </row>
    <row r="38" spans="1:10" ht="22.5" customHeight="1">
      <c r="A38" s="7">
        <v>19</v>
      </c>
      <c r="B38" s="5" t="s">
        <v>196</v>
      </c>
      <c r="C38" s="6">
        <v>1200</v>
      </c>
      <c r="D38" s="7">
        <v>450</v>
      </c>
      <c r="E38" s="20" t="s">
        <v>151</v>
      </c>
      <c r="F38" s="8"/>
      <c r="G38" s="1" t="s">
        <v>197</v>
      </c>
      <c r="I38" s="1" t="s">
        <v>198</v>
      </c>
      <c r="J38" s="9" t="s">
        <v>154</v>
      </c>
    </row>
    <row r="39" spans="1:10" ht="22.5" customHeight="1">
      <c r="A39" s="7">
        <v>23</v>
      </c>
      <c r="B39" s="5" t="s">
        <v>199</v>
      </c>
      <c r="C39" s="6">
        <v>1201</v>
      </c>
      <c r="D39" s="7">
        <v>450</v>
      </c>
      <c r="E39" s="20" t="s">
        <v>151</v>
      </c>
      <c r="F39" s="8"/>
      <c r="G39" s="1" t="s">
        <v>200</v>
      </c>
      <c r="I39" s="1" t="s">
        <v>198</v>
      </c>
      <c r="J39" s="9" t="s">
        <v>154</v>
      </c>
    </row>
    <row r="40" spans="1:10" ht="22.5" customHeight="1">
      <c r="A40" s="7">
        <v>22</v>
      </c>
      <c r="B40" s="5" t="s">
        <v>201</v>
      </c>
      <c r="C40" s="6">
        <v>1202</v>
      </c>
      <c r="D40" s="7">
        <v>450</v>
      </c>
      <c r="E40" s="20" t="s">
        <v>151</v>
      </c>
      <c r="F40" s="8"/>
      <c r="G40" s="1" t="s">
        <v>202</v>
      </c>
      <c r="I40" s="1" t="s">
        <v>198</v>
      </c>
      <c r="J40" s="9" t="s">
        <v>154</v>
      </c>
    </row>
    <row r="41" spans="1:10" ht="22.5" customHeight="1">
      <c r="A41" s="7"/>
      <c r="C41" s="322">
        <v>1203</v>
      </c>
      <c r="D41" s="323">
        <v>450</v>
      </c>
      <c r="E41" s="324" t="s">
        <v>151</v>
      </c>
      <c r="F41" s="14"/>
      <c r="G41" s="321" t="s">
        <v>881</v>
      </c>
      <c r="I41" s="1"/>
      <c r="J41" s="9"/>
    </row>
    <row r="42" spans="1:10" ht="22.5" customHeight="1">
      <c r="A42" s="17" t="s">
        <v>203</v>
      </c>
      <c r="C42" s="18" t="s">
        <v>203</v>
      </c>
      <c r="D42" s="7"/>
      <c r="E42" s="7"/>
      <c r="F42" s="14"/>
      <c r="I42" s="2"/>
      <c r="J42" s="9"/>
    </row>
    <row r="43" spans="1:10" ht="22.5" customHeight="1">
      <c r="A43" s="7">
        <v>134</v>
      </c>
      <c r="B43" s="5" t="s">
        <v>204</v>
      </c>
      <c r="C43" s="19">
        <v>1300</v>
      </c>
      <c r="D43" s="7">
        <v>450</v>
      </c>
      <c r="E43" s="20" t="s">
        <v>151</v>
      </c>
      <c r="F43" s="8"/>
      <c r="G43" s="1" t="s">
        <v>206</v>
      </c>
      <c r="I43" s="1" t="s">
        <v>198</v>
      </c>
      <c r="J43" s="9" t="s">
        <v>154</v>
      </c>
    </row>
    <row r="44" spans="1:10" ht="22.5" customHeight="1">
      <c r="A44" s="7">
        <v>135</v>
      </c>
      <c r="B44" s="5" t="s">
        <v>207</v>
      </c>
      <c r="C44" s="19">
        <v>1301</v>
      </c>
      <c r="D44" s="7">
        <v>450</v>
      </c>
      <c r="E44" s="20" t="s">
        <v>151</v>
      </c>
      <c r="F44" s="8"/>
      <c r="G44" s="1" t="s">
        <v>208</v>
      </c>
      <c r="I44" s="1" t="s">
        <v>198</v>
      </c>
      <c r="J44" s="9" t="s">
        <v>154</v>
      </c>
    </row>
    <row r="45" spans="1:10" ht="22.5" customHeight="1">
      <c r="A45" s="7">
        <v>132</v>
      </c>
      <c r="B45" s="5" t="s">
        <v>209</v>
      </c>
      <c r="C45" s="19">
        <v>1302</v>
      </c>
      <c r="D45" s="7">
        <v>450</v>
      </c>
      <c r="E45" s="20" t="s">
        <v>151</v>
      </c>
      <c r="F45" s="8"/>
      <c r="G45" s="1" t="s">
        <v>210</v>
      </c>
      <c r="I45" s="1" t="s">
        <v>198</v>
      </c>
      <c r="J45" s="9" t="s">
        <v>154</v>
      </c>
    </row>
    <row r="46" spans="1:10" ht="22.5" customHeight="1">
      <c r="A46" s="7">
        <v>141</v>
      </c>
      <c r="B46" s="5" t="s">
        <v>211</v>
      </c>
      <c r="C46" s="19">
        <v>1303</v>
      </c>
      <c r="D46" s="7">
        <v>450</v>
      </c>
      <c r="E46" s="20" t="s">
        <v>151</v>
      </c>
      <c r="F46" s="8"/>
      <c r="G46" s="1" t="s">
        <v>212</v>
      </c>
      <c r="I46" s="1" t="s">
        <v>198</v>
      </c>
      <c r="J46" s="9" t="s">
        <v>154</v>
      </c>
    </row>
    <row r="47" spans="1:10" ht="22.5" customHeight="1">
      <c r="A47" s="7">
        <v>140</v>
      </c>
      <c r="B47" s="5" t="s">
        <v>213</v>
      </c>
      <c r="C47" s="19">
        <v>1304</v>
      </c>
      <c r="D47" s="7">
        <v>450</v>
      </c>
      <c r="E47" s="20" t="s">
        <v>151</v>
      </c>
      <c r="F47" s="8"/>
      <c r="G47" s="1" t="s">
        <v>214</v>
      </c>
      <c r="I47" s="1" t="s">
        <v>198</v>
      </c>
      <c r="J47" s="9" t="s">
        <v>154</v>
      </c>
    </row>
    <row r="48" spans="1:10" ht="22.5" customHeight="1">
      <c r="A48" s="7">
        <v>136</v>
      </c>
      <c r="B48" s="5" t="s">
        <v>215</v>
      </c>
      <c r="C48" s="19">
        <v>1306</v>
      </c>
      <c r="D48" s="7">
        <v>450</v>
      </c>
      <c r="E48" s="20" t="s">
        <v>151</v>
      </c>
      <c r="F48" s="8"/>
      <c r="G48" s="1" t="s">
        <v>216</v>
      </c>
      <c r="I48" s="1" t="s">
        <v>198</v>
      </c>
      <c r="J48" s="9" t="s">
        <v>154</v>
      </c>
    </row>
    <row r="49" spans="1:11" ht="22.5" customHeight="1">
      <c r="A49" s="7">
        <v>137</v>
      </c>
      <c r="B49" s="5" t="s">
        <v>217</v>
      </c>
      <c r="C49" s="19">
        <v>1307</v>
      </c>
      <c r="D49" s="7">
        <v>450</v>
      </c>
      <c r="E49" s="20" t="s">
        <v>151</v>
      </c>
      <c r="F49" s="8"/>
      <c r="G49" s="1" t="s">
        <v>218</v>
      </c>
      <c r="I49" s="1" t="s">
        <v>198</v>
      </c>
      <c r="J49" s="9" t="s">
        <v>154</v>
      </c>
    </row>
    <row r="50" spans="1:11" ht="22.5" customHeight="1">
      <c r="A50" s="7">
        <v>142</v>
      </c>
      <c r="B50" s="5" t="s">
        <v>219</v>
      </c>
      <c r="C50" s="19">
        <v>1308</v>
      </c>
      <c r="D50" s="7">
        <v>450</v>
      </c>
      <c r="E50" s="20" t="s">
        <v>151</v>
      </c>
      <c r="F50" s="8"/>
      <c r="G50" s="1" t="s">
        <v>220</v>
      </c>
      <c r="I50" s="1" t="s">
        <v>198</v>
      </c>
      <c r="J50" s="9" t="s">
        <v>154</v>
      </c>
    </row>
    <row r="51" spans="1:11" ht="22.5" customHeight="1">
      <c r="A51" s="7">
        <v>139</v>
      </c>
      <c r="B51" s="5" t="s">
        <v>221</v>
      </c>
      <c r="C51" s="19">
        <v>1309</v>
      </c>
      <c r="D51" s="7">
        <v>450</v>
      </c>
      <c r="E51" s="20" t="s">
        <v>151</v>
      </c>
      <c r="F51" s="8"/>
      <c r="G51" s="1" t="s">
        <v>222</v>
      </c>
      <c r="I51" s="1" t="s">
        <v>198</v>
      </c>
      <c r="J51" s="9" t="s">
        <v>154</v>
      </c>
    </row>
    <row r="52" spans="1:11" s="2" customFormat="1" ht="22.5" customHeight="1">
      <c r="A52" s="7"/>
      <c r="B52" s="2" t="s">
        <v>223</v>
      </c>
      <c r="C52" s="6">
        <v>1310</v>
      </c>
      <c r="D52" s="7">
        <v>450</v>
      </c>
      <c r="E52" s="20" t="s">
        <v>151</v>
      </c>
      <c r="F52" s="8"/>
      <c r="G52" s="1" t="s">
        <v>224</v>
      </c>
      <c r="H52" s="4"/>
      <c r="I52" s="1" t="s">
        <v>198</v>
      </c>
      <c r="J52" s="9" t="s">
        <v>154</v>
      </c>
      <c r="K52" s="9"/>
    </row>
    <row r="53" spans="1:11" s="2" customFormat="1" ht="22.5" customHeight="1">
      <c r="A53" s="7"/>
      <c r="B53" s="2" t="s">
        <v>225</v>
      </c>
      <c r="C53" s="6">
        <v>1311</v>
      </c>
      <c r="D53" s="7">
        <v>450</v>
      </c>
      <c r="E53" s="20" t="s">
        <v>151</v>
      </c>
      <c r="F53" s="8"/>
      <c r="G53" s="1" t="s">
        <v>226</v>
      </c>
      <c r="H53" s="4"/>
      <c r="I53" s="1" t="s">
        <v>198</v>
      </c>
      <c r="J53" s="9" t="s">
        <v>154</v>
      </c>
      <c r="K53" s="9"/>
    </row>
    <row r="54" spans="1:11" ht="22.5" customHeight="1">
      <c r="A54" s="7"/>
      <c r="D54" s="7"/>
      <c r="E54" s="20"/>
      <c r="F54" s="14"/>
      <c r="G54" s="1"/>
      <c r="I54" s="1"/>
      <c r="J54" s="9"/>
    </row>
    <row r="55" spans="1:11" ht="22.5" customHeight="1">
      <c r="A55" s="17" t="s">
        <v>227</v>
      </c>
      <c r="C55" s="18" t="s">
        <v>227</v>
      </c>
      <c r="D55" s="7"/>
      <c r="E55" s="7"/>
      <c r="F55" s="14"/>
      <c r="I55" s="2"/>
      <c r="J55" s="9"/>
    </row>
    <row r="56" spans="1:11" ht="22.5" customHeight="1">
      <c r="A56" s="7">
        <v>5</v>
      </c>
      <c r="B56" s="5" t="s">
        <v>228</v>
      </c>
      <c r="C56" s="19">
        <v>2000</v>
      </c>
      <c r="D56" s="20">
        <v>900</v>
      </c>
      <c r="E56" s="20" t="s">
        <v>151</v>
      </c>
      <c r="F56" s="8"/>
      <c r="G56" s="2" t="s">
        <v>229</v>
      </c>
      <c r="I56" s="2" t="s">
        <v>193</v>
      </c>
      <c r="J56" s="9" t="s">
        <v>154</v>
      </c>
    </row>
    <row r="57" spans="1:11" ht="22.5" customHeight="1">
      <c r="A57" s="7">
        <v>138</v>
      </c>
      <c r="B57" s="5" t="s">
        <v>230</v>
      </c>
      <c r="C57" s="19">
        <v>2001</v>
      </c>
      <c r="D57" s="20">
        <v>900</v>
      </c>
      <c r="E57" s="20" t="s">
        <v>151</v>
      </c>
      <c r="F57" s="14"/>
      <c r="G57" s="2" t="s">
        <v>231</v>
      </c>
      <c r="I57" s="2" t="s">
        <v>193</v>
      </c>
      <c r="J57" s="9" t="s">
        <v>154</v>
      </c>
    </row>
    <row r="58" spans="1:11" ht="22.5" customHeight="1">
      <c r="A58" s="7">
        <v>8</v>
      </c>
      <c r="B58" s="5" t="s">
        <v>232</v>
      </c>
      <c r="C58" s="19">
        <v>2002</v>
      </c>
      <c r="D58" s="20">
        <v>900</v>
      </c>
      <c r="E58" s="20" t="s">
        <v>151</v>
      </c>
      <c r="F58" s="14"/>
      <c r="G58" s="2" t="s">
        <v>233</v>
      </c>
      <c r="I58" s="2" t="s">
        <v>193</v>
      </c>
      <c r="J58" s="9" t="s">
        <v>154</v>
      </c>
    </row>
    <row r="59" spans="1:11" ht="22.5" customHeight="1">
      <c r="A59" s="7"/>
      <c r="D59" s="20"/>
      <c r="E59" s="20"/>
      <c r="I59" s="2"/>
      <c r="J59" s="9"/>
    </row>
    <row r="60" spans="1:11" ht="22.5" customHeight="1">
      <c r="A60" s="17" t="s">
        <v>234</v>
      </c>
      <c r="C60" s="18" t="s">
        <v>234</v>
      </c>
      <c r="D60" s="7"/>
      <c r="E60" s="7"/>
      <c r="I60" s="2"/>
      <c r="J60" s="9"/>
    </row>
    <row r="61" spans="1:11" ht="22.5" customHeight="1">
      <c r="A61" s="7">
        <v>20</v>
      </c>
      <c r="B61" s="5" t="s">
        <v>235</v>
      </c>
      <c r="C61" s="19">
        <v>3000</v>
      </c>
      <c r="D61" s="20">
        <v>900</v>
      </c>
      <c r="E61" s="20" t="s">
        <v>236</v>
      </c>
      <c r="F61" s="8"/>
      <c r="G61" s="2" t="s">
        <v>237</v>
      </c>
      <c r="H61" s="4" t="s">
        <v>481</v>
      </c>
      <c r="I61" s="2" t="s">
        <v>193</v>
      </c>
      <c r="J61" s="9" t="s">
        <v>238</v>
      </c>
    </row>
    <row r="62" spans="1:11" ht="22.5" customHeight="1">
      <c r="A62" s="7">
        <v>18</v>
      </c>
      <c r="B62" s="5" t="s">
        <v>239</v>
      </c>
      <c r="C62" s="6">
        <v>3000</v>
      </c>
      <c r="D62" s="20">
        <v>900</v>
      </c>
      <c r="E62" s="20" t="s">
        <v>240</v>
      </c>
      <c r="F62" s="8"/>
      <c r="G62" s="2" t="s">
        <v>241</v>
      </c>
      <c r="H62" s="4" t="s">
        <v>835</v>
      </c>
      <c r="I62" s="2" t="s">
        <v>193</v>
      </c>
      <c r="J62" s="9" t="s">
        <v>238</v>
      </c>
    </row>
    <row r="63" spans="1:11" ht="22.5" customHeight="1">
      <c r="A63" s="7">
        <v>21</v>
      </c>
      <c r="B63" s="5" t="s">
        <v>242</v>
      </c>
      <c r="C63" s="6">
        <v>3000</v>
      </c>
      <c r="D63" s="20">
        <v>900</v>
      </c>
      <c r="E63" s="20" t="s">
        <v>243</v>
      </c>
      <c r="F63" s="8"/>
      <c r="G63" s="2" t="s">
        <v>244</v>
      </c>
      <c r="I63" s="2" t="s">
        <v>193</v>
      </c>
      <c r="J63" s="9" t="s">
        <v>245</v>
      </c>
    </row>
    <row r="64" spans="1:11" ht="22.5" customHeight="1">
      <c r="A64" s="7">
        <v>32</v>
      </c>
      <c r="B64" s="5" t="s">
        <v>246</v>
      </c>
      <c r="C64" s="6">
        <v>3000</v>
      </c>
      <c r="D64" s="20">
        <v>900</v>
      </c>
      <c r="E64" s="20" t="s">
        <v>247</v>
      </c>
      <c r="F64" s="8"/>
      <c r="G64" s="2" t="s">
        <v>248</v>
      </c>
      <c r="I64" s="2" t="s">
        <v>193</v>
      </c>
      <c r="J64" s="9" t="s">
        <v>245</v>
      </c>
    </row>
    <row r="65" spans="1:255" ht="22.5" customHeight="1">
      <c r="A65" s="7"/>
      <c r="D65" s="20"/>
      <c r="E65" s="20"/>
      <c r="I65" s="2"/>
      <c r="J65" s="9"/>
    </row>
    <row r="66" spans="1:255" ht="22.5" customHeight="1">
      <c r="A66" s="17" t="s">
        <v>249</v>
      </c>
      <c r="B66" s="7"/>
      <c r="C66" s="18" t="s">
        <v>249</v>
      </c>
      <c r="D66" s="7"/>
      <c r="E66" s="7"/>
      <c r="F66" s="7"/>
      <c r="G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c r="ET66" s="7"/>
      <c r="EU66" s="7"/>
      <c r="EV66" s="7"/>
      <c r="EW66" s="7"/>
      <c r="EX66" s="7"/>
      <c r="EY66" s="7"/>
      <c r="EZ66" s="7"/>
      <c r="FA66" s="7"/>
      <c r="FB66" s="7"/>
      <c r="FC66" s="7"/>
      <c r="FD66" s="7"/>
      <c r="FE66" s="7"/>
      <c r="FF66" s="7"/>
      <c r="FG66" s="7"/>
      <c r="FH66" s="7"/>
      <c r="FI66" s="7"/>
      <c r="FJ66" s="7"/>
      <c r="FK66" s="7"/>
      <c r="FL66" s="7"/>
      <c r="FM66" s="7"/>
      <c r="FN66" s="7"/>
      <c r="FO66" s="7"/>
      <c r="FP66" s="7"/>
      <c r="FQ66" s="7"/>
      <c r="FR66" s="7"/>
      <c r="FS66" s="7"/>
      <c r="FT66" s="7"/>
      <c r="FU66" s="7"/>
      <c r="FV66" s="7"/>
      <c r="FW66" s="7"/>
      <c r="FX66" s="7"/>
      <c r="FY66" s="7"/>
      <c r="FZ66" s="7"/>
      <c r="GA66" s="7"/>
      <c r="GB66" s="7"/>
      <c r="GC66" s="7"/>
      <c r="GD66" s="7"/>
      <c r="GE66" s="7"/>
      <c r="GF66" s="7"/>
      <c r="GG66" s="7"/>
      <c r="GH66" s="7"/>
      <c r="GI66" s="7"/>
      <c r="GJ66" s="7"/>
      <c r="GK66" s="7"/>
      <c r="GL66" s="7"/>
      <c r="GM66" s="7"/>
      <c r="GN66" s="7"/>
      <c r="GO66" s="7"/>
      <c r="GP66" s="7"/>
      <c r="GQ66" s="7"/>
      <c r="GR66" s="7"/>
      <c r="GS66" s="7"/>
      <c r="GT66" s="7"/>
      <c r="GU66" s="7"/>
      <c r="GV66" s="7"/>
      <c r="GW66" s="7"/>
      <c r="GX66" s="7"/>
      <c r="GY66" s="7"/>
      <c r="GZ66" s="7"/>
      <c r="HA66" s="7"/>
      <c r="HB66" s="7"/>
      <c r="HC66" s="7"/>
      <c r="HD66" s="7"/>
      <c r="HE66" s="7"/>
      <c r="HF66" s="7"/>
      <c r="HG66" s="7"/>
      <c r="HH66" s="7"/>
      <c r="HI66" s="7"/>
      <c r="HJ66" s="7"/>
      <c r="HK66" s="7"/>
      <c r="HL66" s="7"/>
      <c r="HM66" s="7"/>
      <c r="HN66" s="7"/>
      <c r="HO66" s="7"/>
      <c r="HP66" s="7"/>
      <c r="HQ66" s="7"/>
      <c r="HR66" s="7"/>
      <c r="HS66" s="7"/>
      <c r="HT66" s="7"/>
      <c r="HU66" s="7"/>
      <c r="HV66" s="7"/>
      <c r="HW66" s="7"/>
      <c r="HX66" s="7"/>
      <c r="HY66" s="7"/>
      <c r="HZ66" s="7"/>
      <c r="IA66" s="7"/>
      <c r="IB66" s="7"/>
      <c r="IC66" s="7"/>
      <c r="ID66" s="7"/>
      <c r="IE66" s="7"/>
      <c r="IF66" s="7"/>
      <c r="IG66" s="7"/>
      <c r="IH66" s="7"/>
      <c r="II66" s="7"/>
      <c r="IJ66" s="7"/>
      <c r="IK66" s="7"/>
      <c r="IL66" s="7"/>
      <c r="IM66" s="7"/>
      <c r="IN66" s="7"/>
      <c r="IO66" s="7"/>
      <c r="IP66" s="7"/>
      <c r="IQ66" s="7"/>
      <c r="IR66" s="7"/>
      <c r="IS66" s="7"/>
      <c r="IT66" s="7"/>
      <c r="IU66" s="7"/>
    </row>
    <row r="67" spans="1:255" ht="22.5" customHeight="1">
      <c r="A67" s="7">
        <v>89</v>
      </c>
      <c r="B67" s="5" t="s">
        <v>250</v>
      </c>
      <c r="C67" s="19">
        <v>3010</v>
      </c>
      <c r="D67" s="20">
        <v>900</v>
      </c>
      <c r="E67" s="20" t="s">
        <v>236</v>
      </c>
      <c r="F67" s="8"/>
      <c r="G67" s="2" t="s">
        <v>515</v>
      </c>
      <c r="H67" s="4" t="s">
        <v>482</v>
      </c>
      <c r="I67" s="2" t="s">
        <v>193</v>
      </c>
      <c r="J67" s="9" t="s">
        <v>238</v>
      </c>
    </row>
    <row r="68" spans="1:255" ht="22.5" customHeight="1">
      <c r="A68" s="7">
        <v>85</v>
      </c>
      <c r="B68" s="5" t="s">
        <v>251</v>
      </c>
      <c r="C68" s="6">
        <v>3010</v>
      </c>
      <c r="D68" s="20">
        <v>900</v>
      </c>
      <c r="E68" s="20" t="s">
        <v>162</v>
      </c>
      <c r="F68" s="8"/>
      <c r="G68" s="2" t="s">
        <v>515</v>
      </c>
      <c r="H68" s="4" t="s">
        <v>482</v>
      </c>
      <c r="I68" s="2" t="s">
        <v>193</v>
      </c>
      <c r="J68" s="9" t="s">
        <v>238</v>
      </c>
    </row>
    <row r="69" spans="1:255" ht="22.5" customHeight="1">
      <c r="A69" s="7"/>
      <c r="C69" s="322">
        <v>3010</v>
      </c>
      <c r="D69" s="328">
        <v>900</v>
      </c>
      <c r="E69" s="324" t="s">
        <v>240</v>
      </c>
      <c r="F69" s="330"/>
      <c r="G69" s="326" t="s">
        <v>909</v>
      </c>
      <c r="H69" s="4" t="s">
        <v>482</v>
      </c>
      <c r="I69" s="652" t="s">
        <v>193</v>
      </c>
      <c r="J69" s="321" t="s">
        <v>238</v>
      </c>
    </row>
    <row r="70" spans="1:255" ht="22.5" customHeight="1">
      <c r="A70" s="7">
        <v>60</v>
      </c>
      <c r="B70" s="5" t="s">
        <v>252</v>
      </c>
      <c r="C70" s="19">
        <v>3020</v>
      </c>
      <c r="D70" s="20">
        <v>900</v>
      </c>
      <c r="E70" s="20" t="s">
        <v>236</v>
      </c>
      <c r="F70" s="8"/>
      <c r="G70" s="2" t="s">
        <v>516</v>
      </c>
      <c r="H70" s="4" t="s">
        <v>483</v>
      </c>
      <c r="I70" s="2" t="s">
        <v>193</v>
      </c>
      <c r="J70" s="9" t="s">
        <v>238</v>
      </c>
    </row>
    <row r="71" spans="1:255" ht="22.5" customHeight="1">
      <c r="A71" s="7"/>
      <c r="D71" s="20"/>
      <c r="E71" s="20"/>
      <c r="F71" s="7"/>
      <c r="I71" s="2"/>
      <c r="J71" s="9"/>
    </row>
    <row r="72" spans="1:255" ht="22.5" customHeight="1">
      <c r="A72" s="17" t="s">
        <v>253</v>
      </c>
      <c r="C72" s="18" t="s">
        <v>253</v>
      </c>
      <c r="D72" s="7"/>
      <c r="E72" s="7"/>
      <c r="F72" s="7"/>
      <c r="I72" s="7"/>
      <c r="J72" s="9"/>
    </row>
    <row r="73" spans="1:255" ht="22.5" customHeight="1">
      <c r="A73" s="7">
        <v>33</v>
      </c>
      <c r="B73" s="5" t="s">
        <v>263</v>
      </c>
      <c r="C73" s="19">
        <v>4000</v>
      </c>
      <c r="D73" s="20">
        <v>900</v>
      </c>
      <c r="E73" s="20" t="s">
        <v>162</v>
      </c>
      <c r="F73" s="8"/>
      <c r="G73" s="2" t="s">
        <v>263</v>
      </c>
      <c r="H73" s="4" t="s">
        <v>484</v>
      </c>
      <c r="I73" s="2" t="s">
        <v>193</v>
      </c>
      <c r="J73" s="9" t="s">
        <v>264</v>
      </c>
    </row>
    <row r="74" spans="1:255" ht="22.5" customHeight="1">
      <c r="A74" s="7">
        <v>35</v>
      </c>
      <c r="B74" s="5" t="s">
        <v>265</v>
      </c>
      <c r="C74" s="19">
        <v>4001</v>
      </c>
      <c r="D74" s="20">
        <v>900</v>
      </c>
      <c r="E74" s="20" t="s">
        <v>162</v>
      </c>
      <c r="F74" s="8"/>
      <c r="G74" s="2" t="s">
        <v>266</v>
      </c>
      <c r="H74" s="4" t="s">
        <v>614</v>
      </c>
      <c r="I74" s="2" t="s">
        <v>193</v>
      </c>
      <c r="J74" s="9" t="s">
        <v>264</v>
      </c>
    </row>
    <row r="75" spans="1:255" ht="22.5" customHeight="1">
      <c r="A75" s="7"/>
      <c r="B75" s="5" t="s">
        <v>267</v>
      </c>
      <c r="C75" s="6">
        <v>4001</v>
      </c>
      <c r="D75" s="20">
        <v>900</v>
      </c>
      <c r="E75" s="20" t="s">
        <v>236</v>
      </c>
      <c r="F75" s="8"/>
      <c r="G75" s="2" t="s">
        <v>267</v>
      </c>
      <c r="H75" s="4" t="s">
        <v>756</v>
      </c>
      <c r="I75" s="2" t="s">
        <v>193</v>
      </c>
      <c r="J75" s="9" t="s">
        <v>264</v>
      </c>
    </row>
    <row r="76" spans="1:255" ht="22.5" customHeight="1">
      <c r="A76" s="7">
        <v>38</v>
      </c>
      <c r="B76" s="5" t="s">
        <v>268</v>
      </c>
      <c r="C76" s="19">
        <v>4002</v>
      </c>
      <c r="D76" s="20">
        <v>900</v>
      </c>
      <c r="E76" s="20" t="s">
        <v>162</v>
      </c>
      <c r="F76" s="8"/>
      <c r="G76" s="2" t="s">
        <v>268</v>
      </c>
      <c r="H76" s="4" t="s">
        <v>757</v>
      </c>
      <c r="I76" s="2" t="s">
        <v>193</v>
      </c>
      <c r="J76" s="9" t="s">
        <v>264</v>
      </c>
    </row>
    <row r="77" spans="1:255" ht="22.5" customHeight="1">
      <c r="A77" s="7"/>
      <c r="B77" s="5" t="s">
        <v>269</v>
      </c>
      <c r="C77" s="6">
        <v>4002</v>
      </c>
      <c r="D77" s="20">
        <v>900</v>
      </c>
      <c r="E77" s="20" t="s">
        <v>236</v>
      </c>
      <c r="F77" s="8"/>
      <c r="G77" s="2" t="s">
        <v>270</v>
      </c>
      <c r="H77" s="4" t="s">
        <v>758</v>
      </c>
      <c r="I77" s="2" t="s">
        <v>193</v>
      </c>
      <c r="J77" s="9" t="s">
        <v>264</v>
      </c>
    </row>
    <row r="78" spans="1:255" ht="22.5" customHeight="1">
      <c r="A78" s="7">
        <v>40</v>
      </c>
      <c r="B78" s="5" t="s">
        <v>271</v>
      </c>
      <c r="C78" s="19">
        <v>4003</v>
      </c>
      <c r="D78" s="20">
        <v>900</v>
      </c>
      <c r="E78" s="20" t="s">
        <v>162</v>
      </c>
      <c r="F78" s="8"/>
      <c r="G78" s="2" t="s">
        <v>272</v>
      </c>
      <c r="H78" s="4" t="s">
        <v>759</v>
      </c>
      <c r="I78" s="2" t="s">
        <v>193</v>
      </c>
      <c r="J78" s="9" t="s">
        <v>264</v>
      </c>
    </row>
    <row r="79" spans="1:255" ht="22.5" customHeight="1">
      <c r="A79" s="7">
        <v>42</v>
      </c>
      <c r="B79" s="5" t="s">
        <v>273</v>
      </c>
      <c r="C79" s="19">
        <v>4004</v>
      </c>
      <c r="D79" s="20">
        <v>900</v>
      </c>
      <c r="E79" s="20" t="s">
        <v>162</v>
      </c>
      <c r="F79" s="8"/>
      <c r="G79" s="2" t="s">
        <v>274</v>
      </c>
      <c r="H79" s="4" t="s">
        <v>485</v>
      </c>
      <c r="I79" s="2" t="s">
        <v>193</v>
      </c>
      <c r="J79" s="9" t="s">
        <v>264</v>
      </c>
    </row>
    <row r="80" spans="1:255" ht="22.5" customHeight="1">
      <c r="A80" s="7">
        <v>49</v>
      </c>
      <c r="B80" s="5" t="s">
        <v>275</v>
      </c>
      <c r="C80" s="19">
        <v>4005</v>
      </c>
      <c r="D80" s="20">
        <v>900</v>
      </c>
      <c r="E80" s="20" t="s">
        <v>162</v>
      </c>
      <c r="F80" s="8"/>
      <c r="G80" s="2" t="s">
        <v>275</v>
      </c>
      <c r="H80" s="4" t="s">
        <v>486</v>
      </c>
      <c r="I80" s="2" t="s">
        <v>193</v>
      </c>
      <c r="J80" s="9" t="s">
        <v>264</v>
      </c>
    </row>
    <row r="81" spans="1:10" ht="22.5" customHeight="1">
      <c r="A81" s="7">
        <v>50</v>
      </c>
      <c r="B81" s="5" t="s">
        <v>277</v>
      </c>
      <c r="C81" s="19">
        <v>4006</v>
      </c>
      <c r="D81" s="20">
        <v>900</v>
      </c>
      <c r="E81" s="20" t="s">
        <v>162</v>
      </c>
      <c r="F81" s="8"/>
      <c r="G81" s="2" t="s">
        <v>278</v>
      </c>
      <c r="H81" s="4" t="s">
        <v>487</v>
      </c>
      <c r="I81" s="2" t="s">
        <v>193</v>
      </c>
      <c r="J81" s="9" t="s">
        <v>264</v>
      </c>
    </row>
    <row r="82" spans="1:10" ht="22.5" customHeight="1">
      <c r="A82" s="7">
        <v>75</v>
      </c>
      <c r="B82" s="5" t="s">
        <v>279</v>
      </c>
      <c r="C82" s="19">
        <v>4007</v>
      </c>
      <c r="D82" s="20">
        <v>900</v>
      </c>
      <c r="E82" s="20" t="s">
        <v>162</v>
      </c>
      <c r="F82" s="8"/>
      <c r="G82" s="2" t="s">
        <v>280</v>
      </c>
      <c r="H82" s="4" t="s">
        <v>488</v>
      </c>
      <c r="I82" s="2" t="s">
        <v>193</v>
      </c>
      <c r="J82" s="9" t="s">
        <v>264</v>
      </c>
    </row>
    <row r="83" spans="1:10" ht="22.5" customHeight="1">
      <c r="A83" s="7">
        <v>77</v>
      </c>
      <c r="B83" s="5" t="s">
        <v>281</v>
      </c>
      <c r="C83" s="19">
        <v>4008</v>
      </c>
      <c r="D83" s="20">
        <v>900</v>
      </c>
      <c r="E83" s="20" t="s">
        <v>162</v>
      </c>
      <c r="F83" s="8"/>
      <c r="G83" s="2" t="s">
        <v>282</v>
      </c>
      <c r="H83" s="4" t="s">
        <v>489</v>
      </c>
      <c r="I83" s="2" t="s">
        <v>193</v>
      </c>
      <c r="J83" s="9" t="s">
        <v>264</v>
      </c>
    </row>
    <row r="84" spans="1:10" ht="22.5" customHeight="1">
      <c r="A84" s="7">
        <v>92</v>
      </c>
      <c r="B84" s="5" t="s">
        <v>283</v>
      </c>
      <c r="C84" s="19">
        <v>4009</v>
      </c>
      <c r="D84" s="20">
        <v>900</v>
      </c>
      <c r="E84" s="20" t="s">
        <v>162</v>
      </c>
      <c r="F84" s="8"/>
      <c r="G84" s="2" t="s">
        <v>284</v>
      </c>
      <c r="H84" s="4" t="s">
        <v>490</v>
      </c>
      <c r="I84" s="2" t="s">
        <v>193</v>
      </c>
      <c r="J84" s="9" t="s">
        <v>264</v>
      </c>
    </row>
    <row r="85" spans="1:10" ht="22.5" customHeight="1">
      <c r="A85" s="7">
        <v>98</v>
      </c>
      <c r="B85" s="5" t="s">
        <v>285</v>
      </c>
      <c r="C85" s="19">
        <v>4010</v>
      </c>
      <c r="D85" s="20">
        <v>900</v>
      </c>
      <c r="E85" s="20" t="s">
        <v>162</v>
      </c>
      <c r="F85" s="8"/>
      <c r="G85" s="2" t="s">
        <v>285</v>
      </c>
      <c r="H85" s="4" t="s">
        <v>491</v>
      </c>
      <c r="I85" s="2" t="s">
        <v>193</v>
      </c>
      <c r="J85" s="9" t="s">
        <v>264</v>
      </c>
    </row>
    <row r="86" spans="1:10" ht="22.5" customHeight="1">
      <c r="A86" s="7">
        <v>99</v>
      </c>
      <c r="B86" s="5" t="s">
        <v>286</v>
      </c>
      <c r="C86" s="19">
        <v>4011</v>
      </c>
      <c r="D86" s="20">
        <v>900</v>
      </c>
      <c r="E86" s="20" t="s">
        <v>162</v>
      </c>
      <c r="F86" s="8"/>
      <c r="G86" s="2" t="s">
        <v>286</v>
      </c>
      <c r="H86" s="4" t="s">
        <v>760</v>
      </c>
      <c r="I86" s="2" t="s">
        <v>193</v>
      </c>
      <c r="J86" s="9" t="s">
        <v>264</v>
      </c>
    </row>
    <row r="87" spans="1:10" ht="22.5" customHeight="1">
      <c r="A87" s="7">
        <v>102</v>
      </c>
      <c r="B87" s="5" t="s">
        <v>287</v>
      </c>
      <c r="C87" s="19">
        <v>4012</v>
      </c>
      <c r="D87" s="20">
        <v>900</v>
      </c>
      <c r="E87" s="20" t="s">
        <v>162</v>
      </c>
      <c r="F87" s="8"/>
      <c r="G87" s="2" t="s">
        <v>287</v>
      </c>
      <c r="H87" s="4" t="s">
        <v>761</v>
      </c>
      <c r="I87" s="2" t="s">
        <v>193</v>
      </c>
      <c r="J87" s="9" t="s">
        <v>264</v>
      </c>
    </row>
    <row r="88" spans="1:10" ht="22.5" customHeight="1">
      <c r="A88" s="7">
        <v>145</v>
      </c>
      <c r="B88" s="5" t="s">
        <v>288</v>
      </c>
      <c r="C88" s="19">
        <v>4013</v>
      </c>
      <c r="D88" s="20">
        <v>900</v>
      </c>
      <c r="E88" s="20" t="s">
        <v>162</v>
      </c>
      <c r="F88" s="8"/>
      <c r="G88" s="2" t="s">
        <v>289</v>
      </c>
      <c r="H88" s="4" t="s">
        <v>762</v>
      </c>
      <c r="I88" s="2" t="s">
        <v>193</v>
      </c>
      <c r="J88" s="9" t="s">
        <v>264</v>
      </c>
    </row>
    <row r="89" spans="1:10" ht="22.5" customHeight="1">
      <c r="A89" s="7">
        <v>72</v>
      </c>
      <c r="B89" s="5" t="s">
        <v>290</v>
      </c>
      <c r="C89" s="19">
        <v>4014</v>
      </c>
      <c r="D89" s="20">
        <v>900</v>
      </c>
      <c r="E89" s="20" t="s">
        <v>162</v>
      </c>
      <c r="F89" s="8"/>
      <c r="G89" s="2" t="s">
        <v>290</v>
      </c>
      <c r="H89" s="4" t="s">
        <v>763</v>
      </c>
      <c r="I89" s="2" t="s">
        <v>193</v>
      </c>
      <c r="J89" s="9" t="s">
        <v>264</v>
      </c>
    </row>
    <row r="90" spans="1:10" ht="22.5" customHeight="1">
      <c r="A90" s="7">
        <v>150</v>
      </c>
      <c r="B90" s="5" t="s">
        <v>291</v>
      </c>
      <c r="C90" s="6">
        <v>4015</v>
      </c>
      <c r="D90" s="20">
        <v>900</v>
      </c>
      <c r="E90" s="20" t="s">
        <v>162</v>
      </c>
      <c r="F90" s="8"/>
      <c r="G90" s="2" t="s">
        <v>291</v>
      </c>
      <c r="H90" s="4" t="s">
        <v>764</v>
      </c>
      <c r="I90" s="2" t="s">
        <v>193</v>
      </c>
      <c r="J90" s="9" t="s">
        <v>264</v>
      </c>
    </row>
    <row r="91" spans="1:10" ht="22.5" customHeight="1">
      <c r="A91" s="7">
        <v>34</v>
      </c>
      <c r="B91" s="5" t="s">
        <v>292</v>
      </c>
      <c r="C91" s="6">
        <v>4017</v>
      </c>
      <c r="D91" s="7">
        <v>900</v>
      </c>
      <c r="E91" s="20" t="s">
        <v>162</v>
      </c>
      <c r="F91" s="8"/>
      <c r="G91" s="2" t="s">
        <v>292</v>
      </c>
      <c r="H91" s="4" t="s">
        <v>765</v>
      </c>
      <c r="I91" s="2" t="s">
        <v>193</v>
      </c>
      <c r="J91" s="9" t="s">
        <v>264</v>
      </c>
    </row>
    <row r="92" spans="1:10" ht="22.5" customHeight="1">
      <c r="A92" s="7"/>
      <c r="B92" s="5" t="s">
        <v>293</v>
      </c>
      <c r="C92" s="6">
        <v>4019</v>
      </c>
      <c r="D92" s="7">
        <v>900</v>
      </c>
      <c r="E92" s="20" t="s">
        <v>162</v>
      </c>
      <c r="G92" s="2" t="s">
        <v>293</v>
      </c>
      <c r="H92" s="4" t="s">
        <v>766</v>
      </c>
      <c r="I92" s="2" t="s">
        <v>193</v>
      </c>
      <c r="J92" s="9" t="s">
        <v>264</v>
      </c>
    </row>
    <row r="93" spans="1:10" ht="22.5" customHeight="1">
      <c r="A93" s="7"/>
      <c r="B93" s="5" t="s">
        <v>294</v>
      </c>
      <c r="C93" s="6">
        <v>4020</v>
      </c>
      <c r="D93" s="7">
        <v>900</v>
      </c>
      <c r="E93" s="20" t="s">
        <v>162</v>
      </c>
      <c r="G93" s="2" t="s">
        <v>294</v>
      </c>
      <c r="H93" s="4" t="s">
        <v>767</v>
      </c>
      <c r="I93" s="2" t="s">
        <v>193</v>
      </c>
      <c r="J93" s="9" t="s">
        <v>264</v>
      </c>
    </row>
    <row r="94" spans="1:10" ht="22.5" customHeight="1">
      <c r="A94" s="7"/>
      <c r="B94" s="5" t="s">
        <v>295</v>
      </c>
      <c r="C94" s="6">
        <v>4021</v>
      </c>
      <c r="D94" s="7">
        <v>900</v>
      </c>
      <c r="E94" s="20" t="s">
        <v>162</v>
      </c>
      <c r="G94" s="2" t="s">
        <v>295</v>
      </c>
      <c r="H94" s="4" t="s">
        <v>768</v>
      </c>
      <c r="I94" s="2" t="s">
        <v>193</v>
      </c>
      <c r="J94" s="9" t="s">
        <v>264</v>
      </c>
    </row>
    <row r="95" spans="1:10" ht="22.5" customHeight="1">
      <c r="A95" s="7"/>
      <c r="B95" s="5" t="s">
        <v>296</v>
      </c>
      <c r="C95" s="6">
        <v>4022</v>
      </c>
      <c r="D95" s="7">
        <v>900</v>
      </c>
      <c r="E95" s="20" t="s">
        <v>162</v>
      </c>
      <c r="G95" s="2" t="s">
        <v>296</v>
      </c>
      <c r="H95" s="4" t="s">
        <v>769</v>
      </c>
      <c r="I95" s="2" t="s">
        <v>193</v>
      </c>
      <c r="J95" s="9" t="s">
        <v>264</v>
      </c>
    </row>
    <row r="96" spans="1:10" ht="22.5" customHeight="1">
      <c r="A96" s="7"/>
      <c r="B96" s="5" t="s">
        <v>297</v>
      </c>
      <c r="C96" s="6">
        <v>4023</v>
      </c>
      <c r="D96" s="7">
        <v>900</v>
      </c>
      <c r="E96" s="20" t="s">
        <v>162</v>
      </c>
      <c r="G96" s="2" t="s">
        <v>297</v>
      </c>
      <c r="H96" s="4" t="s">
        <v>770</v>
      </c>
      <c r="I96" s="2" t="s">
        <v>193</v>
      </c>
      <c r="J96" s="9" t="s">
        <v>264</v>
      </c>
    </row>
    <row r="97" spans="1:10" ht="22.5" customHeight="1">
      <c r="A97" s="7"/>
      <c r="B97" s="5" t="s">
        <v>298</v>
      </c>
      <c r="C97" s="6">
        <v>4024</v>
      </c>
      <c r="D97" s="7">
        <v>900</v>
      </c>
      <c r="E97" s="20" t="s">
        <v>162</v>
      </c>
      <c r="G97" s="2" t="s">
        <v>298</v>
      </c>
      <c r="H97" s="4" t="s">
        <v>771</v>
      </c>
      <c r="I97" s="2" t="s">
        <v>193</v>
      </c>
      <c r="J97" s="9" t="s">
        <v>264</v>
      </c>
    </row>
    <row r="98" spans="1:10" ht="22.5" customHeight="1">
      <c r="A98" s="7"/>
      <c r="B98" s="5" t="s">
        <v>299</v>
      </c>
      <c r="C98" s="6">
        <v>4025</v>
      </c>
      <c r="D98" s="7">
        <v>900</v>
      </c>
      <c r="E98" s="20" t="s">
        <v>162</v>
      </c>
      <c r="G98" s="2" t="s">
        <v>299</v>
      </c>
      <c r="H98" s="4" t="s">
        <v>772</v>
      </c>
      <c r="I98" s="2" t="s">
        <v>193</v>
      </c>
      <c r="J98" s="9" t="s">
        <v>264</v>
      </c>
    </row>
    <row r="99" spans="1:10" ht="22.5" customHeight="1">
      <c r="A99" s="7"/>
      <c r="C99" s="6">
        <v>4026</v>
      </c>
      <c r="D99" s="7">
        <v>900</v>
      </c>
      <c r="E99" s="20" t="s">
        <v>162</v>
      </c>
      <c r="G99" s="327" t="s">
        <v>938</v>
      </c>
      <c r="H99" s="4" t="s">
        <v>133</v>
      </c>
      <c r="I99" s="653" t="s">
        <v>193</v>
      </c>
      <c r="J99" s="654" t="s">
        <v>264</v>
      </c>
    </row>
    <row r="100" spans="1:10" ht="22.5" customHeight="1">
      <c r="A100" s="7"/>
      <c r="C100" s="6">
        <v>4027</v>
      </c>
      <c r="D100" s="7">
        <v>900</v>
      </c>
      <c r="E100" s="20" t="s">
        <v>162</v>
      </c>
      <c r="G100" s="327" t="s">
        <v>910</v>
      </c>
      <c r="H100" s="4" t="s">
        <v>913</v>
      </c>
      <c r="I100" s="653" t="s">
        <v>193</v>
      </c>
      <c r="J100" s="654" t="s">
        <v>264</v>
      </c>
    </row>
    <row r="101" spans="1:10" ht="22.5" customHeight="1">
      <c r="A101" s="7"/>
      <c r="C101" s="6">
        <v>4028</v>
      </c>
      <c r="D101" s="7">
        <v>900</v>
      </c>
      <c r="E101" s="20" t="s">
        <v>162</v>
      </c>
      <c r="G101" s="327" t="s">
        <v>911</v>
      </c>
      <c r="H101" s="4" t="s">
        <v>914</v>
      </c>
      <c r="I101" s="653" t="s">
        <v>193</v>
      </c>
      <c r="J101" s="654" t="s">
        <v>264</v>
      </c>
    </row>
    <row r="102" spans="1:10" ht="22.5" customHeight="1">
      <c r="A102" s="7"/>
      <c r="C102" s="6">
        <v>4029</v>
      </c>
      <c r="D102" s="7">
        <v>900</v>
      </c>
      <c r="E102" s="20" t="s">
        <v>162</v>
      </c>
      <c r="G102" s="327" t="s">
        <v>912</v>
      </c>
      <c r="H102" s="4" t="s">
        <v>915</v>
      </c>
      <c r="I102" s="653" t="s">
        <v>193</v>
      </c>
      <c r="J102" s="654" t="s">
        <v>264</v>
      </c>
    </row>
    <row r="103" spans="1:10" ht="22.5" customHeight="1">
      <c r="A103" s="7"/>
      <c r="D103" s="7"/>
      <c r="E103" s="20"/>
      <c r="I103" s="2"/>
      <c r="J103" s="9"/>
    </row>
    <row r="104" spans="1:10" ht="22.5" customHeight="1">
      <c r="A104" s="7"/>
      <c r="D104" s="7"/>
      <c r="E104" s="20"/>
      <c r="I104" s="2"/>
      <c r="J104" s="9"/>
    </row>
    <row r="105" spans="1:10" ht="22.5" customHeight="1">
      <c r="A105" s="17" t="s">
        <v>300</v>
      </c>
      <c r="C105" s="18" t="s">
        <v>300</v>
      </c>
      <c r="D105" s="21"/>
      <c r="E105" s="21"/>
      <c r="I105" s="2"/>
      <c r="J105" s="2"/>
    </row>
    <row r="106" spans="1:10" ht="22.5" customHeight="1">
      <c r="A106" s="7">
        <v>39</v>
      </c>
      <c r="B106" s="5" t="s">
        <v>301</v>
      </c>
      <c r="C106" s="19">
        <v>4100</v>
      </c>
      <c r="D106" s="20">
        <v>900</v>
      </c>
      <c r="E106" s="20" t="s">
        <v>162</v>
      </c>
      <c r="G106" s="2" t="s">
        <v>302</v>
      </c>
      <c r="H106" s="4" t="s">
        <v>773</v>
      </c>
      <c r="I106" s="2" t="s">
        <v>193</v>
      </c>
      <c r="J106" s="9" t="s">
        <v>264</v>
      </c>
    </row>
    <row r="107" spans="1:10" ht="22.5" customHeight="1">
      <c r="A107" s="7">
        <v>103</v>
      </c>
      <c r="B107" s="5" t="s">
        <v>303</v>
      </c>
      <c r="C107" s="6">
        <v>4102</v>
      </c>
      <c r="D107" s="20">
        <v>900</v>
      </c>
      <c r="E107" s="20" t="s">
        <v>162</v>
      </c>
      <c r="G107" s="2" t="s">
        <v>304</v>
      </c>
      <c r="H107" s="4" t="s">
        <v>774</v>
      </c>
      <c r="I107" s="2" t="s">
        <v>193</v>
      </c>
      <c r="J107" s="9" t="s">
        <v>264</v>
      </c>
    </row>
    <row r="108" spans="1:10" ht="22.5" customHeight="1">
      <c r="A108" s="7">
        <v>100</v>
      </c>
      <c r="B108" s="5" t="s">
        <v>305</v>
      </c>
      <c r="C108" s="6">
        <v>4102</v>
      </c>
      <c r="D108" s="20">
        <v>900</v>
      </c>
      <c r="E108" s="20" t="s">
        <v>236</v>
      </c>
      <c r="G108" s="2" t="s">
        <v>305</v>
      </c>
      <c r="H108" s="4" t="s">
        <v>775</v>
      </c>
      <c r="I108" s="2" t="s">
        <v>193</v>
      </c>
      <c r="J108" s="9" t="s">
        <v>264</v>
      </c>
    </row>
    <row r="109" spans="1:10" ht="22.5" customHeight="1">
      <c r="A109" s="7">
        <v>144</v>
      </c>
      <c r="B109" s="5" t="s">
        <v>306</v>
      </c>
      <c r="C109" s="6">
        <v>4103</v>
      </c>
      <c r="D109" s="20">
        <v>900</v>
      </c>
      <c r="E109" s="20" t="s">
        <v>162</v>
      </c>
      <c r="F109" s="8"/>
      <c r="G109" s="2" t="s">
        <v>306</v>
      </c>
      <c r="H109" s="4" t="s">
        <v>776</v>
      </c>
      <c r="I109" s="2" t="s">
        <v>193</v>
      </c>
      <c r="J109" s="9" t="s">
        <v>264</v>
      </c>
    </row>
    <row r="110" spans="1:10" ht="22.5" customHeight="1">
      <c r="A110" s="7"/>
      <c r="B110" s="5" t="s">
        <v>307</v>
      </c>
      <c r="C110" s="6">
        <v>4104</v>
      </c>
      <c r="D110" s="20">
        <v>900</v>
      </c>
      <c r="E110" s="20" t="s">
        <v>162</v>
      </c>
      <c r="G110" s="2" t="s">
        <v>307</v>
      </c>
      <c r="H110" s="4" t="s">
        <v>777</v>
      </c>
      <c r="I110" s="2" t="s">
        <v>193</v>
      </c>
      <c r="J110" s="9" t="s">
        <v>264</v>
      </c>
    </row>
    <row r="111" spans="1:10" ht="22.5" customHeight="1">
      <c r="A111" s="7"/>
      <c r="D111" s="20"/>
      <c r="E111" s="20"/>
      <c r="I111" s="2"/>
      <c r="J111" s="9"/>
    </row>
    <row r="112" spans="1:10" ht="22.5" customHeight="1">
      <c r="A112" s="17" t="s">
        <v>308</v>
      </c>
      <c r="C112" s="18" t="s">
        <v>308</v>
      </c>
      <c r="D112" s="7"/>
      <c r="E112" s="7"/>
      <c r="I112" s="2"/>
      <c r="J112" s="9"/>
    </row>
    <row r="113" spans="1:10" ht="22.5" customHeight="1">
      <c r="A113" s="7">
        <v>45</v>
      </c>
      <c r="B113" s="5" t="s">
        <v>309</v>
      </c>
      <c r="C113" s="19">
        <v>4201</v>
      </c>
      <c r="D113" s="20">
        <v>900</v>
      </c>
      <c r="E113" s="20" t="s">
        <v>162</v>
      </c>
      <c r="F113" s="8"/>
      <c r="G113" s="2" t="s">
        <v>309</v>
      </c>
      <c r="H113" s="4" t="s">
        <v>778</v>
      </c>
      <c r="I113" s="2" t="s">
        <v>193</v>
      </c>
      <c r="J113" s="9" t="s">
        <v>264</v>
      </c>
    </row>
    <row r="114" spans="1:10" ht="22.5" customHeight="1">
      <c r="A114" s="7">
        <v>52</v>
      </c>
      <c r="B114" s="5" t="s">
        <v>310</v>
      </c>
      <c r="C114" s="19">
        <v>4202</v>
      </c>
      <c r="D114" s="20">
        <v>900</v>
      </c>
      <c r="E114" s="20" t="s">
        <v>162</v>
      </c>
      <c r="F114" s="8"/>
      <c r="G114" s="2" t="s">
        <v>311</v>
      </c>
      <c r="H114" s="4" t="s">
        <v>779</v>
      </c>
      <c r="I114" s="2" t="s">
        <v>193</v>
      </c>
      <c r="J114" s="9" t="s">
        <v>264</v>
      </c>
    </row>
    <row r="115" spans="1:10" ht="22.5" customHeight="1">
      <c r="A115" s="7">
        <v>108</v>
      </c>
      <c r="B115" s="5" t="s">
        <v>312</v>
      </c>
      <c r="C115" s="19">
        <v>4203</v>
      </c>
      <c r="D115" s="20">
        <v>900</v>
      </c>
      <c r="E115" s="20" t="s">
        <v>162</v>
      </c>
      <c r="F115" s="8"/>
      <c r="G115" s="2" t="s">
        <v>313</v>
      </c>
      <c r="H115" s="4" t="s">
        <v>780</v>
      </c>
      <c r="I115" s="2" t="s">
        <v>193</v>
      </c>
      <c r="J115" s="9" t="s">
        <v>264</v>
      </c>
    </row>
    <row r="116" spans="1:10" ht="22.5" customHeight="1">
      <c r="A116" s="7">
        <v>109</v>
      </c>
      <c r="B116" s="5" t="s">
        <v>314</v>
      </c>
      <c r="C116" s="19">
        <v>4204</v>
      </c>
      <c r="D116" s="20">
        <v>900</v>
      </c>
      <c r="E116" s="20" t="s">
        <v>162</v>
      </c>
      <c r="F116" s="8"/>
      <c r="G116" s="2" t="s">
        <v>315</v>
      </c>
      <c r="H116" s="4" t="s">
        <v>781</v>
      </c>
      <c r="I116" s="2" t="s">
        <v>193</v>
      </c>
      <c r="J116" s="9" t="s">
        <v>264</v>
      </c>
    </row>
    <row r="117" spans="1:10" ht="22.5" customHeight="1">
      <c r="A117" s="7">
        <v>171</v>
      </c>
      <c r="B117" s="5" t="s">
        <v>316</v>
      </c>
      <c r="C117" s="6">
        <v>4211</v>
      </c>
      <c r="D117" s="20">
        <v>900</v>
      </c>
      <c r="E117" s="20" t="s">
        <v>162</v>
      </c>
      <c r="F117" s="8"/>
      <c r="G117" s="2" t="s">
        <v>316</v>
      </c>
      <c r="H117" s="4" t="s">
        <v>782</v>
      </c>
      <c r="I117" s="2" t="s">
        <v>193</v>
      </c>
      <c r="J117" s="9" t="s">
        <v>264</v>
      </c>
    </row>
    <row r="118" spans="1:10" ht="22.5" customHeight="1">
      <c r="A118" s="7"/>
      <c r="B118" s="5" t="s">
        <v>318</v>
      </c>
      <c r="C118" s="6">
        <v>4214</v>
      </c>
      <c r="D118" s="20">
        <v>900</v>
      </c>
      <c r="E118" s="20" t="s">
        <v>162</v>
      </c>
      <c r="G118" s="2" t="s">
        <v>318</v>
      </c>
      <c r="H118" s="4" t="s">
        <v>784</v>
      </c>
      <c r="I118" s="2" t="s">
        <v>193</v>
      </c>
      <c r="J118" s="9" t="s">
        <v>264</v>
      </c>
    </row>
    <row r="119" spans="1:10" ht="22.5" customHeight="1">
      <c r="A119" s="7"/>
      <c r="B119" s="5" t="s">
        <v>319</v>
      </c>
      <c r="C119" s="6">
        <v>4215</v>
      </c>
      <c r="D119" s="20">
        <v>900</v>
      </c>
      <c r="E119" s="20" t="s">
        <v>162</v>
      </c>
      <c r="G119" s="2" t="s">
        <v>319</v>
      </c>
      <c r="H119" s="4" t="s">
        <v>783</v>
      </c>
      <c r="I119" s="2" t="s">
        <v>193</v>
      </c>
      <c r="J119" s="9" t="s">
        <v>264</v>
      </c>
    </row>
    <row r="120" spans="1:10" ht="22.5" customHeight="1">
      <c r="A120" s="7"/>
      <c r="B120" s="5" t="s">
        <v>320</v>
      </c>
      <c r="C120" s="6">
        <v>4216</v>
      </c>
      <c r="D120" s="20">
        <v>900</v>
      </c>
      <c r="E120" s="20" t="s">
        <v>162</v>
      </c>
      <c r="G120" s="2" t="s">
        <v>320</v>
      </c>
      <c r="H120" s="4" t="s">
        <v>785</v>
      </c>
      <c r="I120" s="2" t="s">
        <v>193</v>
      </c>
      <c r="J120" s="9" t="s">
        <v>264</v>
      </c>
    </row>
    <row r="121" spans="1:10" ht="22.5" customHeight="1">
      <c r="A121" s="7"/>
      <c r="B121" s="5" t="s">
        <v>321</v>
      </c>
      <c r="C121" s="6">
        <v>4217</v>
      </c>
      <c r="D121" s="20">
        <v>900</v>
      </c>
      <c r="E121" s="20" t="s">
        <v>162</v>
      </c>
      <c r="G121" s="2" t="s">
        <v>321</v>
      </c>
      <c r="H121" s="4" t="s">
        <v>786</v>
      </c>
      <c r="I121" s="2" t="s">
        <v>193</v>
      </c>
      <c r="J121" s="9" t="s">
        <v>264</v>
      </c>
    </row>
    <row r="122" spans="1:10" ht="22.5" customHeight="1">
      <c r="A122" s="7"/>
      <c r="B122" s="5" t="s">
        <v>322</v>
      </c>
      <c r="C122" s="6">
        <v>4218</v>
      </c>
      <c r="D122" s="20">
        <v>900</v>
      </c>
      <c r="E122" s="20" t="s">
        <v>162</v>
      </c>
      <c r="F122" s="8"/>
      <c r="G122" s="2" t="s">
        <v>322</v>
      </c>
      <c r="H122" s="4" t="s">
        <v>787</v>
      </c>
      <c r="I122" s="2" t="s">
        <v>193</v>
      </c>
      <c r="J122" s="9" t="s">
        <v>264</v>
      </c>
    </row>
    <row r="123" spans="1:10" ht="22.5" customHeight="1">
      <c r="A123" s="7"/>
      <c r="C123" s="322">
        <v>4219</v>
      </c>
      <c r="D123" s="328">
        <v>900</v>
      </c>
      <c r="E123" s="328" t="s">
        <v>162</v>
      </c>
      <c r="F123" s="325"/>
      <c r="G123" s="327" t="s">
        <v>939</v>
      </c>
      <c r="H123" s="4" t="s">
        <v>132</v>
      </c>
      <c r="I123" s="2"/>
      <c r="J123" s="9"/>
    </row>
    <row r="124" spans="1:10" ht="22.5" customHeight="1">
      <c r="A124" s="7"/>
      <c r="C124" s="322">
        <v>4220</v>
      </c>
      <c r="D124" s="328">
        <v>900</v>
      </c>
      <c r="E124" s="328" t="s">
        <v>162</v>
      </c>
      <c r="F124" s="330" t="s">
        <v>317</v>
      </c>
      <c r="G124" s="327" t="s">
        <v>916</v>
      </c>
      <c r="H124" s="4" t="s">
        <v>917</v>
      </c>
      <c r="I124" s="653" t="s">
        <v>193</v>
      </c>
      <c r="J124" s="654" t="s">
        <v>264</v>
      </c>
    </row>
    <row r="125" spans="1:10" ht="22.5" customHeight="1">
      <c r="A125" s="7">
        <v>30</v>
      </c>
      <c r="B125" s="5" t="s">
        <v>323</v>
      </c>
      <c r="C125" s="6">
        <v>4299</v>
      </c>
      <c r="D125" s="20">
        <v>900</v>
      </c>
      <c r="E125" s="20" t="s">
        <v>236</v>
      </c>
      <c r="F125" s="8"/>
      <c r="G125" s="3" t="s">
        <v>323</v>
      </c>
      <c r="H125" s="4" t="s">
        <v>788</v>
      </c>
      <c r="I125" s="2" t="s">
        <v>193</v>
      </c>
      <c r="J125" s="9" t="s">
        <v>238</v>
      </c>
    </row>
    <row r="126" spans="1:10" ht="22.5" customHeight="1">
      <c r="A126" s="7"/>
      <c r="D126" s="20"/>
      <c r="E126" s="20"/>
      <c r="G126" s="3"/>
      <c r="I126" s="2"/>
      <c r="J126" s="9"/>
    </row>
    <row r="127" spans="1:10" ht="22.5" customHeight="1">
      <c r="A127" s="17" t="s">
        <v>324</v>
      </c>
      <c r="C127" s="18" t="s">
        <v>324</v>
      </c>
      <c r="D127" s="7"/>
      <c r="E127" s="7"/>
      <c r="I127" s="2"/>
      <c r="J127" s="9"/>
    </row>
    <row r="128" spans="1:10" ht="22.5" customHeight="1">
      <c r="A128" s="7">
        <v>36</v>
      </c>
      <c r="B128" s="5" t="s">
        <v>325</v>
      </c>
      <c r="C128" s="19">
        <v>4300</v>
      </c>
      <c r="D128" s="20">
        <v>900</v>
      </c>
      <c r="E128" s="20" t="s">
        <v>162</v>
      </c>
      <c r="F128" s="8"/>
      <c r="G128" s="2" t="s">
        <v>325</v>
      </c>
      <c r="H128" s="4" t="s">
        <v>789</v>
      </c>
      <c r="I128" s="2" t="s">
        <v>193</v>
      </c>
      <c r="J128" s="9" t="s">
        <v>264</v>
      </c>
    </row>
    <row r="129" spans="1:10" ht="22.5" customHeight="1">
      <c r="A129" s="7">
        <v>54</v>
      </c>
      <c r="B129" s="5" t="s">
        <v>326</v>
      </c>
      <c r="C129" s="19">
        <v>4301</v>
      </c>
      <c r="D129" s="20">
        <v>900</v>
      </c>
      <c r="E129" s="20" t="s">
        <v>162</v>
      </c>
      <c r="F129" s="8"/>
      <c r="G129" s="2" t="s">
        <v>326</v>
      </c>
      <c r="H129" s="4" t="s">
        <v>790</v>
      </c>
      <c r="I129" s="2" t="s">
        <v>193</v>
      </c>
      <c r="J129" s="9" t="s">
        <v>264</v>
      </c>
    </row>
    <row r="130" spans="1:10" ht="22.5" customHeight="1">
      <c r="A130" s="7">
        <v>122</v>
      </c>
      <c r="B130" s="5" t="s">
        <v>327</v>
      </c>
      <c r="C130" s="19">
        <v>4302</v>
      </c>
      <c r="D130" s="20">
        <v>900</v>
      </c>
      <c r="E130" s="20" t="s">
        <v>162</v>
      </c>
      <c r="F130" s="8"/>
      <c r="G130" s="3" t="s">
        <v>328</v>
      </c>
      <c r="H130" s="4" t="s">
        <v>791</v>
      </c>
      <c r="I130" s="2" t="s">
        <v>193</v>
      </c>
      <c r="J130" s="9" t="s">
        <v>264</v>
      </c>
    </row>
    <row r="131" spans="1:10" ht="22.5" customHeight="1">
      <c r="A131" s="7">
        <v>27</v>
      </c>
      <c r="B131" s="5" t="s">
        <v>329</v>
      </c>
      <c r="C131" s="19">
        <v>4303</v>
      </c>
      <c r="D131" s="20">
        <v>900</v>
      </c>
      <c r="E131" s="20" t="s">
        <v>162</v>
      </c>
      <c r="F131" s="8"/>
      <c r="G131" s="2" t="s">
        <v>329</v>
      </c>
      <c r="H131" s="4" t="s">
        <v>792</v>
      </c>
      <c r="I131" s="2" t="s">
        <v>193</v>
      </c>
      <c r="J131" s="9" t="s">
        <v>264</v>
      </c>
    </row>
    <row r="132" spans="1:10" ht="22.5" customHeight="1">
      <c r="A132" s="7"/>
      <c r="C132" s="322">
        <v>4304</v>
      </c>
      <c r="D132" s="331">
        <v>900</v>
      </c>
      <c r="E132" s="324" t="s">
        <v>162</v>
      </c>
      <c r="F132" s="330" t="s">
        <v>918</v>
      </c>
      <c r="G132" s="326" t="s">
        <v>919</v>
      </c>
      <c r="H132" s="4" t="s">
        <v>920</v>
      </c>
      <c r="I132" s="652" t="s">
        <v>193</v>
      </c>
      <c r="J132" s="321" t="s">
        <v>264</v>
      </c>
    </row>
    <row r="133" spans="1:10" ht="22.5" customHeight="1">
      <c r="A133" s="7"/>
      <c r="B133" s="5" t="s">
        <v>330</v>
      </c>
      <c r="C133" s="19">
        <v>4399</v>
      </c>
      <c r="D133" s="20">
        <v>900</v>
      </c>
      <c r="E133" s="20" t="s">
        <v>162</v>
      </c>
      <c r="F133" s="8"/>
      <c r="G133" s="2" t="s">
        <v>330</v>
      </c>
      <c r="H133" s="4" t="s">
        <v>793</v>
      </c>
      <c r="I133" s="2" t="s">
        <v>193</v>
      </c>
      <c r="J133" s="9" t="s">
        <v>264</v>
      </c>
    </row>
    <row r="134" spans="1:10" ht="22.5" customHeight="1">
      <c r="A134" s="7">
        <v>28</v>
      </c>
      <c r="B134" s="5" t="s">
        <v>331</v>
      </c>
      <c r="C134" s="19">
        <v>4399</v>
      </c>
      <c r="D134" s="20">
        <v>900</v>
      </c>
      <c r="E134" s="20" t="s">
        <v>236</v>
      </c>
      <c r="F134" s="8"/>
      <c r="G134" s="2" t="s">
        <v>331</v>
      </c>
      <c r="H134" s="4" t="s">
        <v>794</v>
      </c>
      <c r="I134" s="2" t="s">
        <v>193</v>
      </c>
      <c r="J134" s="9" t="s">
        <v>238</v>
      </c>
    </row>
    <row r="135" spans="1:10" ht="22.5" customHeight="1">
      <c r="A135" s="7"/>
      <c r="D135" s="20"/>
      <c r="E135" s="20"/>
      <c r="I135" s="2"/>
      <c r="J135" s="9"/>
    </row>
    <row r="136" spans="1:10" ht="22.5" customHeight="1">
      <c r="A136" s="17" t="s">
        <v>332</v>
      </c>
      <c r="C136" s="18" t="s">
        <v>332</v>
      </c>
      <c r="D136" s="7"/>
      <c r="E136" s="7"/>
      <c r="I136" s="2"/>
      <c r="J136" s="9"/>
    </row>
    <row r="137" spans="1:10" ht="22.5" customHeight="1">
      <c r="A137" s="7">
        <v>37</v>
      </c>
      <c r="B137" s="5" t="s">
        <v>333</v>
      </c>
      <c r="C137" s="19">
        <v>4400</v>
      </c>
      <c r="D137" s="20">
        <v>900</v>
      </c>
      <c r="E137" s="20" t="s">
        <v>162</v>
      </c>
      <c r="F137" s="8"/>
      <c r="G137" s="2" t="s">
        <v>333</v>
      </c>
      <c r="H137" s="4" t="s">
        <v>795</v>
      </c>
      <c r="I137" s="2" t="s">
        <v>193</v>
      </c>
      <c r="J137" s="9" t="s">
        <v>264</v>
      </c>
    </row>
    <row r="138" spans="1:10" ht="22.5" customHeight="1">
      <c r="A138" s="7">
        <v>65</v>
      </c>
      <c r="B138" s="5" t="s">
        <v>334</v>
      </c>
      <c r="C138" s="19">
        <v>4401</v>
      </c>
      <c r="D138" s="20">
        <v>900</v>
      </c>
      <c r="E138" s="20" t="s">
        <v>162</v>
      </c>
      <c r="F138" s="8"/>
      <c r="G138" s="2" t="s">
        <v>335</v>
      </c>
      <c r="H138" s="4" t="s">
        <v>796</v>
      </c>
      <c r="I138" s="2" t="s">
        <v>193</v>
      </c>
      <c r="J138" s="9" t="s">
        <v>264</v>
      </c>
    </row>
    <row r="139" spans="1:10" ht="22.5" customHeight="1">
      <c r="A139" s="7">
        <v>65</v>
      </c>
      <c r="B139" s="5" t="s">
        <v>336</v>
      </c>
      <c r="C139" s="6">
        <v>4401</v>
      </c>
      <c r="D139" s="20">
        <v>900</v>
      </c>
      <c r="E139" s="20" t="s">
        <v>337</v>
      </c>
      <c r="F139" s="8"/>
      <c r="G139" s="2" t="s">
        <v>336</v>
      </c>
      <c r="I139" s="2" t="s">
        <v>193</v>
      </c>
      <c r="J139" s="9" t="s">
        <v>264</v>
      </c>
    </row>
    <row r="140" spans="1:10" ht="22.5" customHeight="1">
      <c r="A140" s="7">
        <v>114</v>
      </c>
      <c r="B140" s="5" t="s">
        <v>338</v>
      </c>
      <c r="C140" s="6">
        <v>4401</v>
      </c>
      <c r="D140" s="20">
        <v>900</v>
      </c>
      <c r="E140" s="20" t="s">
        <v>236</v>
      </c>
      <c r="F140" s="8"/>
      <c r="G140" s="2" t="s">
        <v>339</v>
      </c>
      <c r="H140" s="4" t="s">
        <v>797</v>
      </c>
      <c r="I140" s="2" t="s">
        <v>193</v>
      </c>
      <c r="J140" s="9" t="s">
        <v>238</v>
      </c>
    </row>
    <row r="141" spans="1:10" ht="22.5" customHeight="1">
      <c r="A141" s="7">
        <v>113</v>
      </c>
      <c r="B141" s="5" t="s">
        <v>340</v>
      </c>
      <c r="C141" s="19">
        <v>4402</v>
      </c>
      <c r="D141" s="20">
        <v>900</v>
      </c>
      <c r="E141" s="20" t="s">
        <v>162</v>
      </c>
      <c r="F141" s="8"/>
      <c r="G141" s="2" t="s">
        <v>341</v>
      </c>
      <c r="H141" s="4" t="s">
        <v>798</v>
      </c>
      <c r="I141" s="2" t="s">
        <v>193</v>
      </c>
      <c r="J141" s="9" t="s">
        <v>264</v>
      </c>
    </row>
    <row r="142" spans="1:10" ht="22.5" customHeight="1">
      <c r="A142" s="7">
        <v>117</v>
      </c>
      <c r="B142" s="5" t="s">
        <v>342</v>
      </c>
      <c r="C142" s="19">
        <v>4403</v>
      </c>
      <c r="D142" s="20">
        <v>900</v>
      </c>
      <c r="E142" s="20" t="s">
        <v>162</v>
      </c>
      <c r="F142" s="8"/>
      <c r="G142" s="2" t="s">
        <v>343</v>
      </c>
      <c r="H142" s="4" t="s">
        <v>799</v>
      </c>
      <c r="I142" s="2" t="s">
        <v>193</v>
      </c>
      <c r="J142" s="9" t="s">
        <v>264</v>
      </c>
    </row>
    <row r="143" spans="1:10" ht="22.5" customHeight="1">
      <c r="A143" s="7">
        <v>124</v>
      </c>
      <c r="B143" s="5" t="s">
        <v>344</v>
      </c>
      <c r="C143" s="19">
        <v>4404</v>
      </c>
      <c r="D143" s="20">
        <v>900</v>
      </c>
      <c r="E143" s="20" t="s">
        <v>162</v>
      </c>
      <c r="F143" s="8"/>
      <c r="G143" s="2" t="s">
        <v>345</v>
      </c>
      <c r="H143" s="4" t="s">
        <v>800</v>
      </c>
      <c r="I143" s="2" t="s">
        <v>193</v>
      </c>
      <c r="J143" s="9" t="s">
        <v>264</v>
      </c>
    </row>
    <row r="144" spans="1:10" ht="22.5" customHeight="1">
      <c r="B144" s="5" t="s">
        <v>346</v>
      </c>
      <c r="C144" s="6">
        <v>4405</v>
      </c>
      <c r="D144" s="7">
        <v>900</v>
      </c>
      <c r="E144" s="20" t="s">
        <v>162</v>
      </c>
      <c r="G144" s="2" t="s">
        <v>346</v>
      </c>
      <c r="H144" s="4" t="s">
        <v>807</v>
      </c>
      <c r="I144" s="2" t="s">
        <v>193</v>
      </c>
      <c r="J144" s="9" t="s">
        <v>264</v>
      </c>
    </row>
    <row r="145" spans="1:10" ht="22.5" customHeight="1">
      <c r="A145" s="7"/>
      <c r="D145" s="20"/>
      <c r="E145" s="20"/>
      <c r="I145" s="2"/>
      <c r="J145" s="9"/>
    </row>
    <row r="146" spans="1:10" ht="22.5" customHeight="1">
      <c r="A146" s="17" t="s">
        <v>347</v>
      </c>
      <c r="C146" s="18" t="s">
        <v>347</v>
      </c>
      <c r="D146" s="7"/>
      <c r="E146" s="7"/>
      <c r="I146" s="2"/>
      <c r="J146" s="9"/>
    </row>
    <row r="147" spans="1:10" ht="22.5" customHeight="1">
      <c r="A147" s="7">
        <v>57</v>
      </c>
      <c r="B147" s="5" t="s">
        <v>348</v>
      </c>
      <c r="C147" s="19">
        <v>4500</v>
      </c>
      <c r="D147" s="20">
        <v>900</v>
      </c>
      <c r="E147" s="20" t="s">
        <v>162</v>
      </c>
      <c r="F147" s="8"/>
      <c r="G147" s="2" t="s">
        <v>348</v>
      </c>
      <c r="H147" s="4" t="s">
        <v>808</v>
      </c>
      <c r="I147" s="2" t="s">
        <v>193</v>
      </c>
      <c r="J147" s="9" t="s">
        <v>264</v>
      </c>
    </row>
    <row r="148" spans="1:10" ht="22.5" customHeight="1">
      <c r="A148" s="7">
        <v>170</v>
      </c>
      <c r="B148" s="5" t="s">
        <v>350</v>
      </c>
      <c r="C148" s="6">
        <v>4502</v>
      </c>
      <c r="D148" s="20">
        <v>900</v>
      </c>
      <c r="E148" s="20" t="s">
        <v>162</v>
      </c>
      <c r="F148" s="8"/>
      <c r="G148" s="2" t="s">
        <v>350</v>
      </c>
      <c r="H148" s="4" t="s">
        <v>809</v>
      </c>
      <c r="I148" s="2" t="s">
        <v>193</v>
      </c>
      <c r="J148" s="9" t="s">
        <v>264</v>
      </c>
    </row>
    <row r="149" spans="1:10" ht="22.5" customHeight="1">
      <c r="A149" s="7"/>
      <c r="C149" s="655">
        <v>4504</v>
      </c>
      <c r="D149" s="331">
        <v>900</v>
      </c>
      <c r="E149" s="331" t="s">
        <v>162</v>
      </c>
      <c r="F149" s="330" t="s">
        <v>349</v>
      </c>
      <c r="G149" s="2" t="s">
        <v>921</v>
      </c>
      <c r="H149" s="4" t="s">
        <v>922</v>
      </c>
      <c r="I149" s="2" t="s">
        <v>193</v>
      </c>
      <c r="J149" s="9"/>
    </row>
    <row r="150" spans="1:10" ht="22.5" customHeight="1">
      <c r="A150" s="7"/>
      <c r="B150" s="5" t="s">
        <v>351</v>
      </c>
      <c r="C150" s="6">
        <v>4599</v>
      </c>
      <c r="D150" s="20">
        <v>900</v>
      </c>
      <c r="E150" s="20" t="s">
        <v>162</v>
      </c>
      <c r="F150" s="8"/>
      <c r="G150" s="2" t="s">
        <v>351</v>
      </c>
      <c r="H150" s="4" t="s">
        <v>810</v>
      </c>
      <c r="I150" s="2" t="s">
        <v>193</v>
      </c>
      <c r="J150" s="9" t="s">
        <v>264</v>
      </c>
    </row>
    <row r="151" spans="1:10" ht="22.5" customHeight="1">
      <c r="A151" s="7">
        <v>112</v>
      </c>
      <c r="B151" s="5" t="s">
        <v>352</v>
      </c>
      <c r="C151" s="19">
        <v>4599</v>
      </c>
      <c r="D151" s="20">
        <v>900</v>
      </c>
      <c r="E151" s="20" t="s">
        <v>236</v>
      </c>
      <c r="F151" s="8"/>
      <c r="G151" s="2" t="s">
        <v>352</v>
      </c>
      <c r="H151" s="4" t="s">
        <v>811</v>
      </c>
      <c r="I151" s="2" t="s">
        <v>193</v>
      </c>
      <c r="J151" s="9" t="s">
        <v>238</v>
      </c>
    </row>
    <row r="152" spans="1:10" ht="22.5" customHeight="1">
      <c r="A152" s="7"/>
      <c r="D152" s="20"/>
      <c r="E152" s="20"/>
      <c r="I152" s="2"/>
      <c r="J152" s="9"/>
    </row>
    <row r="153" spans="1:10" ht="22.5" customHeight="1">
      <c r="A153" s="17" t="s">
        <v>353</v>
      </c>
      <c r="C153" s="18" t="s">
        <v>353</v>
      </c>
      <c r="D153" s="7"/>
      <c r="E153" s="7"/>
      <c r="I153" s="2"/>
      <c r="J153" s="9"/>
    </row>
    <row r="154" spans="1:10" ht="22.5" customHeight="1">
      <c r="A154" s="7">
        <v>55</v>
      </c>
      <c r="B154" s="5" t="s">
        <v>354</v>
      </c>
      <c r="C154" s="19">
        <v>4600</v>
      </c>
      <c r="D154" s="20">
        <v>900</v>
      </c>
      <c r="E154" s="20" t="s">
        <v>162</v>
      </c>
      <c r="F154" s="8"/>
      <c r="G154" s="2" t="s">
        <v>355</v>
      </c>
      <c r="H154" s="4" t="s">
        <v>812</v>
      </c>
      <c r="I154" s="2" t="s">
        <v>193</v>
      </c>
      <c r="J154" s="9" t="s">
        <v>264</v>
      </c>
    </row>
    <row r="155" spans="1:10" ht="22.5" customHeight="1">
      <c r="A155" s="7">
        <v>126</v>
      </c>
      <c r="B155" s="5" t="s">
        <v>356</v>
      </c>
      <c r="C155" s="6">
        <v>4600</v>
      </c>
      <c r="D155" s="20">
        <v>900</v>
      </c>
      <c r="E155" s="20" t="s">
        <v>236</v>
      </c>
      <c r="F155" s="8"/>
      <c r="G155" s="2" t="s">
        <v>356</v>
      </c>
      <c r="H155" s="4" t="s">
        <v>813</v>
      </c>
      <c r="I155" s="2" t="s">
        <v>193</v>
      </c>
      <c r="J155" s="9" t="s">
        <v>238</v>
      </c>
    </row>
    <row r="156" spans="1:10" ht="22.5" customHeight="1">
      <c r="A156" s="7"/>
      <c r="B156" s="5" t="s">
        <v>357</v>
      </c>
      <c r="C156" s="6">
        <v>4602</v>
      </c>
      <c r="D156" s="20">
        <v>900</v>
      </c>
      <c r="E156" s="20" t="s">
        <v>162</v>
      </c>
      <c r="G156" s="2" t="s">
        <v>357</v>
      </c>
      <c r="H156" s="4" t="s">
        <v>814</v>
      </c>
      <c r="I156" s="2" t="s">
        <v>193</v>
      </c>
      <c r="J156" s="9" t="s">
        <v>264</v>
      </c>
    </row>
    <row r="157" spans="1:10" ht="22.5" customHeight="1">
      <c r="A157" s="7"/>
      <c r="D157" s="20"/>
      <c r="E157" s="20"/>
      <c r="I157" s="2"/>
      <c r="J157" s="9"/>
    </row>
    <row r="158" spans="1:10" ht="22.5" customHeight="1">
      <c r="A158" s="17" t="s">
        <v>358</v>
      </c>
      <c r="C158" s="18" t="s">
        <v>358</v>
      </c>
      <c r="D158" s="7"/>
      <c r="E158" s="7"/>
      <c r="I158" s="2"/>
      <c r="J158" s="9"/>
    </row>
    <row r="159" spans="1:10" ht="22.5" customHeight="1">
      <c r="A159" s="7">
        <v>101</v>
      </c>
      <c r="B159" s="5" t="s">
        <v>359</v>
      </c>
      <c r="C159" s="19">
        <v>4700</v>
      </c>
      <c r="D159" s="20">
        <v>900</v>
      </c>
      <c r="E159" s="20" t="s">
        <v>162</v>
      </c>
      <c r="F159" s="8"/>
      <c r="G159" s="2" t="s">
        <v>360</v>
      </c>
      <c r="H159" s="4" t="s">
        <v>815</v>
      </c>
      <c r="I159" s="2" t="s">
        <v>193</v>
      </c>
      <c r="J159" s="9" t="s">
        <v>264</v>
      </c>
    </row>
    <row r="160" spans="1:10" ht="22.5" customHeight="1">
      <c r="A160" s="7"/>
      <c r="D160" s="20"/>
      <c r="E160" s="20"/>
      <c r="I160" s="2"/>
      <c r="J160" s="9"/>
    </row>
    <row r="161" spans="1:10" ht="22.5" customHeight="1">
      <c r="A161" s="17" t="s">
        <v>361</v>
      </c>
      <c r="C161" s="18" t="s">
        <v>361</v>
      </c>
      <c r="D161" s="7"/>
      <c r="E161" s="7"/>
      <c r="I161" s="2"/>
      <c r="J161" s="9"/>
    </row>
    <row r="162" spans="1:10" ht="22.5" customHeight="1">
      <c r="A162" s="7">
        <v>26</v>
      </c>
      <c r="B162" s="5" t="s">
        <v>362</v>
      </c>
      <c r="C162" s="19">
        <v>4800</v>
      </c>
      <c r="D162" s="20">
        <v>900</v>
      </c>
      <c r="E162" s="20" t="s">
        <v>162</v>
      </c>
      <c r="F162" s="8"/>
      <c r="G162" s="2" t="s">
        <v>362</v>
      </c>
      <c r="H162" s="4" t="s">
        <v>816</v>
      </c>
      <c r="I162" s="2" t="s">
        <v>193</v>
      </c>
      <c r="J162" s="9" t="s">
        <v>264</v>
      </c>
    </row>
    <row r="163" spans="1:10" ht="22.5" customHeight="1">
      <c r="A163" s="7"/>
      <c r="B163" s="5" t="s">
        <v>363</v>
      </c>
      <c r="C163" s="6">
        <v>4802</v>
      </c>
      <c r="D163" s="20">
        <v>900</v>
      </c>
      <c r="E163" s="20" t="s">
        <v>162</v>
      </c>
      <c r="G163" s="2" t="s">
        <v>363</v>
      </c>
      <c r="H163" s="4" t="s">
        <v>817</v>
      </c>
      <c r="I163" s="2" t="s">
        <v>193</v>
      </c>
      <c r="J163" s="9" t="s">
        <v>264</v>
      </c>
    </row>
    <row r="164" spans="1:10" ht="22.5" customHeight="1">
      <c r="A164" s="7"/>
      <c r="B164" s="5" t="s">
        <v>364</v>
      </c>
      <c r="C164" s="6">
        <v>4803</v>
      </c>
      <c r="D164" s="20">
        <v>900</v>
      </c>
      <c r="E164" s="20" t="s">
        <v>162</v>
      </c>
      <c r="G164" s="2" t="s">
        <v>364</v>
      </c>
      <c r="H164" s="4" t="s">
        <v>818</v>
      </c>
      <c r="I164" s="2" t="s">
        <v>193</v>
      </c>
      <c r="J164" s="9" t="s">
        <v>264</v>
      </c>
    </row>
    <row r="165" spans="1:10" ht="22.5" customHeight="1">
      <c r="A165" s="7">
        <v>165</v>
      </c>
      <c r="B165" s="5" t="s">
        <v>365</v>
      </c>
      <c r="C165" s="19">
        <v>4899</v>
      </c>
      <c r="D165" s="20">
        <v>900</v>
      </c>
      <c r="E165" s="20" t="s">
        <v>236</v>
      </c>
      <c r="F165" s="8"/>
      <c r="G165" s="3" t="s">
        <v>365</v>
      </c>
      <c r="H165" s="4" t="s">
        <v>819</v>
      </c>
      <c r="I165" s="2" t="s">
        <v>193</v>
      </c>
      <c r="J165" s="9" t="s">
        <v>238</v>
      </c>
    </row>
    <row r="166" spans="1:10" ht="22.5" customHeight="1">
      <c r="A166" s="7"/>
      <c r="D166" s="20"/>
      <c r="E166" s="20"/>
      <c r="G166" s="3"/>
      <c r="I166" s="2"/>
      <c r="J166" s="9"/>
    </row>
    <row r="167" spans="1:10" ht="22.5" customHeight="1">
      <c r="A167" s="17" t="s">
        <v>366</v>
      </c>
      <c r="C167" s="18" t="s">
        <v>366</v>
      </c>
      <c r="D167" s="20"/>
      <c r="E167" s="20"/>
      <c r="G167" s="3"/>
      <c r="I167" s="2"/>
      <c r="J167" s="9"/>
    </row>
    <row r="168" spans="1:10" ht="22.5" customHeight="1">
      <c r="A168" s="7"/>
      <c r="B168" s="5" t="s">
        <v>367</v>
      </c>
      <c r="C168" s="6">
        <v>4900</v>
      </c>
      <c r="D168" s="20">
        <v>900</v>
      </c>
      <c r="E168" s="20" t="s">
        <v>162</v>
      </c>
      <c r="G168" s="2" t="s">
        <v>367</v>
      </c>
      <c r="H168" s="4" t="s">
        <v>820</v>
      </c>
      <c r="I168" s="2" t="s">
        <v>193</v>
      </c>
      <c r="J168" s="9" t="s">
        <v>264</v>
      </c>
    </row>
    <row r="169" spans="1:10" ht="22.5" customHeight="1">
      <c r="A169" s="7"/>
      <c r="B169" s="5" t="s">
        <v>368</v>
      </c>
      <c r="C169" s="6">
        <v>4901</v>
      </c>
      <c r="D169" s="20">
        <v>900</v>
      </c>
      <c r="E169" s="20" t="s">
        <v>162</v>
      </c>
      <c r="G169" s="2" t="s">
        <v>368</v>
      </c>
      <c r="H169" s="4" t="s">
        <v>821</v>
      </c>
      <c r="I169" s="2" t="s">
        <v>193</v>
      </c>
      <c r="J169" s="9" t="s">
        <v>264</v>
      </c>
    </row>
    <row r="170" spans="1:10" ht="22.5" customHeight="1">
      <c r="A170" s="7"/>
      <c r="D170" s="20"/>
      <c r="E170" s="20"/>
      <c r="G170" s="3"/>
      <c r="I170" s="2"/>
      <c r="J170" s="9"/>
    </row>
    <row r="171" spans="1:10" ht="22.5" customHeight="1">
      <c r="A171" s="17" t="s">
        <v>369</v>
      </c>
      <c r="C171" s="18" t="s">
        <v>369</v>
      </c>
      <c r="D171" s="20"/>
      <c r="E171" s="20"/>
      <c r="G171" s="3"/>
      <c r="I171" s="2"/>
      <c r="J171" s="9"/>
    </row>
    <row r="172" spans="1:10" ht="22.5" customHeight="1">
      <c r="A172" s="7"/>
      <c r="B172" s="5" t="s">
        <v>370</v>
      </c>
      <c r="C172" s="6">
        <v>5000</v>
      </c>
      <c r="D172" s="20">
        <v>900</v>
      </c>
      <c r="E172" s="20" t="s">
        <v>162</v>
      </c>
      <c r="G172" s="2" t="s">
        <v>370</v>
      </c>
      <c r="H172" s="4" t="s">
        <v>822</v>
      </c>
      <c r="I172" s="2" t="s">
        <v>193</v>
      </c>
      <c r="J172" s="9" t="s">
        <v>264</v>
      </c>
    </row>
    <row r="173" spans="1:10" ht="22.5" customHeight="1">
      <c r="A173" s="7"/>
      <c r="B173" s="5" t="s">
        <v>371</v>
      </c>
      <c r="C173" s="6">
        <v>5001</v>
      </c>
      <c r="D173" s="20">
        <v>900</v>
      </c>
      <c r="E173" s="20" t="s">
        <v>162</v>
      </c>
      <c r="G173" s="2" t="s">
        <v>371</v>
      </c>
      <c r="H173" s="4" t="s">
        <v>823</v>
      </c>
      <c r="I173" s="2" t="s">
        <v>193</v>
      </c>
      <c r="J173" s="9" t="s">
        <v>264</v>
      </c>
    </row>
    <row r="174" spans="1:10" ht="22.5" customHeight="1">
      <c r="A174" s="7"/>
      <c r="D174" s="20"/>
      <c r="E174" s="20"/>
      <c r="G174" s="3"/>
      <c r="I174" s="2"/>
      <c r="J174" s="9"/>
    </row>
    <row r="175" spans="1:10" ht="22.5" customHeight="1">
      <c r="A175" s="17" t="s">
        <v>372</v>
      </c>
      <c r="C175" s="18" t="s">
        <v>372</v>
      </c>
      <c r="D175" s="20"/>
      <c r="E175" s="20"/>
      <c r="G175" s="3"/>
      <c r="I175" s="2"/>
      <c r="J175" s="9"/>
    </row>
    <row r="176" spans="1:10" ht="22.5" customHeight="1">
      <c r="A176" s="7"/>
      <c r="B176" s="5" t="s">
        <v>373</v>
      </c>
      <c r="C176" s="6">
        <v>5199</v>
      </c>
      <c r="D176" s="20">
        <v>900</v>
      </c>
      <c r="E176" s="20" t="s">
        <v>162</v>
      </c>
      <c r="G176" s="2" t="s">
        <v>373</v>
      </c>
      <c r="H176" s="4" t="s">
        <v>824</v>
      </c>
      <c r="I176" s="2" t="s">
        <v>193</v>
      </c>
      <c r="J176" s="9" t="s">
        <v>264</v>
      </c>
    </row>
    <row r="177" spans="1:10" ht="22.5" customHeight="1">
      <c r="A177" s="7"/>
      <c r="B177" s="5" t="s">
        <v>374</v>
      </c>
      <c r="C177" s="6">
        <v>5199</v>
      </c>
      <c r="D177" s="20">
        <v>900</v>
      </c>
      <c r="E177" s="20" t="s">
        <v>236</v>
      </c>
      <c r="G177" s="2" t="s">
        <v>374</v>
      </c>
      <c r="H177" s="4" t="s">
        <v>825</v>
      </c>
      <c r="I177" s="2" t="s">
        <v>193</v>
      </c>
      <c r="J177" s="9" t="s">
        <v>238</v>
      </c>
    </row>
    <row r="178" spans="1:10" ht="22.5" customHeight="1">
      <c r="A178" s="7"/>
      <c r="D178" s="20"/>
      <c r="E178" s="20"/>
      <c r="G178" s="3"/>
      <c r="I178" s="2"/>
      <c r="J178" s="9"/>
    </row>
    <row r="179" spans="1:10" ht="22.5" customHeight="1">
      <c r="A179" s="17" t="s">
        <v>375</v>
      </c>
      <c r="C179" s="18" t="s">
        <v>375</v>
      </c>
      <c r="D179" s="20"/>
      <c r="E179" s="20"/>
      <c r="G179" s="3"/>
      <c r="I179" s="2"/>
      <c r="J179" s="9"/>
    </row>
    <row r="180" spans="1:10" ht="22.5" customHeight="1">
      <c r="A180" s="7"/>
      <c r="B180" s="5" t="s">
        <v>376</v>
      </c>
      <c r="C180" s="6">
        <v>5200</v>
      </c>
      <c r="D180" s="20">
        <v>900</v>
      </c>
      <c r="E180" s="20" t="s">
        <v>162</v>
      </c>
      <c r="G180" s="2" t="s">
        <v>376</v>
      </c>
      <c r="H180" s="4" t="s">
        <v>828</v>
      </c>
      <c r="I180" s="2" t="s">
        <v>193</v>
      </c>
      <c r="J180" s="9" t="s">
        <v>264</v>
      </c>
    </row>
    <row r="181" spans="1:10" ht="22.5" customHeight="1">
      <c r="A181" s="7"/>
      <c r="B181" s="5" t="s">
        <v>377</v>
      </c>
      <c r="C181" s="6">
        <v>5201</v>
      </c>
      <c r="D181" s="20">
        <v>900</v>
      </c>
      <c r="E181" s="20" t="s">
        <v>162</v>
      </c>
      <c r="G181" s="2" t="s">
        <v>377</v>
      </c>
      <c r="H181" s="4" t="s">
        <v>826</v>
      </c>
      <c r="I181" s="2" t="s">
        <v>193</v>
      </c>
      <c r="J181" s="9" t="s">
        <v>264</v>
      </c>
    </row>
    <row r="182" spans="1:10" ht="22.5" customHeight="1">
      <c r="A182" s="7"/>
      <c r="B182" s="5" t="s">
        <v>378</v>
      </c>
      <c r="C182" s="6">
        <v>5202</v>
      </c>
      <c r="D182" s="20">
        <v>900</v>
      </c>
      <c r="E182" s="20" t="s">
        <v>162</v>
      </c>
      <c r="G182" s="2" t="s">
        <v>378</v>
      </c>
      <c r="H182" s="4" t="s">
        <v>827</v>
      </c>
      <c r="I182" s="2" t="s">
        <v>193</v>
      </c>
      <c r="J182" s="9" t="s">
        <v>264</v>
      </c>
    </row>
    <row r="183" spans="1:10" ht="22.5" customHeight="1">
      <c r="A183" s="7"/>
      <c r="D183" s="20"/>
      <c r="E183" s="20"/>
      <c r="G183" s="3"/>
      <c r="I183" s="2"/>
      <c r="J183" s="9"/>
    </row>
    <row r="184" spans="1:10" ht="22.5" customHeight="1">
      <c r="A184" s="17" t="s">
        <v>379</v>
      </c>
      <c r="C184" s="18" t="s">
        <v>379</v>
      </c>
      <c r="D184" s="20"/>
      <c r="E184" s="20"/>
      <c r="G184" s="3"/>
      <c r="I184" s="2"/>
      <c r="J184" s="9"/>
    </row>
    <row r="185" spans="1:10" ht="22.5" customHeight="1">
      <c r="A185" s="7"/>
      <c r="B185" s="5" t="s">
        <v>380</v>
      </c>
      <c r="C185" s="6">
        <v>5300</v>
      </c>
      <c r="D185" s="20">
        <v>900</v>
      </c>
      <c r="E185" s="20" t="s">
        <v>162</v>
      </c>
      <c r="G185" s="2" t="s">
        <v>380</v>
      </c>
      <c r="H185" s="4" t="s">
        <v>829</v>
      </c>
      <c r="I185" s="2" t="s">
        <v>193</v>
      </c>
      <c r="J185" s="9" t="s">
        <v>264</v>
      </c>
    </row>
    <row r="186" spans="1:10" ht="22.5" customHeight="1">
      <c r="A186" s="7"/>
      <c r="B186" s="5" t="s">
        <v>381</v>
      </c>
      <c r="C186" s="6">
        <v>5301</v>
      </c>
      <c r="D186" s="20">
        <v>900</v>
      </c>
      <c r="E186" s="20" t="s">
        <v>162</v>
      </c>
      <c r="G186" s="2" t="s">
        <v>381</v>
      </c>
      <c r="H186" s="4" t="s">
        <v>830</v>
      </c>
      <c r="I186" s="2" t="s">
        <v>193</v>
      </c>
      <c r="J186" s="9" t="s">
        <v>264</v>
      </c>
    </row>
    <row r="187" spans="1:10" ht="22.5" customHeight="1">
      <c r="A187" s="7"/>
      <c r="B187" s="5" t="s">
        <v>382</v>
      </c>
      <c r="C187" s="6">
        <v>5302</v>
      </c>
      <c r="D187" s="20">
        <v>900</v>
      </c>
      <c r="E187" s="20" t="s">
        <v>162</v>
      </c>
      <c r="G187" s="2" t="s">
        <v>382</v>
      </c>
      <c r="H187" s="4" t="s">
        <v>831</v>
      </c>
      <c r="I187" s="2" t="s">
        <v>193</v>
      </c>
      <c r="J187" s="9" t="s">
        <v>264</v>
      </c>
    </row>
    <row r="188" spans="1:10" ht="22.5" customHeight="1">
      <c r="A188" s="7"/>
      <c r="D188" s="20"/>
      <c r="E188" s="20"/>
      <c r="G188" s="3"/>
      <c r="I188" s="2"/>
      <c r="J188" s="9"/>
    </row>
    <row r="189" spans="1:10" ht="22.5" customHeight="1">
      <c r="A189" s="17" t="s">
        <v>383</v>
      </c>
      <c r="C189" s="18" t="s">
        <v>383</v>
      </c>
      <c r="D189" s="20"/>
      <c r="E189" s="20"/>
      <c r="G189" s="3"/>
      <c r="I189" s="2"/>
      <c r="J189" s="9"/>
    </row>
    <row r="190" spans="1:10" ht="22.5" customHeight="1">
      <c r="A190" s="7"/>
      <c r="B190" s="5" t="s">
        <v>384</v>
      </c>
      <c r="C190" s="6">
        <v>5400</v>
      </c>
      <c r="D190" s="20">
        <v>900</v>
      </c>
      <c r="E190" s="20" t="s">
        <v>162</v>
      </c>
      <c r="G190" s="2" t="s">
        <v>384</v>
      </c>
      <c r="H190" s="4" t="s">
        <v>832</v>
      </c>
      <c r="I190" s="2" t="s">
        <v>193</v>
      </c>
      <c r="J190" s="9" t="s">
        <v>264</v>
      </c>
    </row>
    <row r="191" spans="1:10" ht="22.5" customHeight="1">
      <c r="A191" s="7"/>
      <c r="D191" s="20"/>
      <c r="E191" s="20"/>
      <c r="G191" s="3"/>
      <c r="I191" s="2"/>
      <c r="J191" s="9"/>
    </row>
    <row r="192" spans="1:10" ht="22.5" customHeight="1">
      <c r="A192" s="17" t="s">
        <v>385</v>
      </c>
      <c r="C192" s="18" t="s">
        <v>385</v>
      </c>
      <c r="D192" s="20"/>
      <c r="E192" s="20"/>
      <c r="G192" s="3"/>
      <c r="I192" s="2"/>
      <c r="J192" s="9"/>
    </row>
    <row r="193" spans="1:255" ht="22.5" customHeight="1">
      <c r="A193" s="7"/>
      <c r="B193" s="5" t="s">
        <v>386</v>
      </c>
      <c r="C193" s="6">
        <v>5500</v>
      </c>
      <c r="D193" s="20">
        <v>900</v>
      </c>
      <c r="E193" s="20" t="s">
        <v>162</v>
      </c>
      <c r="G193" s="2" t="s">
        <v>386</v>
      </c>
      <c r="H193" s="4" t="s">
        <v>833</v>
      </c>
      <c r="I193" s="2" t="s">
        <v>193</v>
      </c>
      <c r="J193" s="9" t="s">
        <v>264</v>
      </c>
    </row>
    <row r="194" spans="1:255" ht="22.5" customHeight="1">
      <c r="A194" s="7"/>
      <c r="B194" s="5" t="s">
        <v>390</v>
      </c>
      <c r="C194" s="6">
        <v>5501</v>
      </c>
      <c r="D194" s="20">
        <v>900</v>
      </c>
      <c r="E194" s="20" t="s">
        <v>162</v>
      </c>
      <c r="G194" s="2" t="s">
        <v>390</v>
      </c>
      <c r="H194" s="4" t="s">
        <v>834</v>
      </c>
      <c r="I194" s="2" t="s">
        <v>193</v>
      </c>
      <c r="J194" s="9" t="s">
        <v>264</v>
      </c>
    </row>
    <row r="195" spans="1:255" ht="22.5" customHeight="1">
      <c r="A195" s="7"/>
      <c r="D195" s="20"/>
      <c r="E195" s="20"/>
      <c r="G195" s="3"/>
      <c r="I195" s="2"/>
      <c r="J195" s="9"/>
    </row>
    <row r="196" spans="1:255" ht="22.5" customHeight="1">
      <c r="A196" s="17" t="s">
        <v>391</v>
      </c>
      <c r="C196" s="18" t="s">
        <v>391</v>
      </c>
      <c r="D196" s="20"/>
      <c r="E196" s="20"/>
      <c r="G196" s="3"/>
      <c r="I196" s="2"/>
      <c r="J196" s="9"/>
    </row>
    <row r="197" spans="1:255" ht="22.5" customHeight="1">
      <c r="A197" s="7"/>
      <c r="B197" s="5" t="s">
        <v>392</v>
      </c>
      <c r="C197" s="6">
        <v>5600</v>
      </c>
      <c r="D197" s="20">
        <v>900</v>
      </c>
      <c r="E197" s="20" t="s">
        <v>162</v>
      </c>
      <c r="G197" s="2" t="s">
        <v>392</v>
      </c>
      <c r="H197" s="4" t="s">
        <v>754</v>
      </c>
      <c r="I197" s="2" t="s">
        <v>193</v>
      </c>
      <c r="J197" s="9" t="s">
        <v>264</v>
      </c>
    </row>
    <row r="198" spans="1:255" ht="22.5" customHeight="1">
      <c r="A198" s="7"/>
      <c r="B198" s="5" t="s">
        <v>393</v>
      </c>
      <c r="C198" s="6">
        <v>5601</v>
      </c>
      <c r="D198" s="20">
        <v>900</v>
      </c>
      <c r="E198" s="20" t="s">
        <v>162</v>
      </c>
      <c r="G198" s="2" t="s">
        <v>393</v>
      </c>
      <c r="H198" s="4" t="s">
        <v>755</v>
      </c>
      <c r="I198" s="2" t="s">
        <v>193</v>
      </c>
      <c r="J198" s="9" t="s">
        <v>264</v>
      </c>
    </row>
    <row r="199" spans="1:255" ht="22.5" customHeight="1">
      <c r="A199" s="7"/>
      <c r="D199" s="20"/>
      <c r="E199" s="20"/>
      <c r="I199" s="2"/>
      <c r="J199" s="9"/>
    </row>
    <row r="200" spans="1:255" ht="22.5" customHeight="1">
      <c r="A200" s="7"/>
      <c r="C200" s="6">
        <v>5700</v>
      </c>
      <c r="D200" s="20">
        <v>900</v>
      </c>
      <c r="E200" s="20" t="s">
        <v>162</v>
      </c>
      <c r="G200" s="3" t="s">
        <v>923</v>
      </c>
      <c r="H200" s="4" t="s">
        <v>925</v>
      </c>
      <c r="I200" s="2"/>
      <c r="J200" s="9"/>
    </row>
    <row r="201" spans="1:255" ht="22.5" customHeight="1">
      <c r="A201" s="17" t="s">
        <v>399</v>
      </c>
      <c r="C201" s="18" t="s">
        <v>399</v>
      </c>
      <c r="D201" s="7"/>
      <c r="E201" s="7"/>
      <c r="I201" s="2"/>
      <c r="J201" s="9"/>
    </row>
    <row r="202" spans="1:255" ht="22.5" customHeight="1">
      <c r="B202" s="1" t="s">
        <v>400</v>
      </c>
      <c r="C202" s="19">
        <v>6900</v>
      </c>
      <c r="D202" s="20">
        <v>900</v>
      </c>
      <c r="E202" s="20" t="s">
        <v>162</v>
      </c>
      <c r="G202" s="1" t="s">
        <v>400</v>
      </c>
      <c r="I202" s="2" t="s">
        <v>193</v>
      </c>
      <c r="J202" s="9" t="s">
        <v>264</v>
      </c>
    </row>
    <row r="203" spans="1:255" ht="22.5" customHeight="1">
      <c r="D203" s="20"/>
      <c r="E203" s="20"/>
      <c r="G203" s="1"/>
      <c r="I203" s="2"/>
      <c r="J203" s="9"/>
    </row>
    <row r="204" spans="1:255" ht="22.5" customHeight="1">
      <c r="A204" s="17" t="s">
        <v>401</v>
      </c>
      <c r="B204" s="7"/>
      <c r="C204" s="18" t="s">
        <v>401</v>
      </c>
      <c r="D204" s="7"/>
      <c r="E204" s="7"/>
      <c r="F204" s="7"/>
      <c r="G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c r="ET204" s="7"/>
      <c r="EU204" s="7"/>
      <c r="EV204" s="7"/>
      <c r="EW204" s="7"/>
      <c r="EX204" s="7"/>
      <c r="EY204" s="7"/>
      <c r="EZ204" s="7"/>
      <c r="FA204" s="7"/>
      <c r="FB204" s="7"/>
      <c r="FC204" s="7"/>
      <c r="FD204" s="7"/>
      <c r="FE204" s="7"/>
      <c r="FF204" s="7"/>
      <c r="FG204" s="7"/>
      <c r="FH204" s="7"/>
      <c r="FI204" s="7"/>
      <c r="FJ204" s="7"/>
      <c r="FK204" s="7"/>
      <c r="FL204" s="7"/>
      <c r="FM204" s="7"/>
      <c r="FN204" s="7"/>
      <c r="FO204" s="7"/>
      <c r="FP204" s="7"/>
      <c r="FQ204" s="7"/>
      <c r="FR204" s="7"/>
      <c r="FS204" s="7"/>
      <c r="FT204" s="7"/>
      <c r="FU204" s="7"/>
      <c r="FV204" s="7"/>
      <c r="FW204" s="7"/>
      <c r="FX204" s="7"/>
      <c r="FY204" s="7"/>
      <c r="FZ204" s="7"/>
      <c r="GA204" s="7"/>
      <c r="GB204" s="7"/>
      <c r="GC204" s="7"/>
      <c r="GD204" s="7"/>
      <c r="GE204" s="7"/>
      <c r="GF204" s="7"/>
      <c r="GG204" s="7"/>
      <c r="GH204" s="7"/>
      <c r="GI204" s="7"/>
      <c r="GJ204" s="7"/>
      <c r="GK204" s="7"/>
      <c r="GL204" s="7"/>
      <c r="GM204" s="7"/>
      <c r="GN204" s="7"/>
      <c r="GO204" s="7"/>
      <c r="GP204" s="7"/>
      <c r="GQ204" s="7"/>
      <c r="GR204" s="7"/>
      <c r="GS204" s="7"/>
      <c r="GT204" s="7"/>
      <c r="GU204" s="7"/>
      <c r="GV204" s="7"/>
      <c r="GW204" s="7"/>
      <c r="GX204" s="7"/>
      <c r="GY204" s="7"/>
      <c r="GZ204" s="7"/>
      <c r="HA204" s="7"/>
      <c r="HB204" s="7"/>
      <c r="HC204" s="7"/>
      <c r="HD204" s="7"/>
      <c r="HE204" s="7"/>
      <c r="HF204" s="7"/>
      <c r="HG204" s="7"/>
      <c r="HH204" s="7"/>
      <c r="HI204" s="7"/>
      <c r="HJ204" s="7"/>
      <c r="HK204" s="7"/>
      <c r="HL204" s="7"/>
      <c r="HM204" s="7"/>
      <c r="HN204" s="7"/>
      <c r="HO204" s="7"/>
      <c r="HP204" s="7"/>
      <c r="HQ204" s="7"/>
      <c r="HR204" s="7"/>
      <c r="HS204" s="7"/>
      <c r="HT204" s="7"/>
      <c r="HU204" s="7"/>
      <c r="HV204" s="7"/>
      <c r="HW204" s="7"/>
      <c r="HX204" s="7"/>
      <c r="HY204" s="7"/>
      <c r="HZ204" s="7"/>
      <c r="IA204" s="7"/>
      <c r="IB204" s="7"/>
      <c r="IC204" s="7"/>
      <c r="ID204" s="7"/>
      <c r="IE204" s="7"/>
      <c r="IF204" s="7"/>
      <c r="IG204" s="7"/>
      <c r="IH204" s="7"/>
      <c r="II204" s="7"/>
      <c r="IJ204" s="7"/>
      <c r="IK204" s="7"/>
      <c r="IL204" s="7"/>
      <c r="IM204" s="7"/>
      <c r="IN204" s="7"/>
      <c r="IO204" s="7"/>
      <c r="IP204" s="7"/>
      <c r="IQ204" s="7"/>
      <c r="IR204" s="7"/>
      <c r="IS204" s="7"/>
      <c r="IT204" s="7"/>
      <c r="IU204" s="7"/>
    </row>
    <row r="205" spans="1:255" ht="22.5" customHeight="1">
      <c r="A205" s="7">
        <v>47</v>
      </c>
      <c r="B205" s="5" t="s">
        <v>402</v>
      </c>
      <c r="C205" s="19">
        <v>7000</v>
      </c>
      <c r="D205" s="20">
        <v>900</v>
      </c>
      <c r="E205" s="20" t="s">
        <v>162</v>
      </c>
      <c r="F205" s="8"/>
      <c r="G205" s="2" t="s">
        <v>403</v>
      </c>
      <c r="H205" s="4" t="s">
        <v>517</v>
      </c>
      <c r="I205" s="2" t="s">
        <v>193</v>
      </c>
      <c r="J205" s="9" t="s">
        <v>264</v>
      </c>
    </row>
    <row r="206" spans="1:255" ht="22.5" customHeight="1">
      <c r="A206" s="7">
        <v>53</v>
      </c>
      <c r="B206" s="5" t="s">
        <v>404</v>
      </c>
      <c r="C206" s="19">
        <v>7001</v>
      </c>
      <c r="D206" s="20">
        <v>900</v>
      </c>
      <c r="E206" s="20" t="s">
        <v>162</v>
      </c>
      <c r="F206" s="8"/>
      <c r="G206" s="2" t="s">
        <v>404</v>
      </c>
      <c r="H206" s="4" t="s">
        <v>518</v>
      </c>
      <c r="I206" s="2" t="s">
        <v>193</v>
      </c>
      <c r="J206" s="9" t="s">
        <v>264</v>
      </c>
    </row>
    <row r="207" spans="1:255" ht="22.5" customHeight="1">
      <c r="A207" s="7">
        <v>81</v>
      </c>
      <c r="B207" s="5" t="s">
        <v>405</v>
      </c>
      <c r="C207" s="19">
        <v>7002</v>
      </c>
      <c r="D207" s="20">
        <v>900</v>
      </c>
      <c r="E207" s="20" t="s">
        <v>162</v>
      </c>
      <c r="F207" s="8"/>
      <c r="G207" s="2" t="s">
        <v>406</v>
      </c>
      <c r="H207" s="4" t="s">
        <v>519</v>
      </c>
      <c r="I207" s="2" t="s">
        <v>193</v>
      </c>
      <c r="J207" s="9" t="s">
        <v>264</v>
      </c>
    </row>
    <row r="208" spans="1:255" ht="22.5" customHeight="1">
      <c r="A208" s="7">
        <v>86</v>
      </c>
      <c r="B208" s="5" t="s">
        <v>407</v>
      </c>
      <c r="C208" s="19">
        <v>7004</v>
      </c>
      <c r="D208" s="20">
        <v>900</v>
      </c>
      <c r="E208" s="20" t="s">
        <v>162</v>
      </c>
      <c r="F208" s="8"/>
      <c r="G208" s="2" t="s">
        <v>408</v>
      </c>
      <c r="H208" s="4" t="s">
        <v>520</v>
      </c>
      <c r="I208" s="2" t="s">
        <v>193</v>
      </c>
      <c r="J208" s="9" t="s">
        <v>264</v>
      </c>
    </row>
    <row r="209" spans="1:11" ht="22.5" customHeight="1">
      <c r="A209" s="7">
        <v>91</v>
      </c>
      <c r="B209" s="5" t="s">
        <v>409</v>
      </c>
      <c r="C209" s="19">
        <v>7005</v>
      </c>
      <c r="D209" s="20">
        <v>900</v>
      </c>
      <c r="E209" s="20" t="s">
        <v>162</v>
      </c>
      <c r="F209" s="8"/>
      <c r="G209" s="2" t="s">
        <v>410</v>
      </c>
      <c r="H209" s="4" t="s">
        <v>480</v>
      </c>
      <c r="I209" s="2" t="s">
        <v>193</v>
      </c>
      <c r="J209" s="9" t="s">
        <v>264</v>
      </c>
    </row>
    <row r="210" spans="1:11" ht="22.5" customHeight="1">
      <c r="A210" s="7">
        <v>96</v>
      </c>
      <c r="B210" s="5" t="s">
        <v>411</v>
      </c>
      <c r="C210" s="19">
        <v>7006</v>
      </c>
      <c r="D210" s="20">
        <v>900</v>
      </c>
      <c r="E210" s="20" t="s">
        <v>162</v>
      </c>
      <c r="F210" s="8"/>
      <c r="G210" s="2" t="s">
        <v>412</v>
      </c>
      <c r="H210" s="4" t="s">
        <v>724</v>
      </c>
      <c r="I210" s="2" t="s">
        <v>193</v>
      </c>
      <c r="J210" s="9" t="s">
        <v>264</v>
      </c>
    </row>
    <row r="211" spans="1:11" ht="22.5" customHeight="1">
      <c r="A211" s="7"/>
      <c r="B211" s="5" t="s">
        <v>413</v>
      </c>
      <c r="C211" s="6">
        <v>7006</v>
      </c>
      <c r="D211" s="20">
        <v>900</v>
      </c>
      <c r="E211" s="20" t="s">
        <v>236</v>
      </c>
      <c r="F211" s="8"/>
      <c r="G211" s="2" t="s">
        <v>413</v>
      </c>
      <c r="H211" s="4" t="s">
        <v>725</v>
      </c>
      <c r="I211" s="2" t="s">
        <v>193</v>
      </c>
      <c r="J211" s="9" t="s">
        <v>238</v>
      </c>
    </row>
    <row r="212" spans="1:11" ht="22.5" customHeight="1">
      <c r="A212" s="7">
        <v>127</v>
      </c>
      <c r="B212" s="5" t="s">
        <v>414</v>
      </c>
      <c r="C212" s="19">
        <v>7007</v>
      </c>
      <c r="D212" s="20">
        <v>900</v>
      </c>
      <c r="E212" s="20" t="s">
        <v>162</v>
      </c>
      <c r="F212" s="8"/>
      <c r="G212" s="2" t="s">
        <v>414</v>
      </c>
      <c r="H212" s="4" t="s">
        <v>726</v>
      </c>
      <c r="I212" s="2" t="s">
        <v>193</v>
      </c>
      <c r="J212" s="9" t="s">
        <v>264</v>
      </c>
    </row>
    <row r="213" spans="1:11" s="2" customFormat="1" ht="22.5" customHeight="1">
      <c r="A213" s="7"/>
      <c r="B213" s="2" t="s">
        <v>415</v>
      </c>
      <c r="C213" s="6">
        <v>7008</v>
      </c>
      <c r="D213" s="20">
        <v>900</v>
      </c>
      <c r="E213" s="20" t="s">
        <v>162</v>
      </c>
      <c r="F213" s="8"/>
      <c r="G213" s="2" t="s">
        <v>415</v>
      </c>
      <c r="H213" s="4" t="s">
        <v>727</v>
      </c>
      <c r="I213" s="2" t="s">
        <v>193</v>
      </c>
      <c r="J213" s="9" t="s">
        <v>264</v>
      </c>
      <c r="K213" s="9"/>
    </row>
    <row r="214" spans="1:11" s="2" customFormat="1" ht="22.5" customHeight="1">
      <c r="A214" s="7"/>
      <c r="B214" s="2" t="s">
        <v>416</v>
      </c>
      <c r="C214" s="6">
        <v>7009</v>
      </c>
      <c r="D214" s="20">
        <v>900</v>
      </c>
      <c r="E214" s="20" t="s">
        <v>162</v>
      </c>
      <c r="F214" s="8"/>
      <c r="G214" s="2" t="s">
        <v>416</v>
      </c>
      <c r="H214" s="4" t="s">
        <v>728</v>
      </c>
      <c r="I214" s="2" t="s">
        <v>193</v>
      </c>
      <c r="J214" s="9" t="s">
        <v>264</v>
      </c>
      <c r="K214" s="9"/>
    </row>
    <row r="215" spans="1:11" s="2" customFormat="1" ht="22.5" customHeight="1">
      <c r="A215" s="7"/>
      <c r="C215" s="322">
        <v>7010</v>
      </c>
      <c r="D215" s="331">
        <v>900</v>
      </c>
      <c r="E215" s="324" t="s">
        <v>162</v>
      </c>
      <c r="F215" s="330"/>
      <c r="G215" s="326" t="s">
        <v>924</v>
      </c>
      <c r="H215" s="4" t="s">
        <v>926</v>
      </c>
      <c r="J215" s="9"/>
      <c r="K215" s="9"/>
    </row>
    <row r="216" spans="1:11" ht="22.5" customHeight="1">
      <c r="A216" s="7"/>
      <c r="D216" s="20"/>
      <c r="E216" s="20"/>
      <c r="I216" s="2"/>
      <c r="J216" s="9"/>
    </row>
    <row r="217" spans="1:11" ht="22.5" customHeight="1">
      <c r="A217" s="17" t="s">
        <v>417</v>
      </c>
      <c r="C217" s="18" t="s">
        <v>417</v>
      </c>
      <c r="D217" s="7"/>
      <c r="E217" s="7"/>
      <c r="I217" s="2"/>
      <c r="J217" s="9"/>
    </row>
    <row r="218" spans="1:11" ht="22.5" customHeight="1">
      <c r="A218" s="7">
        <v>48</v>
      </c>
      <c r="B218" s="5" t="s">
        <v>418</v>
      </c>
      <c r="C218" s="19">
        <v>7100</v>
      </c>
      <c r="D218" s="20">
        <v>900</v>
      </c>
      <c r="E218" s="20" t="s">
        <v>162</v>
      </c>
      <c r="F218" s="8"/>
      <c r="G218" s="2" t="s">
        <v>418</v>
      </c>
      <c r="H218" s="4" t="s">
        <v>729</v>
      </c>
      <c r="I218" s="2" t="s">
        <v>193</v>
      </c>
      <c r="J218" s="9" t="s">
        <v>264</v>
      </c>
    </row>
    <row r="219" spans="1:11" ht="22.5" customHeight="1">
      <c r="A219" s="7">
        <v>51</v>
      </c>
      <c r="B219" s="5" t="s">
        <v>419</v>
      </c>
      <c r="C219" s="19">
        <v>7101</v>
      </c>
      <c r="D219" s="20">
        <v>900</v>
      </c>
      <c r="E219" s="20" t="s">
        <v>162</v>
      </c>
      <c r="F219" s="8"/>
      <c r="G219" s="2" t="s">
        <v>420</v>
      </c>
      <c r="H219" s="4" t="s">
        <v>730</v>
      </c>
      <c r="I219" s="2" t="s">
        <v>193</v>
      </c>
      <c r="J219" s="9" t="s">
        <v>264</v>
      </c>
    </row>
    <row r="220" spans="1:11" ht="22.5" customHeight="1">
      <c r="A220" s="7">
        <v>76</v>
      </c>
      <c r="B220" s="5" t="s">
        <v>421</v>
      </c>
      <c r="C220" s="19">
        <v>7102</v>
      </c>
      <c r="D220" s="20">
        <v>900</v>
      </c>
      <c r="E220" s="20" t="s">
        <v>162</v>
      </c>
      <c r="F220" s="8"/>
      <c r="G220" s="2" t="s">
        <v>422</v>
      </c>
      <c r="H220" s="4" t="s">
        <v>731</v>
      </c>
      <c r="I220" s="2" t="s">
        <v>193</v>
      </c>
      <c r="J220" s="9" t="s">
        <v>264</v>
      </c>
    </row>
    <row r="221" spans="1:11" ht="22.5" customHeight="1">
      <c r="A221" s="7">
        <v>76</v>
      </c>
      <c r="B221" s="5" t="s">
        <v>423</v>
      </c>
      <c r="C221" s="6">
        <v>7102</v>
      </c>
      <c r="D221" s="20">
        <v>900</v>
      </c>
      <c r="E221" s="20" t="s">
        <v>337</v>
      </c>
      <c r="F221" s="8"/>
      <c r="G221" s="2" t="s">
        <v>423</v>
      </c>
      <c r="I221" s="2" t="s">
        <v>193</v>
      </c>
      <c r="J221" s="9" t="s">
        <v>264</v>
      </c>
    </row>
    <row r="222" spans="1:11" ht="22.5" customHeight="1">
      <c r="A222" s="7">
        <v>82</v>
      </c>
      <c r="B222" s="5" t="s">
        <v>424</v>
      </c>
      <c r="C222" s="19">
        <v>7103</v>
      </c>
      <c r="D222" s="20">
        <v>900</v>
      </c>
      <c r="E222" s="20" t="s">
        <v>162</v>
      </c>
      <c r="F222" s="8"/>
      <c r="G222" s="2" t="s">
        <v>425</v>
      </c>
      <c r="H222" s="4" t="s">
        <v>732</v>
      </c>
      <c r="I222" s="2" t="s">
        <v>193</v>
      </c>
      <c r="J222" s="9" t="s">
        <v>264</v>
      </c>
    </row>
    <row r="223" spans="1:11" ht="22.5" customHeight="1">
      <c r="A223" s="7">
        <v>90</v>
      </c>
      <c r="B223" s="5" t="s">
        <v>426</v>
      </c>
      <c r="C223" s="19">
        <v>7104</v>
      </c>
      <c r="D223" s="20">
        <v>900</v>
      </c>
      <c r="E223" s="20" t="s">
        <v>162</v>
      </c>
      <c r="F223" s="8"/>
      <c r="G223" s="2" t="s">
        <v>426</v>
      </c>
      <c r="H223" s="4" t="s">
        <v>733</v>
      </c>
      <c r="I223" s="2" t="s">
        <v>193</v>
      </c>
      <c r="J223" s="9" t="s">
        <v>264</v>
      </c>
    </row>
    <row r="224" spans="1:11" ht="22.5" customHeight="1">
      <c r="A224" s="7"/>
      <c r="B224" s="5" t="s">
        <v>427</v>
      </c>
      <c r="C224" s="6">
        <v>7105</v>
      </c>
      <c r="D224" s="20">
        <v>900</v>
      </c>
      <c r="E224" s="20" t="s">
        <v>162</v>
      </c>
      <c r="G224" s="2" t="s">
        <v>427</v>
      </c>
      <c r="H224" s="4" t="s">
        <v>734</v>
      </c>
      <c r="I224" s="2" t="s">
        <v>193</v>
      </c>
      <c r="J224" s="9" t="s">
        <v>264</v>
      </c>
    </row>
    <row r="225" spans="1:11" ht="22.5" customHeight="1">
      <c r="A225" s="7"/>
      <c r="C225" s="332">
        <v>7206</v>
      </c>
      <c r="D225" s="331">
        <v>900</v>
      </c>
      <c r="E225" s="324" t="s">
        <v>162</v>
      </c>
      <c r="F225" s="329"/>
      <c r="G225" s="326" t="s">
        <v>940</v>
      </c>
      <c r="H225" s="4" t="s">
        <v>130</v>
      </c>
      <c r="I225" s="2" t="s">
        <v>193</v>
      </c>
      <c r="J225" s="9" t="s">
        <v>264</v>
      </c>
    </row>
    <row r="226" spans="1:11" ht="22.5" customHeight="1">
      <c r="A226" s="7"/>
      <c r="C226" s="332">
        <v>7207</v>
      </c>
      <c r="D226" s="331">
        <v>900</v>
      </c>
      <c r="E226" s="324" t="s">
        <v>162</v>
      </c>
      <c r="F226" s="329"/>
      <c r="G226" s="326" t="s">
        <v>941</v>
      </c>
      <c r="H226" s="4" t="s">
        <v>131</v>
      </c>
      <c r="I226" s="2" t="s">
        <v>193</v>
      </c>
      <c r="J226" s="9" t="s">
        <v>264</v>
      </c>
    </row>
    <row r="227" spans="1:11" ht="22.5" customHeight="1">
      <c r="A227" s="7"/>
      <c r="D227" s="20"/>
      <c r="E227" s="20"/>
      <c r="I227" s="2"/>
      <c r="J227" s="9"/>
    </row>
    <row r="228" spans="1:11" ht="22.5" customHeight="1">
      <c r="A228" s="17" t="s">
        <v>428</v>
      </c>
      <c r="C228" s="18" t="s">
        <v>428</v>
      </c>
      <c r="D228" s="7"/>
      <c r="E228" s="7"/>
      <c r="I228" s="2"/>
      <c r="J228" s="9"/>
    </row>
    <row r="229" spans="1:11" ht="22.5" customHeight="1">
      <c r="A229" s="7">
        <v>66</v>
      </c>
      <c r="B229" s="5" t="s">
        <v>429</v>
      </c>
      <c r="C229" s="19">
        <v>7200</v>
      </c>
      <c r="D229" s="20">
        <v>900</v>
      </c>
      <c r="E229" s="20" t="s">
        <v>162</v>
      </c>
      <c r="F229" s="8"/>
      <c r="G229" s="2" t="s">
        <v>429</v>
      </c>
      <c r="H229" s="4" t="s">
        <v>735</v>
      </c>
      <c r="I229" s="2" t="s">
        <v>193</v>
      </c>
      <c r="J229" s="9" t="s">
        <v>264</v>
      </c>
    </row>
    <row r="230" spans="1:11" ht="22.5" customHeight="1">
      <c r="A230" s="7"/>
      <c r="B230" s="5" t="s">
        <v>430</v>
      </c>
      <c r="C230" s="19">
        <v>7200</v>
      </c>
      <c r="D230" s="20">
        <v>900</v>
      </c>
      <c r="E230" s="20" t="s">
        <v>337</v>
      </c>
      <c r="F230" s="8"/>
      <c r="G230" s="2" t="s">
        <v>430</v>
      </c>
      <c r="I230" s="2" t="s">
        <v>193</v>
      </c>
      <c r="J230" s="9" t="s">
        <v>264</v>
      </c>
    </row>
    <row r="231" spans="1:11" ht="22.5" customHeight="1">
      <c r="A231" s="7"/>
      <c r="B231" s="5" t="s">
        <v>431</v>
      </c>
      <c r="C231" s="19">
        <v>7200</v>
      </c>
      <c r="D231" s="20">
        <v>900</v>
      </c>
      <c r="E231" s="20" t="s">
        <v>236</v>
      </c>
      <c r="F231" s="8"/>
      <c r="G231" s="2" t="s">
        <v>431</v>
      </c>
      <c r="H231" s="4" t="s">
        <v>736</v>
      </c>
      <c r="I231" s="2" t="s">
        <v>193</v>
      </c>
      <c r="J231" s="9" t="s">
        <v>264</v>
      </c>
    </row>
    <row r="232" spans="1:11" ht="22.5" customHeight="1">
      <c r="A232" s="7">
        <v>68</v>
      </c>
      <c r="B232" s="5" t="s">
        <v>432</v>
      </c>
      <c r="C232" s="19">
        <v>7201</v>
      </c>
      <c r="D232" s="20">
        <v>900</v>
      </c>
      <c r="E232" s="20" t="s">
        <v>162</v>
      </c>
      <c r="F232" s="8"/>
      <c r="G232" s="2" t="s">
        <v>433</v>
      </c>
      <c r="H232" s="4" t="s">
        <v>737</v>
      </c>
      <c r="I232" s="2" t="s">
        <v>193</v>
      </c>
      <c r="J232" s="9" t="s">
        <v>264</v>
      </c>
    </row>
    <row r="233" spans="1:11" ht="22.5" customHeight="1">
      <c r="A233" s="7">
        <v>69</v>
      </c>
      <c r="B233" s="5" t="s">
        <v>434</v>
      </c>
      <c r="C233" s="19">
        <v>7202</v>
      </c>
      <c r="D233" s="20">
        <v>900</v>
      </c>
      <c r="E233" s="20" t="s">
        <v>162</v>
      </c>
      <c r="F233" s="8"/>
      <c r="G233" s="2" t="s">
        <v>435</v>
      </c>
      <c r="H233" s="4" t="s">
        <v>738</v>
      </c>
      <c r="I233" s="2" t="s">
        <v>193</v>
      </c>
      <c r="J233" s="9" t="s">
        <v>264</v>
      </c>
    </row>
    <row r="234" spans="1:11" ht="22.5" customHeight="1">
      <c r="A234" s="7">
        <v>94</v>
      </c>
      <c r="B234" s="5" t="s">
        <v>436</v>
      </c>
      <c r="C234" s="19">
        <v>7203</v>
      </c>
      <c r="D234" s="20">
        <v>900</v>
      </c>
      <c r="E234" s="20" t="s">
        <v>162</v>
      </c>
      <c r="F234" s="8"/>
      <c r="G234" s="2" t="s">
        <v>436</v>
      </c>
      <c r="H234" s="4" t="s">
        <v>739</v>
      </c>
      <c r="I234" s="2" t="s">
        <v>193</v>
      </c>
      <c r="J234" s="9" t="s">
        <v>264</v>
      </c>
    </row>
    <row r="235" spans="1:11" ht="22.5" customHeight="1">
      <c r="A235" s="7">
        <v>97</v>
      </c>
      <c r="B235" s="5" t="s">
        <v>437</v>
      </c>
      <c r="C235" s="19">
        <v>7204</v>
      </c>
      <c r="D235" s="20">
        <v>900</v>
      </c>
      <c r="E235" s="20" t="s">
        <v>162</v>
      </c>
      <c r="F235" s="8"/>
      <c r="G235" s="2" t="s">
        <v>438</v>
      </c>
      <c r="H235" s="4" t="s">
        <v>740</v>
      </c>
      <c r="I235" s="2" t="s">
        <v>193</v>
      </c>
      <c r="J235" s="9" t="s">
        <v>264</v>
      </c>
    </row>
    <row r="236" spans="1:11" s="2" customFormat="1" ht="22.5" customHeight="1">
      <c r="A236" s="7"/>
      <c r="B236" s="2" t="s">
        <v>439</v>
      </c>
      <c r="C236" s="6">
        <v>7205</v>
      </c>
      <c r="D236" s="20">
        <v>900</v>
      </c>
      <c r="E236" s="20" t="s">
        <v>162</v>
      </c>
      <c r="F236" s="8"/>
      <c r="G236" s="2" t="s">
        <v>439</v>
      </c>
      <c r="H236" s="4" t="s">
        <v>741</v>
      </c>
      <c r="I236" s="2" t="s">
        <v>193</v>
      </c>
      <c r="J236" s="9" t="s">
        <v>264</v>
      </c>
      <c r="K236" s="9"/>
    </row>
    <row r="237" spans="1:11" s="2" customFormat="1" ht="22.5" customHeight="1">
      <c r="A237" s="7"/>
      <c r="C237" s="322">
        <v>7206</v>
      </c>
      <c r="D237" s="331">
        <v>900</v>
      </c>
      <c r="E237" s="324" t="s">
        <v>162</v>
      </c>
      <c r="F237" s="330" t="s">
        <v>927</v>
      </c>
      <c r="G237" s="326" t="s">
        <v>940</v>
      </c>
      <c r="H237" s="4" t="s">
        <v>130</v>
      </c>
      <c r="J237" s="9"/>
      <c r="K237" s="9"/>
    </row>
    <row r="238" spans="1:11" s="2" customFormat="1" ht="22.5" customHeight="1">
      <c r="A238" s="7"/>
      <c r="C238" s="322">
        <v>7207</v>
      </c>
      <c r="D238" s="331">
        <v>900</v>
      </c>
      <c r="E238" s="324" t="s">
        <v>162</v>
      </c>
      <c r="F238" s="656" t="s">
        <v>928</v>
      </c>
      <c r="G238" s="326" t="s">
        <v>941</v>
      </c>
      <c r="H238" s="4" t="s">
        <v>929</v>
      </c>
      <c r="J238" s="9"/>
      <c r="K238" s="9"/>
    </row>
    <row r="239" spans="1:11" s="2" customFormat="1" ht="22.5" customHeight="1">
      <c r="A239" s="7"/>
      <c r="C239" s="6"/>
      <c r="D239" s="20"/>
      <c r="E239" s="20"/>
      <c r="F239" s="8"/>
      <c r="H239" s="4"/>
      <c r="J239" s="9"/>
      <c r="K239" s="9"/>
    </row>
    <row r="240" spans="1:11" ht="22.5" customHeight="1">
      <c r="A240" s="17" t="s">
        <v>440</v>
      </c>
      <c r="C240" s="18" t="s">
        <v>440</v>
      </c>
      <c r="D240" s="7"/>
      <c r="E240" s="7"/>
      <c r="F240" s="8"/>
      <c r="I240" s="2"/>
      <c r="J240" s="9"/>
    </row>
    <row r="241" spans="1:10" ht="22.5" customHeight="1">
      <c r="A241" s="7">
        <v>64</v>
      </c>
      <c r="B241" s="5" t="s">
        <v>441</v>
      </c>
      <c r="C241" s="19">
        <v>7300</v>
      </c>
      <c r="D241" s="20">
        <v>900</v>
      </c>
      <c r="E241" s="20" t="s">
        <v>162</v>
      </c>
      <c r="F241" s="8"/>
      <c r="G241" s="2" t="s">
        <v>442</v>
      </c>
      <c r="H241" s="4" t="s">
        <v>742</v>
      </c>
      <c r="I241" s="2" t="s">
        <v>193</v>
      </c>
      <c r="J241" s="9" t="s">
        <v>264</v>
      </c>
    </row>
    <row r="242" spans="1:10" ht="22.5" customHeight="1">
      <c r="A242" s="7"/>
      <c r="B242" s="5" t="s">
        <v>443</v>
      </c>
      <c r="C242" s="6">
        <v>7300</v>
      </c>
      <c r="D242" s="20">
        <v>900</v>
      </c>
      <c r="E242" s="20" t="s">
        <v>236</v>
      </c>
      <c r="F242" s="8"/>
      <c r="G242" s="2" t="s">
        <v>443</v>
      </c>
      <c r="I242" s="2" t="s">
        <v>193</v>
      </c>
      <c r="J242" s="9" t="s">
        <v>238</v>
      </c>
    </row>
    <row r="243" spans="1:10" ht="22.5" customHeight="1">
      <c r="A243" s="7"/>
      <c r="D243" s="20"/>
      <c r="E243" s="20"/>
      <c r="G243" s="3"/>
      <c r="I243" s="2"/>
      <c r="J243" s="9"/>
    </row>
    <row r="244" spans="1:10" ht="22.5" customHeight="1">
      <c r="A244" s="17" t="s">
        <v>444</v>
      </c>
      <c r="C244" s="18" t="s">
        <v>444</v>
      </c>
      <c r="D244" s="7"/>
      <c r="E244" s="7"/>
      <c r="I244" s="2"/>
      <c r="J244" s="9"/>
    </row>
    <row r="245" spans="1:10" ht="22.5" customHeight="1">
      <c r="A245" s="7">
        <v>56</v>
      </c>
      <c r="B245" s="5" t="s">
        <v>445</v>
      </c>
      <c r="C245" s="19">
        <v>7401</v>
      </c>
      <c r="D245" s="20">
        <v>900</v>
      </c>
      <c r="E245" s="20" t="s">
        <v>162</v>
      </c>
      <c r="F245" s="8"/>
      <c r="G245" s="2" t="s">
        <v>446</v>
      </c>
      <c r="H245" s="4" t="s">
        <v>743</v>
      </c>
      <c r="I245" s="2" t="s">
        <v>193</v>
      </c>
      <c r="J245" s="9" t="s">
        <v>264</v>
      </c>
    </row>
    <row r="246" spans="1:10" ht="22.5" customHeight="1">
      <c r="A246" s="7">
        <v>78</v>
      </c>
      <c r="B246" s="5" t="s">
        <v>447</v>
      </c>
      <c r="C246" s="19">
        <v>7402</v>
      </c>
      <c r="D246" s="20">
        <v>900</v>
      </c>
      <c r="E246" s="20" t="s">
        <v>162</v>
      </c>
      <c r="F246" s="8"/>
      <c r="G246" s="2" t="s">
        <v>448</v>
      </c>
      <c r="H246" s="4" t="s">
        <v>744</v>
      </c>
      <c r="I246" s="2" t="s">
        <v>193</v>
      </c>
      <c r="J246" s="9" t="s">
        <v>264</v>
      </c>
    </row>
    <row r="247" spans="1:10" ht="22.5" customHeight="1">
      <c r="A247" s="7">
        <v>83</v>
      </c>
      <c r="B247" s="5" t="s">
        <v>449</v>
      </c>
      <c r="C247" s="19">
        <v>7403</v>
      </c>
      <c r="D247" s="20">
        <v>900</v>
      </c>
      <c r="E247" s="20" t="s">
        <v>162</v>
      </c>
      <c r="F247" s="8"/>
      <c r="G247" s="2" t="s">
        <v>450</v>
      </c>
      <c r="H247" s="4" t="s">
        <v>745</v>
      </c>
      <c r="I247" s="2" t="s">
        <v>193</v>
      </c>
      <c r="J247" s="9" t="s">
        <v>264</v>
      </c>
    </row>
    <row r="248" spans="1:10" ht="22.5" customHeight="1">
      <c r="A248" s="7">
        <v>87</v>
      </c>
      <c r="B248" s="5" t="s">
        <v>451</v>
      </c>
      <c r="C248" s="19">
        <v>7404</v>
      </c>
      <c r="D248" s="20">
        <v>900</v>
      </c>
      <c r="E248" s="20" t="s">
        <v>162</v>
      </c>
      <c r="F248" s="8"/>
      <c r="G248" s="2" t="s">
        <v>452</v>
      </c>
      <c r="H248" s="4" t="s">
        <v>746</v>
      </c>
      <c r="I248" s="2" t="s">
        <v>193</v>
      </c>
      <c r="J248" s="9" t="s">
        <v>264</v>
      </c>
    </row>
    <row r="249" spans="1:10" ht="22.5" customHeight="1">
      <c r="A249" s="7">
        <v>61</v>
      </c>
      <c r="B249" s="5" t="s">
        <v>453</v>
      </c>
      <c r="C249" s="19">
        <v>7405</v>
      </c>
      <c r="D249" s="20">
        <v>900</v>
      </c>
      <c r="E249" s="20" t="s">
        <v>162</v>
      </c>
      <c r="F249" s="8"/>
      <c r="G249" s="2" t="s">
        <v>454</v>
      </c>
      <c r="H249" s="4" t="s">
        <v>747</v>
      </c>
      <c r="I249" s="2" t="s">
        <v>193</v>
      </c>
      <c r="J249" s="9" t="s">
        <v>264</v>
      </c>
    </row>
    <row r="250" spans="1:10" ht="22.5" customHeight="1">
      <c r="A250" s="7">
        <v>169</v>
      </c>
      <c r="B250" s="5" t="s">
        <v>455</v>
      </c>
      <c r="C250" s="6">
        <v>7406</v>
      </c>
      <c r="D250" s="20">
        <v>900</v>
      </c>
      <c r="E250" s="20" t="s">
        <v>162</v>
      </c>
      <c r="F250" s="8"/>
      <c r="G250" s="2" t="s">
        <v>455</v>
      </c>
      <c r="H250" s="4" t="s">
        <v>748</v>
      </c>
      <c r="I250" s="2" t="s">
        <v>193</v>
      </c>
      <c r="J250" s="9" t="s">
        <v>264</v>
      </c>
    </row>
    <row r="251" spans="1:10" ht="22.5" customHeight="1">
      <c r="A251" s="7"/>
      <c r="C251" s="322">
        <v>7411</v>
      </c>
      <c r="D251" s="328">
        <v>900</v>
      </c>
      <c r="E251" s="328" t="s">
        <v>162</v>
      </c>
      <c r="F251" s="330" t="s">
        <v>930</v>
      </c>
      <c r="G251" s="2" t="s">
        <v>931</v>
      </c>
      <c r="H251" s="4" t="s">
        <v>932</v>
      </c>
      <c r="I251" s="2"/>
      <c r="J251" s="9"/>
    </row>
    <row r="252" spans="1:10" ht="22.5" customHeight="1">
      <c r="A252" s="7">
        <v>133</v>
      </c>
      <c r="B252" s="5" t="s">
        <v>456</v>
      </c>
      <c r="C252" s="19">
        <v>7499</v>
      </c>
      <c r="D252" s="20">
        <v>900</v>
      </c>
      <c r="E252" s="20" t="s">
        <v>236</v>
      </c>
      <c r="F252" s="8"/>
      <c r="G252" s="2" t="s">
        <v>457</v>
      </c>
      <c r="H252" s="4" t="s">
        <v>749</v>
      </c>
      <c r="I252" s="2" t="s">
        <v>193</v>
      </c>
      <c r="J252" s="9" t="s">
        <v>238</v>
      </c>
    </row>
    <row r="253" spans="1:10" ht="22.5" customHeight="1">
      <c r="A253" s="7"/>
      <c r="D253" s="20"/>
      <c r="E253" s="20"/>
      <c r="I253" s="2"/>
      <c r="J253" s="9"/>
    </row>
    <row r="254" spans="1:10" ht="22.5" customHeight="1">
      <c r="A254" s="17" t="s">
        <v>458</v>
      </c>
      <c r="C254" s="18" t="s">
        <v>458</v>
      </c>
      <c r="D254" s="7"/>
      <c r="E254" s="7"/>
      <c r="I254" s="2"/>
      <c r="J254" s="9"/>
    </row>
    <row r="255" spans="1:10" ht="22.5" customHeight="1">
      <c r="A255" s="7">
        <v>62</v>
      </c>
      <c r="B255" s="5" t="s">
        <v>459</v>
      </c>
      <c r="C255" s="19">
        <v>7500</v>
      </c>
      <c r="D255" s="20">
        <v>900</v>
      </c>
      <c r="E255" s="20" t="s">
        <v>162</v>
      </c>
      <c r="F255" s="8"/>
      <c r="G255" s="2" t="s">
        <v>460</v>
      </c>
      <c r="H255" s="4" t="s">
        <v>750</v>
      </c>
      <c r="I255" s="2" t="s">
        <v>193</v>
      </c>
      <c r="J255" s="9" t="s">
        <v>264</v>
      </c>
    </row>
    <row r="256" spans="1:10" ht="22.5" customHeight="1">
      <c r="A256" s="7">
        <v>62</v>
      </c>
      <c r="B256" s="5" t="s">
        <v>461</v>
      </c>
      <c r="C256" s="19">
        <v>7500</v>
      </c>
      <c r="D256" s="20">
        <v>900</v>
      </c>
      <c r="E256" s="20" t="s">
        <v>337</v>
      </c>
      <c r="F256" s="8"/>
      <c r="G256" s="2" t="s">
        <v>461</v>
      </c>
      <c r="I256" s="2" t="s">
        <v>193</v>
      </c>
      <c r="J256" s="9" t="s">
        <v>264</v>
      </c>
    </row>
    <row r="257" spans="1:256" ht="22.5" customHeight="1">
      <c r="A257" s="7">
        <v>63</v>
      </c>
      <c r="B257" s="5" t="s">
        <v>462</v>
      </c>
      <c r="C257" s="19">
        <v>7501</v>
      </c>
      <c r="D257" s="20">
        <v>900</v>
      </c>
      <c r="E257" s="20" t="s">
        <v>162</v>
      </c>
      <c r="F257" s="8"/>
      <c r="G257" s="2" t="s">
        <v>463</v>
      </c>
      <c r="H257" s="4" t="s">
        <v>751</v>
      </c>
      <c r="I257" s="2" t="s">
        <v>193</v>
      </c>
      <c r="J257" s="9" t="s">
        <v>264</v>
      </c>
    </row>
    <row r="258" spans="1:256" ht="22.5" customHeight="1">
      <c r="A258" s="7"/>
      <c r="B258" s="5" t="s">
        <v>464</v>
      </c>
      <c r="C258" s="6">
        <v>7501</v>
      </c>
      <c r="D258" s="20">
        <v>900</v>
      </c>
      <c r="E258" s="20" t="s">
        <v>236</v>
      </c>
      <c r="F258" s="8"/>
      <c r="G258" s="2" t="s">
        <v>464</v>
      </c>
      <c r="H258" s="4" t="s">
        <v>752</v>
      </c>
      <c r="I258" s="2" t="s">
        <v>193</v>
      </c>
      <c r="J258" s="9" t="s">
        <v>238</v>
      </c>
    </row>
    <row r="259" spans="1:256" ht="22.5" customHeight="1">
      <c r="A259" s="7">
        <v>80</v>
      </c>
      <c r="B259" s="5" t="s">
        <v>465</v>
      </c>
      <c r="C259" s="19">
        <v>7502</v>
      </c>
      <c r="D259" s="20">
        <v>900</v>
      </c>
      <c r="E259" s="20" t="s">
        <v>162</v>
      </c>
      <c r="F259" s="8"/>
      <c r="G259" s="2" t="s">
        <v>465</v>
      </c>
      <c r="H259" s="4" t="s">
        <v>753</v>
      </c>
      <c r="I259" s="2" t="s">
        <v>193</v>
      </c>
      <c r="J259" s="9" t="s">
        <v>264</v>
      </c>
    </row>
    <row r="260" spans="1:256" ht="22.5" customHeight="1">
      <c r="A260" s="7">
        <v>80</v>
      </c>
      <c r="B260" s="5" t="s">
        <v>466</v>
      </c>
      <c r="C260" s="19">
        <v>7502</v>
      </c>
      <c r="D260" s="20">
        <v>900</v>
      </c>
      <c r="E260" s="20" t="s">
        <v>337</v>
      </c>
      <c r="F260" s="8"/>
      <c r="G260" s="2" t="s">
        <v>466</v>
      </c>
      <c r="I260" s="2" t="s">
        <v>193</v>
      </c>
      <c r="J260" s="9" t="s">
        <v>264</v>
      </c>
    </row>
    <row r="261" spans="1:256" ht="22.5" customHeight="1">
      <c r="A261" s="7"/>
      <c r="D261" s="20"/>
      <c r="E261" s="20"/>
      <c r="I261" s="2"/>
      <c r="J261" s="9"/>
    </row>
    <row r="262" spans="1:256" ht="22.5" customHeight="1">
      <c r="A262" s="17" t="s">
        <v>467</v>
      </c>
      <c r="C262" s="18" t="s">
        <v>467</v>
      </c>
      <c r="D262" s="7"/>
      <c r="E262" s="7"/>
      <c r="I262" s="2"/>
      <c r="J262" s="9"/>
    </row>
    <row r="263" spans="1:256" ht="22.5" customHeight="1">
      <c r="A263" s="7">
        <v>74</v>
      </c>
      <c r="B263" s="5" t="s">
        <v>468</v>
      </c>
      <c r="C263" s="19">
        <v>7600</v>
      </c>
      <c r="D263" s="20">
        <v>900</v>
      </c>
      <c r="E263" s="20" t="s">
        <v>162</v>
      </c>
      <c r="F263" s="8"/>
      <c r="G263" s="2" t="s">
        <v>469</v>
      </c>
      <c r="H263" s="4" t="s">
        <v>722</v>
      </c>
      <c r="I263" s="2" t="s">
        <v>193</v>
      </c>
      <c r="J263" s="9" t="s">
        <v>264</v>
      </c>
    </row>
    <row r="264" spans="1:256" ht="22.5" customHeight="1">
      <c r="A264" s="7">
        <v>123</v>
      </c>
      <c r="B264" s="5" t="s">
        <v>470</v>
      </c>
      <c r="C264" s="6">
        <v>7601</v>
      </c>
      <c r="D264" s="20">
        <v>900</v>
      </c>
      <c r="E264" s="20" t="s">
        <v>162</v>
      </c>
      <c r="F264" s="8"/>
      <c r="G264" s="2" t="s">
        <v>471</v>
      </c>
      <c r="H264" s="4" t="s">
        <v>723</v>
      </c>
      <c r="I264" s="2" t="s">
        <v>193</v>
      </c>
      <c r="J264" s="9" t="s">
        <v>264</v>
      </c>
    </row>
    <row r="265" spans="1:256" ht="22.5" customHeight="1">
      <c r="A265" s="7"/>
      <c r="D265" s="20"/>
      <c r="E265" s="20"/>
      <c r="I265" s="2"/>
      <c r="J265" s="9"/>
    </row>
    <row r="266" spans="1:256" ht="22.5" customHeight="1">
      <c r="A266" s="17" t="s">
        <v>472</v>
      </c>
      <c r="C266" s="18" t="s">
        <v>472</v>
      </c>
      <c r="D266" s="20"/>
      <c r="E266" s="20"/>
      <c r="I266" s="2"/>
      <c r="J266" s="9"/>
    </row>
    <row r="267" spans="1:256" ht="22.5" customHeight="1">
      <c r="A267" s="7"/>
      <c r="B267" s="5" t="s">
        <v>473</v>
      </c>
      <c r="C267" s="6">
        <v>7700</v>
      </c>
      <c r="D267" s="20">
        <v>900</v>
      </c>
      <c r="E267" s="20" t="s">
        <v>162</v>
      </c>
      <c r="G267" s="2" t="s">
        <v>473</v>
      </c>
      <c r="I267" s="2" t="s">
        <v>193</v>
      </c>
      <c r="J267" s="9" t="s">
        <v>264</v>
      </c>
    </row>
    <row r="268" spans="1:256" ht="22.5" customHeight="1">
      <c r="A268" s="7"/>
      <c r="D268" s="20"/>
      <c r="E268" s="20"/>
      <c r="I268" s="2"/>
      <c r="J268" s="9"/>
    </row>
    <row r="269" spans="1:256" ht="22.5" customHeight="1">
      <c r="A269" s="17" t="s">
        <v>474</v>
      </c>
      <c r="C269" s="18" t="s">
        <v>474</v>
      </c>
      <c r="D269" s="7"/>
      <c r="E269" s="7"/>
      <c r="I269" s="2"/>
      <c r="J269" s="9"/>
    </row>
    <row r="270" spans="1:256" ht="22.5" customHeight="1">
      <c r="B270" s="1" t="s">
        <v>475</v>
      </c>
      <c r="C270" s="19">
        <v>8900</v>
      </c>
      <c r="D270" s="20">
        <v>900</v>
      </c>
      <c r="E270" s="20" t="s">
        <v>162</v>
      </c>
      <c r="G270" s="1" t="s">
        <v>475</v>
      </c>
      <c r="I270" s="2" t="s">
        <v>193</v>
      </c>
      <c r="J270" s="9" t="s">
        <v>264</v>
      </c>
    </row>
    <row r="271" spans="1:256" ht="22.5" customHeight="1">
      <c r="A271" s="10"/>
      <c r="B271" s="10"/>
      <c r="D271" s="10"/>
      <c r="E271" s="10"/>
      <c r="F271" s="10"/>
      <c r="G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c r="CJ271" s="10"/>
      <c r="CK271" s="10"/>
      <c r="CL271" s="10"/>
      <c r="CM271" s="10"/>
      <c r="CN271" s="10"/>
      <c r="CO271" s="10"/>
      <c r="CP271" s="10"/>
      <c r="CQ271" s="10"/>
      <c r="CR271" s="10"/>
      <c r="CS271" s="10"/>
      <c r="CT271" s="10"/>
      <c r="CU271" s="10"/>
      <c r="CV271" s="10"/>
      <c r="CW271" s="10"/>
      <c r="CX271" s="10"/>
      <c r="CY271" s="10"/>
      <c r="CZ271" s="10"/>
      <c r="DA271" s="10"/>
      <c r="DB271" s="10"/>
      <c r="DC271" s="10"/>
      <c r="DD271" s="10"/>
      <c r="DE271" s="10"/>
      <c r="DF271" s="10"/>
      <c r="DG271" s="10"/>
      <c r="DH271" s="10"/>
      <c r="DI271" s="10"/>
      <c r="DJ271" s="10"/>
      <c r="DK271" s="10"/>
      <c r="DL271" s="10"/>
      <c r="DM271" s="10"/>
      <c r="DN271" s="10"/>
      <c r="DO271" s="10"/>
      <c r="DP271" s="10"/>
      <c r="DQ271" s="10"/>
      <c r="DR271" s="10"/>
      <c r="DS271" s="10"/>
      <c r="DT271" s="10"/>
      <c r="DU271" s="10"/>
      <c r="DV271" s="10"/>
      <c r="DW271" s="10"/>
      <c r="DX271" s="10"/>
      <c r="DY271" s="10"/>
      <c r="DZ271" s="10"/>
      <c r="EA271" s="10"/>
      <c r="EB271" s="10"/>
      <c r="EC271" s="10"/>
      <c r="ED271" s="10"/>
      <c r="EE271" s="10"/>
      <c r="EF271" s="10"/>
      <c r="EG271" s="10"/>
      <c r="EH271" s="10"/>
      <c r="EI271" s="10"/>
      <c r="EJ271" s="10"/>
      <c r="EK271" s="10"/>
      <c r="EL271" s="10"/>
      <c r="EM271" s="10"/>
      <c r="EN271" s="10"/>
      <c r="EO271" s="10"/>
      <c r="EP271" s="10"/>
      <c r="EQ271" s="10"/>
      <c r="ER271" s="10"/>
      <c r="ES271" s="10"/>
      <c r="ET271" s="10"/>
      <c r="EU271" s="10"/>
      <c r="EV271" s="10"/>
      <c r="EW271" s="10"/>
      <c r="EX271" s="10"/>
      <c r="EY271" s="10"/>
      <c r="EZ271" s="10"/>
      <c r="FA271" s="10"/>
      <c r="FB271" s="10"/>
      <c r="FC271" s="10"/>
      <c r="FD271" s="10"/>
      <c r="FE271" s="10"/>
      <c r="FF271" s="10"/>
      <c r="FG271" s="10"/>
      <c r="FH271" s="10"/>
      <c r="FI271" s="10"/>
      <c r="FJ271" s="10"/>
      <c r="FK271" s="10"/>
      <c r="FL271" s="10"/>
      <c r="FM271" s="10"/>
      <c r="FN271" s="10"/>
      <c r="FO271" s="10"/>
      <c r="FP271" s="10"/>
      <c r="FQ271" s="10"/>
      <c r="FR271" s="10"/>
      <c r="FS271" s="10"/>
      <c r="FT271" s="10"/>
      <c r="FU271" s="10"/>
      <c r="FV271" s="10"/>
      <c r="FW271" s="10"/>
      <c r="FX271" s="10"/>
      <c r="FY271" s="10"/>
      <c r="FZ271" s="10"/>
      <c r="GA271" s="10"/>
      <c r="GB271" s="10"/>
      <c r="GC271" s="10"/>
      <c r="GD271" s="10"/>
      <c r="GE271" s="10"/>
      <c r="GF271" s="10"/>
      <c r="GG271" s="10"/>
      <c r="GH271" s="10"/>
      <c r="GI271" s="10"/>
      <c r="GJ271" s="10"/>
      <c r="GK271" s="10"/>
      <c r="GL271" s="10"/>
      <c r="GM271" s="10"/>
      <c r="GN271" s="10"/>
      <c r="GO271" s="10"/>
      <c r="GP271" s="10"/>
      <c r="GQ271" s="10"/>
      <c r="GR271" s="10"/>
      <c r="GS271" s="10"/>
      <c r="GT271" s="10"/>
      <c r="GU271" s="10"/>
      <c r="GV271" s="10"/>
      <c r="GW271" s="10"/>
      <c r="GX271" s="10"/>
      <c r="GY271" s="10"/>
      <c r="GZ271" s="10"/>
      <c r="HA271" s="10"/>
      <c r="HB271" s="10"/>
      <c r="HC271" s="10"/>
      <c r="HD271" s="10"/>
      <c r="HE271" s="10"/>
      <c r="HF271" s="10"/>
      <c r="HG271" s="10"/>
      <c r="HH271" s="10"/>
      <c r="HI271" s="10"/>
      <c r="HJ271" s="10"/>
      <c r="HK271" s="10"/>
      <c r="HL271" s="10"/>
      <c r="HM271" s="10"/>
      <c r="HN271" s="10"/>
      <c r="HO271" s="10"/>
      <c r="HP271" s="10"/>
      <c r="HQ271" s="10"/>
      <c r="HR271" s="10"/>
      <c r="HS271" s="10"/>
      <c r="HT271" s="10"/>
      <c r="HU271" s="10"/>
      <c r="HV271" s="10"/>
      <c r="HW271" s="10"/>
      <c r="HX271" s="10"/>
      <c r="HY271" s="10"/>
      <c r="HZ271" s="10"/>
      <c r="IA271" s="10"/>
      <c r="IB271" s="10"/>
      <c r="IC271" s="10"/>
      <c r="ID271" s="10"/>
      <c r="IE271" s="10"/>
      <c r="IF271" s="10"/>
      <c r="IG271" s="10"/>
      <c r="IH271" s="10"/>
      <c r="II271" s="10"/>
      <c r="IJ271" s="10"/>
      <c r="IK271" s="10"/>
      <c r="IL271" s="10"/>
      <c r="IM271" s="10"/>
      <c r="IN271" s="10"/>
      <c r="IO271" s="10"/>
      <c r="IP271" s="10"/>
      <c r="IQ271" s="10"/>
      <c r="IR271" s="10"/>
      <c r="IS271" s="10"/>
      <c r="IT271" s="10"/>
      <c r="IU271" s="10"/>
      <c r="IV271" s="10"/>
    </row>
    <row r="272" spans="1:256" ht="22.5" customHeight="1">
      <c r="A272" s="17" t="s">
        <v>476</v>
      </c>
      <c r="C272" s="18" t="s">
        <v>476</v>
      </c>
      <c r="D272" s="7"/>
      <c r="E272" s="7"/>
      <c r="I272" s="2"/>
      <c r="J272" s="9"/>
    </row>
    <row r="273" spans="1:10" ht="22.5" customHeight="1">
      <c r="A273" s="7">
        <v>164</v>
      </c>
      <c r="B273" s="5" t="s">
        <v>477</v>
      </c>
      <c r="C273" s="19">
        <v>9999</v>
      </c>
      <c r="D273" s="20">
        <v>900</v>
      </c>
      <c r="E273" s="20" t="s">
        <v>151</v>
      </c>
      <c r="F273" s="8"/>
      <c r="G273" s="1" t="s">
        <v>478</v>
      </c>
      <c r="I273" s="2" t="s">
        <v>193</v>
      </c>
      <c r="J273" s="9" t="s">
        <v>154</v>
      </c>
    </row>
    <row r="274" spans="1:10">
      <c r="D274" s="7"/>
      <c r="E274" s="7"/>
      <c r="I274" s="2"/>
      <c r="J274" s="9"/>
    </row>
    <row r="275" spans="1:10">
      <c r="D275" s="7"/>
      <c r="E275" s="7"/>
      <c r="I275" s="2"/>
      <c r="J275" s="9"/>
    </row>
    <row r="276" spans="1:10">
      <c r="D276" s="7"/>
      <c r="E276" s="7"/>
      <c r="I276" s="2"/>
      <c r="J276" s="9"/>
    </row>
    <row r="277" spans="1:10">
      <c r="D277" s="7"/>
      <c r="E277" s="7"/>
      <c r="I277" s="2"/>
      <c r="J277" s="9"/>
    </row>
    <row r="278" spans="1:10">
      <c r="D278" s="7"/>
      <c r="E278" s="7"/>
      <c r="I278" s="2"/>
      <c r="J278" s="9"/>
    </row>
    <row r="279" spans="1:10">
      <c r="D279" s="7"/>
      <c r="E279" s="7"/>
      <c r="I279" s="2"/>
      <c r="J279" s="9"/>
    </row>
    <row r="280" spans="1:10">
      <c r="D280" s="7"/>
      <c r="E280" s="7"/>
      <c r="I280" s="2"/>
      <c r="J280" s="9"/>
    </row>
    <row r="281" spans="1:10">
      <c r="I281" s="2"/>
      <c r="J281" s="9"/>
    </row>
    <row r="282" spans="1:10">
      <c r="I282" s="2"/>
      <c r="J282" s="9"/>
    </row>
    <row r="283" spans="1:10">
      <c r="I283" s="2"/>
      <c r="J283" s="9"/>
    </row>
    <row r="284" spans="1:10">
      <c r="I284" s="2"/>
      <c r="J284" s="9"/>
    </row>
    <row r="285" spans="1:10">
      <c r="I285" s="2"/>
      <c r="J285" s="9"/>
    </row>
    <row r="286" spans="1:10">
      <c r="I286" s="2"/>
      <c r="J286" s="9"/>
    </row>
    <row r="287" spans="1:10">
      <c r="I287" s="2"/>
      <c r="J287" s="9"/>
    </row>
    <row r="288" spans="1:10">
      <c r="I288" s="2"/>
      <c r="J288" s="9"/>
    </row>
    <row r="289" spans="9:10">
      <c r="I289" s="2"/>
      <c r="J289" s="9"/>
    </row>
    <row r="290" spans="9:10">
      <c r="I290" s="2"/>
      <c r="J290" s="9"/>
    </row>
    <row r="291" spans="9:10">
      <c r="I291" s="2"/>
      <c r="J291" s="9"/>
    </row>
    <row r="292" spans="9:10">
      <c r="I292" s="2"/>
      <c r="J292" s="9"/>
    </row>
    <row r="293" spans="9:10">
      <c r="I293" s="2"/>
      <c r="J293" s="9"/>
    </row>
    <row r="294" spans="9:10">
      <c r="I294" s="2"/>
      <c r="J294" s="9"/>
    </row>
    <row r="295" spans="9:10">
      <c r="I295" s="2"/>
      <c r="J295" s="9"/>
    </row>
    <row r="296" spans="9:10">
      <c r="I296" s="2"/>
      <c r="J296" s="9"/>
    </row>
    <row r="297" spans="9:10">
      <c r="I297" s="2"/>
      <c r="J297" s="9"/>
    </row>
    <row r="298" spans="9:10">
      <c r="I298" s="2"/>
      <c r="J298" s="9"/>
    </row>
    <row r="299" spans="9:10">
      <c r="I299" s="2"/>
      <c r="J299" s="9"/>
    </row>
    <row r="300" spans="9:10">
      <c r="I300" s="2"/>
      <c r="J300" s="9"/>
    </row>
    <row r="301" spans="9:10">
      <c r="I301" s="2"/>
      <c r="J301" s="9"/>
    </row>
    <row r="302" spans="9:10">
      <c r="I302" s="2"/>
      <c r="J302" s="9"/>
    </row>
    <row r="303" spans="9:10">
      <c r="I303" s="2"/>
      <c r="J303" s="9"/>
    </row>
    <row r="304" spans="9:10">
      <c r="I304" s="2"/>
      <c r="J304" s="9"/>
    </row>
    <row r="305" spans="9:10">
      <c r="I305" s="2"/>
      <c r="J305" s="9"/>
    </row>
    <row r="306" spans="9:10">
      <c r="I306" s="2"/>
      <c r="J306" s="9"/>
    </row>
    <row r="307" spans="9:10">
      <c r="I307" s="2"/>
      <c r="J307" s="9"/>
    </row>
    <row r="308" spans="9:10">
      <c r="I308" s="2"/>
      <c r="J308" s="9"/>
    </row>
    <row r="309" spans="9:10">
      <c r="I309" s="2"/>
      <c r="J309" s="9"/>
    </row>
    <row r="310" spans="9:10">
      <c r="I310" s="2"/>
      <c r="J310" s="9"/>
    </row>
    <row r="311" spans="9:10">
      <c r="I311" s="2"/>
      <c r="J311" s="9"/>
    </row>
    <row r="312" spans="9:10">
      <c r="I312" s="2"/>
      <c r="J312" s="9"/>
    </row>
    <row r="313" spans="9:10">
      <c r="I313" s="2"/>
      <c r="J313" s="9"/>
    </row>
    <row r="314" spans="9:10">
      <c r="I314" s="2"/>
      <c r="J314" s="9"/>
    </row>
    <row r="315" spans="9:10">
      <c r="I315" s="2"/>
      <c r="J315" s="9"/>
    </row>
    <row r="316" spans="9:10">
      <c r="I316" s="2"/>
      <c r="J316" s="9"/>
    </row>
    <row r="317" spans="9:10">
      <c r="I317" s="2"/>
      <c r="J317" s="9"/>
    </row>
    <row r="318" spans="9:10">
      <c r="I318" s="2"/>
      <c r="J318" s="9"/>
    </row>
    <row r="319" spans="9:10">
      <c r="I319" s="2"/>
      <c r="J319" s="9"/>
    </row>
    <row r="320" spans="9:10">
      <c r="I320" s="2"/>
      <c r="J320" s="9"/>
    </row>
    <row r="321" spans="9:10">
      <c r="I321" s="2"/>
      <c r="J321" s="9"/>
    </row>
    <row r="322" spans="9:10">
      <c r="I322" s="2"/>
      <c r="J322" s="9"/>
    </row>
    <row r="323" spans="9:10">
      <c r="I323" s="2"/>
      <c r="J323" s="9"/>
    </row>
    <row r="324" spans="9:10">
      <c r="I324" s="2"/>
      <c r="J324" s="9"/>
    </row>
    <row r="325" spans="9:10">
      <c r="I325" s="2"/>
      <c r="J325" s="9"/>
    </row>
    <row r="326" spans="9:10">
      <c r="I326" s="2"/>
      <c r="J326" s="9"/>
    </row>
    <row r="327" spans="9:10">
      <c r="I327" s="2"/>
      <c r="J327" s="9"/>
    </row>
    <row r="328" spans="9:10">
      <c r="I328" s="2"/>
      <c r="J328" s="9"/>
    </row>
    <row r="329" spans="9:10">
      <c r="I329" s="2"/>
      <c r="J329" s="9"/>
    </row>
    <row r="330" spans="9:10">
      <c r="I330" s="2"/>
      <c r="J330" s="9"/>
    </row>
    <row r="331" spans="9:10">
      <c r="I331" s="2"/>
      <c r="J331" s="9"/>
    </row>
    <row r="332" spans="9:10">
      <c r="I332" s="2"/>
      <c r="J332" s="9"/>
    </row>
    <row r="333" spans="9:10">
      <c r="I333" s="2"/>
      <c r="J333" s="9"/>
    </row>
    <row r="334" spans="9:10">
      <c r="I334" s="2"/>
      <c r="J334" s="9"/>
    </row>
    <row r="335" spans="9:10">
      <c r="I335" s="2"/>
      <c r="J335" s="9"/>
    </row>
    <row r="336" spans="9:10">
      <c r="I336" s="2"/>
      <c r="J336" s="9"/>
    </row>
    <row r="337" spans="9:10">
      <c r="I337" s="2"/>
      <c r="J337" s="9"/>
    </row>
    <row r="338" spans="9:10">
      <c r="I338" s="2"/>
      <c r="J338" s="9"/>
    </row>
    <row r="339" spans="9:10">
      <c r="I339" s="2"/>
      <c r="J339" s="9"/>
    </row>
    <row r="340" spans="9:10">
      <c r="I340" s="2"/>
      <c r="J340" s="9"/>
    </row>
    <row r="341" spans="9:10">
      <c r="I341" s="2"/>
      <c r="J341" s="9"/>
    </row>
    <row r="342" spans="9:10">
      <c r="I342" s="2"/>
      <c r="J342" s="9"/>
    </row>
    <row r="343" spans="9:10">
      <c r="I343" s="2"/>
      <c r="J343" s="9"/>
    </row>
    <row r="344" spans="9:10">
      <c r="I344" s="2"/>
      <c r="J344" s="9"/>
    </row>
    <row r="345" spans="9:10">
      <c r="I345" s="2"/>
      <c r="J345" s="9"/>
    </row>
    <row r="346" spans="9:10">
      <c r="I346" s="2"/>
      <c r="J346" s="9"/>
    </row>
    <row r="347" spans="9:10">
      <c r="I347" s="2"/>
      <c r="J347" s="9"/>
    </row>
    <row r="348" spans="9:10">
      <c r="I348" s="2"/>
      <c r="J348" s="9"/>
    </row>
    <row r="349" spans="9:10">
      <c r="I349" s="2"/>
      <c r="J349" s="9"/>
    </row>
    <row r="350" spans="9:10">
      <c r="I350" s="2"/>
      <c r="J350" s="9"/>
    </row>
    <row r="351" spans="9:10">
      <c r="I351" s="2"/>
      <c r="J351" s="9"/>
    </row>
    <row r="352" spans="9:10">
      <c r="I352" s="2"/>
      <c r="J352" s="9"/>
    </row>
    <row r="353" spans="9:10">
      <c r="I353" s="2"/>
      <c r="J353" s="9"/>
    </row>
    <row r="354" spans="9:10">
      <c r="I354" s="2"/>
      <c r="J354" s="9"/>
    </row>
    <row r="355" spans="9:10">
      <c r="I355" s="2"/>
      <c r="J355" s="9"/>
    </row>
    <row r="356" spans="9:10">
      <c r="I356" s="2"/>
      <c r="J356" s="9"/>
    </row>
    <row r="357" spans="9:10">
      <c r="I357" s="2"/>
      <c r="J357" s="9"/>
    </row>
    <row r="358" spans="9:10">
      <c r="I358" s="2"/>
      <c r="J358" s="9"/>
    </row>
    <row r="359" spans="9:10">
      <c r="I359" s="2"/>
      <c r="J359" s="9"/>
    </row>
    <row r="360" spans="9:10">
      <c r="I360" s="2"/>
      <c r="J360" s="9"/>
    </row>
    <row r="361" spans="9:10">
      <c r="I361" s="2"/>
      <c r="J361" s="9"/>
    </row>
  </sheetData>
  <phoneticPr fontId="3" type="noConversion"/>
  <pageMargins left="0.78740157480314965" right="0.78740157480314965" top="0.98425196850393704" bottom="0.98425196850393704" header="0" footer="0"/>
  <pageSetup scale="39" fitToHeight="3"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tabColor indexed="51"/>
    <pageSetUpPr autoPageBreaks="0" fitToPage="1"/>
  </sheetPr>
  <dimension ref="A2:AH77"/>
  <sheetViews>
    <sheetView showGridLines="0" tabSelected="1" zoomScaleNormal="100" zoomScaleSheetLayoutView="100" workbookViewId="0">
      <pane xSplit="1" ySplit="7" topLeftCell="B8" activePane="bottomRight" state="frozen"/>
      <selection activeCell="A28" sqref="A28:K28"/>
      <selection pane="topRight" activeCell="A28" sqref="A28:K28"/>
      <selection pane="bottomLeft" activeCell="A28" sqref="A28:K28"/>
      <selection pane="bottomRight" activeCell="D30" sqref="D30"/>
    </sheetView>
  </sheetViews>
  <sheetFormatPr baseColWidth="10" defaultRowHeight="12.75"/>
  <cols>
    <col min="1" max="1" width="7.140625" style="104" bestFit="1" customWidth="1"/>
    <col min="2" max="2" width="13.140625" style="104" customWidth="1"/>
    <col min="3" max="3" width="27.28515625" style="104" customWidth="1"/>
    <col min="4" max="6" width="18.7109375" style="104" customWidth="1"/>
    <col min="7" max="7" width="27.28515625" style="104" customWidth="1"/>
    <col min="8" max="8" width="43.140625" style="104" customWidth="1"/>
    <col min="9" max="9" width="3.85546875" style="104" bestFit="1" customWidth="1"/>
    <col min="10" max="10" width="5.7109375" style="104" bestFit="1" customWidth="1"/>
    <col min="11" max="11" width="6.7109375" style="104" bestFit="1" customWidth="1"/>
    <col min="12" max="12" width="11.5703125" style="104" bestFit="1" customWidth="1"/>
    <col min="13" max="13" width="20" style="104" bestFit="1" customWidth="1"/>
    <col min="14" max="16384" width="11.42578125" style="104"/>
  </cols>
  <sheetData>
    <row r="2" spans="1:13" s="67" customFormat="1" ht="9.75" customHeight="1"/>
    <row r="3" spans="1:13" s="67" customFormat="1" ht="6" customHeight="1"/>
    <row r="4" spans="1:13" s="67" customFormat="1">
      <c r="A4" s="578" t="s">
        <v>107</v>
      </c>
    </row>
    <row r="5" spans="1:13" s="67" customFormat="1">
      <c r="A5" s="577"/>
      <c r="F5" s="246"/>
      <c r="G5" s="382" t="str">
        <f>IF($A$4="Español","Fecha de Cotización:","Date Prepared")</f>
        <v>Fecha de Cotización:</v>
      </c>
      <c r="H5" s="698">
        <f ca="1">TODAY()</f>
        <v>43054</v>
      </c>
    </row>
    <row r="6" spans="1:13" s="67" customFormat="1">
      <c r="A6" s="577"/>
      <c r="F6" s="245"/>
    </row>
    <row r="7" spans="1:13" s="162" customFormat="1" ht="11.25">
      <c r="A7" s="577"/>
      <c r="B7" s="731"/>
      <c r="C7" s="732"/>
      <c r="D7" s="732"/>
      <c r="E7" s="732"/>
      <c r="F7" s="732"/>
      <c r="G7" s="732"/>
      <c r="H7" s="733"/>
    </row>
    <row r="8" spans="1:13" s="67" customFormat="1" ht="3" customHeight="1"/>
    <row r="9" spans="1:13" s="67" customFormat="1">
      <c r="B9" s="68" t="str">
        <f>IF($A$4="Español","CLIENTE","CLIENT'S INFORMATION")</f>
        <v>CLIENTE</v>
      </c>
      <c r="F9" s="70" t="str">
        <f>IF($A$4="Español","INFORMACION DEL EVENTO","EVENT'S INFORMATION")</f>
        <v>INFORMACION DEL EVENTO</v>
      </c>
      <c r="G9" s="70"/>
      <c r="H9" s="106"/>
    </row>
    <row r="10" spans="1:13" s="67" customFormat="1" ht="15.75">
      <c r="B10" s="107" t="str">
        <f>IF($A$4="Español","Razón Social:","Company:")</f>
        <v>Razón Social:</v>
      </c>
      <c r="C10" s="720"/>
      <c r="D10" s="720"/>
      <c r="E10" s="720"/>
      <c r="F10" s="67" t="str">
        <f>IF($A$4="Español","Nombre:","Event Name:")</f>
        <v>Nombre:</v>
      </c>
      <c r="G10" s="721"/>
      <c r="H10" s="721"/>
    </row>
    <row r="11" spans="1:13" s="67" customFormat="1" ht="12.75" customHeight="1">
      <c r="B11" s="736" t="str">
        <f>IF($A$4="Español","Domicilio Fiscal:","Address:")</f>
        <v>Domicilio Fiscal:</v>
      </c>
      <c r="C11" s="735"/>
      <c r="D11" s="735"/>
      <c r="E11" s="735"/>
      <c r="F11" s="110" t="str">
        <f>IF($A$4="Español","Fecha de Montaje","Set up Date:")</f>
        <v>Fecha de Montaje</v>
      </c>
      <c r="G11" s="699"/>
      <c r="H11" s="266"/>
    </row>
    <row r="12" spans="1:13" s="67" customFormat="1" ht="12.75" customHeight="1">
      <c r="B12" s="736"/>
      <c r="C12" s="735"/>
      <c r="D12" s="735"/>
      <c r="E12" s="735"/>
      <c r="F12" s="110" t="str">
        <f>IF($A$4="Español","Hora de Montaje:","Set up Hour:")</f>
        <v>Hora de Montaje:</v>
      </c>
      <c r="G12" s="267"/>
      <c r="H12" s="266"/>
    </row>
    <row r="13" spans="1:13" s="67" customFormat="1">
      <c r="B13" s="108" t="str">
        <f>IF($A$4="Español","RFC:"," ")</f>
        <v>RFC:</v>
      </c>
      <c r="C13" s="243"/>
      <c r="D13" s="73"/>
      <c r="E13" s="73"/>
      <c r="F13" s="67" t="str">
        <f>IF($A$4="Español","Contacto en Sitio:","On Site Contact:")</f>
        <v>Contacto en Sitio:</v>
      </c>
      <c r="G13" s="111"/>
      <c r="H13" s="266"/>
    </row>
    <row r="14" spans="1:13" s="71" customFormat="1">
      <c r="B14" s="70" t="str">
        <f>IF($A$4="Español","CONTACTO DEL CLIENTE"," ")</f>
        <v>CONTACTO DEL CLIENTE</v>
      </c>
      <c r="C14" s="574"/>
      <c r="D14" s="67"/>
      <c r="E14" s="67"/>
      <c r="F14" s="113" t="str">
        <f>IF($A$4="Español","Celular:","Mobile:")</f>
        <v>Celular:</v>
      </c>
      <c r="G14" s="114"/>
      <c r="H14" s="268"/>
      <c r="I14" s="110"/>
    </row>
    <row r="15" spans="1:13" s="67" customFormat="1">
      <c r="B15" s="112" t="str">
        <f>IF($A$4="Español","Nombre:","Contact:")</f>
        <v>Nombre:</v>
      </c>
      <c r="C15" s="721"/>
      <c r="D15" s="721"/>
      <c r="F15" s="110" t="str">
        <f>IF($A$4="Español","Fecha de Inicio:","Start Event Date:")</f>
        <v>Fecha de Inicio:</v>
      </c>
      <c r="G15" s="699"/>
      <c r="H15" s="266"/>
      <c r="I15" s="115"/>
    </row>
    <row r="16" spans="1:13" s="67" customFormat="1">
      <c r="B16" s="112" t="str">
        <f>IF($A$4="Español","Puesto:","Position:")</f>
        <v>Puesto:</v>
      </c>
      <c r="C16" s="722"/>
      <c r="D16" s="722"/>
      <c r="E16" s="110"/>
      <c r="F16" s="67" t="str">
        <f>IF($A$4="Español","Hora de Inicio:","Start Event Hour:")</f>
        <v>Hora de Inicio:</v>
      </c>
      <c r="G16" s="267"/>
      <c r="H16" s="266"/>
      <c r="I16" s="116"/>
      <c r="K16" s="117"/>
      <c r="L16" s="118"/>
      <c r="M16" s="118"/>
    </row>
    <row r="17" spans="2:34" s="67" customFormat="1">
      <c r="B17" s="112" t="str">
        <f>IF($A$4="Español","Tel:","Phone:")</f>
        <v>Tel:</v>
      </c>
      <c r="C17" s="672"/>
      <c r="F17" s="110" t="str">
        <f>IF($A$4="Español","Fecha de Termino:","End Event Date:")</f>
        <v>Fecha de Termino:</v>
      </c>
      <c r="G17" s="699"/>
      <c r="H17" s="266"/>
      <c r="I17" s="116"/>
    </row>
    <row r="18" spans="2:34" s="67" customFormat="1">
      <c r="B18" s="112" t="s">
        <v>524</v>
      </c>
      <c r="C18" s="119"/>
      <c r="F18" s="67" t="str">
        <f>IF($A$4="Español","Hora de termino:","End Event Hour:")</f>
        <v>Hora de termino:</v>
      </c>
      <c r="G18" s="267"/>
      <c r="H18" s="266"/>
      <c r="I18" s="116"/>
    </row>
    <row r="19" spans="2:34" s="67" customFormat="1">
      <c r="B19" s="120" t="str">
        <f>IF($A$4="Español","Celular:","Mobile:")</f>
        <v>Celular:</v>
      </c>
      <c r="C19" s="676"/>
      <c r="F19" s="67" t="str">
        <f>IF($A$4="Español","Lugar:","Event Location:")</f>
        <v>Lugar:</v>
      </c>
      <c r="G19" s="722"/>
      <c r="H19" s="737"/>
    </row>
    <row r="20" spans="2:34" s="67" customFormat="1" ht="12.75" customHeight="1">
      <c r="B20" s="121" t="s">
        <v>523</v>
      </c>
      <c r="C20" s="114"/>
      <c r="F20" s="724" t="str">
        <f>IF($A$4="Español","Dirección:","Address:")</f>
        <v>Dirección:</v>
      </c>
      <c r="G20" s="738"/>
      <c r="H20" s="738"/>
    </row>
    <row r="21" spans="2:34" s="67" customFormat="1">
      <c r="B21" s="123" t="s">
        <v>108</v>
      </c>
      <c r="C21" s="723"/>
      <c r="D21" s="723"/>
      <c r="E21" s="281"/>
      <c r="F21" s="724"/>
      <c r="G21" s="738"/>
      <c r="H21" s="738"/>
    </row>
    <row r="22" spans="2:34" s="67" customFormat="1">
      <c r="B22" s="123"/>
      <c r="C22" s="575"/>
      <c r="F22" s="73" t="str">
        <f>IF($A$4="Español","Tipo de Moneda:","Currency:")</f>
        <v>Tipo de Moneda:</v>
      </c>
      <c r="G22" s="122"/>
      <c r="H22" s="483"/>
    </row>
    <row r="23" spans="2:34" s="67" customFormat="1">
      <c r="B23" s="124" t="str">
        <f>IF($A$4="Español","REPRESENTANTE DE VENTAS PSAV","PSAV SALES REPRESENTATIVE")</f>
        <v>REPRESENTANTE DE VENTAS PSAV</v>
      </c>
      <c r="F23" s="72" t="s">
        <v>637</v>
      </c>
      <c r="H23" s="482"/>
    </row>
    <row r="24" spans="2:34" s="67" customFormat="1">
      <c r="B24" s="121" t="str">
        <f>IF($A$4="Español","Nombre:","Name:")</f>
        <v>Nombre:</v>
      </c>
      <c r="C24" s="721"/>
      <c r="D24" s="721"/>
      <c r="F24" s="67" t="str">
        <f>IF($A$4="Español","Nombre:","Name:")</f>
        <v>Nombre:</v>
      </c>
      <c r="G24" s="721"/>
      <c r="H24" s="721"/>
    </row>
    <row r="25" spans="2:34" s="67" customFormat="1">
      <c r="B25" s="67" t="str">
        <f>IF($A$4="Español","Puesto:","Position:")</f>
        <v>Puesto:</v>
      </c>
      <c r="C25" s="114"/>
      <c r="F25" s="120" t="str">
        <f>IF($A$4="Español","Celular:","Mobile:")</f>
        <v>Celular:</v>
      </c>
      <c r="G25" s="679"/>
      <c r="H25" s="73"/>
    </row>
    <row r="26" spans="2:34" s="67" customFormat="1">
      <c r="B26" s="112" t="s">
        <v>108</v>
      </c>
      <c r="C26" s="723"/>
      <c r="D26" s="723"/>
      <c r="E26" s="285"/>
      <c r="F26" s="112" t="s">
        <v>108</v>
      </c>
      <c r="G26" s="723"/>
      <c r="H26" s="723"/>
    </row>
    <row r="27" spans="2:34" s="67" customFormat="1">
      <c r="B27" s="120" t="str">
        <f>IF($A$4="Español","Celular:","Mobile:")</f>
        <v>Celular:</v>
      </c>
      <c r="C27" s="114"/>
      <c r="F27" s="67" t="s">
        <v>633</v>
      </c>
      <c r="G27" s="109"/>
    </row>
    <row r="28" spans="2:34" s="69" customFormat="1">
      <c r="B28" s="717" t="str">
        <f>IF($A$4="Español","Resumen","Summary")</f>
        <v>Resumen</v>
      </c>
      <c r="C28" s="717"/>
      <c r="D28" s="717"/>
      <c r="E28" s="717"/>
      <c r="F28" s="717"/>
      <c r="G28" s="717"/>
      <c r="H28" s="717"/>
      <c r="I28" s="242"/>
    </row>
    <row r="29" spans="2:34" s="67" customFormat="1">
      <c r="B29" s="659" t="b">
        <f ca="1">IF(A4="Español",IF(G31&gt;0,"DESCUENTO"),IF(A4="Ingles",IF(G31&gt;0,"DISCOUNT")))</f>
        <v>0</v>
      </c>
      <c r="C29" s="74"/>
    </row>
    <row r="30" spans="2:34" s="67" customFormat="1">
      <c r="B30" s="660">
        <f ca="1">+'4a-Venta-Des.'!K19</f>
        <v>0</v>
      </c>
      <c r="C30" s="127" t="s">
        <v>851</v>
      </c>
      <c r="D30" s="536">
        <f ca="1">+'4b-Venta-Comisión'!F13</f>
        <v>0</v>
      </c>
      <c r="E30" s="270" t="str">
        <f ca="1">IF(D42='3-Item List'!G77,"","La cotización no Cuadra con el Item-List, verificar las categorias en la columna I")</f>
        <v/>
      </c>
      <c r="F30" s="270"/>
      <c r="G30" s="270"/>
      <c r="H30" s="270"/>
      <c r="M30" s="125"/>
      <c r="N30" s="125"/>
    </row>
    <row r="31" spans="2:34" s="67" customFormat="1">
      <c r="B31" s="576">
        <f ca="1">+'4a-Venta-Des.'!K20</f>
        <v>0</v>
      </c>
      <c r="C31" s="127" t="s">
        <v>852</v>
      </c>
      <c r="D31" s="536">
        <f ca="1">+'4b-Venta-Comisión'!F14</f>
        <v>0</v>
      </c>
      <c r="E31" s="128" t="b">
        <f ca="1">IF(A4="Español",IF(G31&gt;0,"DESCUENTO"),IF(A4="Ingles",IF(G31&gt;0,"DISCOUNT")))</f>
        <v>0</v>
      </c>
      <c r="F31" s="486"/>
      <c r="G31" s="254">
        <f ca="1">+'4a-Venta-Des.'!J34</f>
        <v>0</v>
      </c>
      <c r="H31" s="125"/>
      <c r="I31" s="130"/>
      <c r="J31" s="130"/>
      <c r="K31" s="130"/>
      <c r="L31" s="130"/>
      <c r="M31" s="131"/>
      <c r="N31" s="132"/>
      <c r="O31" s="133"/>
      <c r="P31" s="130"/>
      <c r="Q31" s="130"/>
      <c r="R31" s="130"/>
      <c r="S31" s="130"/>
      <c r="T31" s="130"/>
      <c r="U31" s="130"/>
      <c r="V31" s="130"/>
      <c r="W31" s="130"/>
      <c r="X31" s="130"/>
      <c r="Y31" s="130"/>
      <c r="Z31" s="130"/>
      <c r="AA31" s="130"/>
      <c r="AB31" s="130"/>
      <c r="AC31" s="130"/>
      <c r="AD31" s="130"/>
      <c r="AE31" s="130"/>
      <c r="AF31" s="130"/>
      <c r="AG31" s="130"/>
      <c r="AH31" s="130"/>
    </row>
    <row r="32" spans="2:34" s="67" customFormat="1">
      <c r="B32" s="576">
        <f ca="1">+'4a-Venta-Des.'!K21</f>
        <v>0</v>
      </c>
      <c r="C32" s="127" t="str">
        <f>IF($A$4="Español","Total ACCESORIOS","Total ACCESSORIES")</f>
        <v>Total ACCESORIOS</v>
      </c>
      <c r="D32" s="536">
        <f ca="1">+'4b-Venta-Comisión'!F15</f>
        <v>0</v>
      </c>
      <c r="E32" s="128"/>
      <c r="F32" s="129"/>
      <c r="G32" s="254"/>
      <c r="H32" s="125"/>
      <c r="I32" s="130"/>
      <c r="J32" s="130"/>
      <c r="K32" s="130"/>
      <c r="L32" s="130"/>
      <c r="M32" s="131"/>
      <c r="N32" s="132"/>
      <c r="O32" s="133"/>
      <c r="P32" s="130"/>
      <c r="Q32" s="130"/>
      <c r="R32" s="130"/>
      <c r="S32" s="130"/>
      <c r="T32" s="130"/>
      <c r="U32" s="130"/>
      <c r="V32" s="130"/>
      <c r="W32" s="130"/>
      <c r="X32" s="130"/>
      <c r="Y32" s="130"/>
      <c r="Z32" s="130"/>
      <c r="AA32" s="130"/>
      <c r="AB32" s="130"/>
      <c r="AC32" s="130"/>
      <c r="AD32" s="130"/>
      <c r="AE32" s="130"/>
      <c r="AF32" s="130"/>
      <c r="AG32" s="130"/>
      <c r="AH32" s="130"/>
    </row>
    <row r="33" spans="2:34" s="67" customFormat="1">
      <c r="B33" s="576">
        <f ca="1">+'4a-Venta-Des.'!K22</f>
        <v>0</v>
      </c>
      <c r="C33" s="127" t="str">
        <f>IF($A$4="Español","Total ILUMINACIÓN","Total LIGHTING")</f>
        <v>Total ILUMINACIÓN</v>
      </c>
      <c r="D33" s="536">
        <f ca="1">+'4b-Venta-Comisión'!F16</f>
        <v>0</v>
      </c>
      <c r="E33" s="128" t="s">
        <v>858</v>
      </c>
      <c r="F33" s="537"/>
      <c r="G33" s="253">
        <f ca="1">+D42-G31</f>
        <v>0</v>
      </c>
      <c r="H33" s="125"/>
      <c r="I33" s="130"/>
      <c r="J33" s="130"/>
      <c r="K33" s="130"/>
      <c r="L33" s="130"/>
      <c r="M33" s="131"/>
      <c r="N33" s="132"/>
      <c r="O33" s="133"/>
      <c r="P33" s="130"/>
      <c r="Q33" s="130"/>
      <c r="R33" s="130"/>
      <c r="S33" s="130"/>
      <c r="T33" s="130"/>
      <c r="U33" s="130"/>
      <c r="V33" s="130"/>
      <c r="W33" s="130"/>
      <c r="X33" s="130"/>
      <c r="Y33" s="130"/>
      <c r="Z33" s="130"/>
      <c r="AA33" s="130"/>
      <c r="AB33" s="130"/>
      <c r="AC33" s="130"/>
      <c r="AD33" s="130"/>
      <c r="AE33" s="130"/>
      <c r="AF33" s="130"/>
      <c r="AG33" s="130"/>
      <c r="AH33" s="130"/>
    </row>
    <row r="34" spans="2:34" s="67" customFormat="1">
      <c r="B34" s="576">
        <f ca="1">+'4a-Venta-Des.'!K23</f>
        <v>0</v>
      </c>
      <c r="C34" s="134" t="str">
        <f>IF($A$4="Español","Total VIDEO PRODUCCIÓN","Total VIDEO PRODUCTION")</f>
        <v>Total VIDEO PRODUCCIÓN</v>
      </c>
      <c r="D34" s="536">
        <f ca="1">+'4b-Venta-Comisión'!F17</f>
        <v>0</v>
      </c>
      <c r="E34" s="128"/>
      <c r="F34" s="129"/>
      <c r="G34" s="254"/>
      <c r="H34" s="125"/>
      <c r="I34" s="130"/>
      <c r="J34" s="130"/>
      <c r="K34" s="130"/>
      <c r="L34" s="130"/>
      <c r="M34" s="131"/>
      <c r="N34" s="132"/>
      <c r="O34" s="133"/>
      <c r="P34" s="130"/>
      <c r="Q34" s="130"/>
      <c r="R34" s="130"/>
      <c r="S34" s="130"/>
      <c r="T34" s="130"/>
      <c r="U34" s="130"/>
      <c r="V34" s="130"/>
      <c r="W34" s="130"/>
      <c r="X34" s="130"/>
      <c r="Y34" s="130"/>
      <c r="Z34" s="130"/>
      <c r="AA34" s="130"/>
      <c r="AB34" s="130"/>
      <c r="AC34" s="130"/>
      <c r="AD34" s="130"/>
      <c r="AE34" s="130"/>
      <c r="AF34" s="130"/>
      <c r="AG34" s="130"/>
      <c r="AH34" s="130"/>
    </row>
    <row r="35" spans="2:34" s="67" customFormat="1">
      <c r="B35" s="576">
        <f ca="1">+'4a-Venta-Des.'!K24</f>
        <v>0</v>
      </c>
      <c r="C35" s="134" t="str">
        <f>IF($A$4="Español","Total ESCENOGRAFÍA","Total SCENERY")</f>
        <v>Total ESCENOGRAFÍA</v>
      </c>
      <c r="D35" s="536">
        <f ca="1">+'4b-Venta-Comisión'!F18</f>
        <v>0</v>
      </c>
      <c r="E35" s="128" t="str">
        <f>IF($A$4="Español","% IVA","%-VAT")</f>
        <v>% IVA</v>
      </c>
      <c r="F35" s="126">
        <v>0.16</v>
      </c>
      <c r="G35" s="254">
        <f ca="1">IF(F35=0%,0,G33*F35)</f>
        <v>0</v>
      </c>
      <c r="H35" s="125"/>
      <c r="M35" s="135"/>
      <c r="N35" s="132"/>
      <c r="O35" s="136"/>
    </row>
    <row r="36" spans="2:34" s="67" customFormat="1">
      <c r="B36" s="576">
        <f ca="1">+'4a-Venta-Des.'!K25</f>
        <v>0</v>
      </c>
      <c r="C36" s="134" t="str">
        <f>IF($A$4="Español","Total COMPUTO","Total IT")</f>
        <v>Total COMPUTO</v>
      </c>
      <c r="D36" s="536">
        <f ca="1">+'4b-Venta-Comisión'!F19</f>
        <v>0</v>
      </c>
      <c r="E36" s="124"/>
      <c r="F36" s="537"/>
      <c r="G36" s="255"/>
      <c r="H36" s="125"/>
      <c r="M36" s="135"/>
      <c r="N36" s="132"/>
      <c r="O36" s="136"/>
    </row>
    <row r="37" spans="2:34" s="67" customFormat="1">
      <c r="B37" s="576">
        <f ca="1">+'4a-Venta-Des.'!K26</f>
        <v>0</v>
      </c>
      <c r="C37" s="134" t="str">
        <f>IF($A$4="Español","Total RIGGING EQUIPO","Total RIGGING EQUIPMENT")</f>
        <v>Total RIGGING EQUIPO</v>
      </c>
      <c r="D37" s="536">
        <f ca="1">+'4b-Venta-Comisión'!F20</f>
        <v>0</v>
      </c>
      <c r="E37" s="124"/>
      <c r="F37" s="537"/>
      <c r="G37" s="255"/>
      <c r="H37" s="125"/>
      <c r="M37" s="135"/>
      <c r="N37" s="132"/>
      <c r="O37" s="136"/>
    </row>
    <row r="38" spans="2:34" s="67" customFormat="1" ht="13.5" thickBot="1">
      <c r="B38" s="576">
        <f ca="1">+'4a-Venta-Des.'!K32</f>
        <v>0</v>
      </c>
      <c r="C38" s="134" t="str">
        <f>IF($A$4="Español","Total RIGGING M.O.","Total RIGGING LABOR")</f>
        <v>Total RIGGING M.O.</v>
      </c>
      <c r="D38" s="536">
        <f ca="1">+'4b-Venta-Comisión'!F26</f>
        <v>0</v>
      </c>
      <c r="E38" s="128" t="str">
        <f>IF($A$4="Español","TOTAL POR FACTURAR","TOTAL INVOICE")</f>
        <v>TOTAL POR FACTURAR</v>
      </c>
      <c r="F38" s="125"/>
      <c r="G38" s="538">
        <f ca="1">+G33+G35</f>
        <v>0</v>
      </c>
      <c r="H38" s="124">
        <f>G22</f>
        <v>0</v>
      </c>
      <c r="M38" s="135"/>
      <c r="N38" s="132"/>
      <c r="O38" s="136"/>
    </row>
    <row r="39" spans="2:34" s="67" customFormat="1" ht="13.5" thickTop="1">
      <c r="B39" s="668">
        <f ca="1">IF(D39=0,0,(+'4a-Venta-Des.'!J29+'4a-Venta-Des.'!J30+'4a-Venta-Des.'!J31+'4a-Venta-Des.'!J33)/D39)</f>
        <v>0</v>
      </c>
      <c r="C39" s="134" t="str">
        <f>IF($A$4="Español","Total MANO DE OBRA","Total LABOR")</f>
        <v>Total MANO DE OBRA</v>
      </c>
      <c r="D39" s="536">
        <f ca="1">SUM('4b-Venta-Comisión'!F23:F25,'4b-Venta-Comisión'!F27)</f>
        <v>0</v>
      </c>
      <c r="E39" s="124"/>
      <c r="F39" s="537"/>
      <c r="G39" s="271" t="str">
        <f>IF(H38=0,"Colocar Moneda en la Celda G22","")</f>
        <v>Colocar Moneda en la Celda G22</v>
      </c>
      <c r="H39" s="125"/>
      <c r="M39" s="135"/>
      <c r="N39" s="132"/>
      <c r="O39" s="136"/>
    </row>
    <row r="40" spans="2:34" s="67" customFormat="1">
      <c r="B40" s="576">
        <f ca="1">+'4a-Venta-Des.'!K27</f>
        <v>0</v>
      </c>
      <c r="C40" s="134" t="str">
        <f>IF($A$4="Español","Total GASTOS","Total EXPENSES")</f>
        <v>Total GASTOS</v>
      </c>
      <c r="D40" s="536">
        <f ca="1">+'4b-Venta-Comisión'!F21</f>
        <v>0</v>
      </c>
      <c r="E40" s="618" t="str">
        <f>IF(A4="Español",IF(G22="us dollars","TIPO DE CAMBIO",""))</f>
        <v/>
      </c>
      <c r="F40" s="619" t="b">
        <f>IF(A4="Ingles",IF(G22="us dollars","Exchange Rate",""))</f>
        <v>0</v>
      </c>
      <c r="G40" s="269"/>
      <c r="H40" s="125"/>
      <c r="I40" s="130"/>
      <c r="J40" s="130"/>
      <c r="K40" s="130"/>
      <c r="M40" s="135"/>
      <c r="N40" s="132"/>
      <c r="O40" s="136"/>
    </row>
    <row r="41" spans="2:34" s="67" customFormat="1">
      <c r="B41" s="576">
        <f ca="1">+'4a-Venta-Des.'!K28</f>
        <v>0</v>
      </c>
      <c r="C41" s="137" t="str">
        <f>IF($A$4="Español","Total OTROS","Total OTHERS")</f>
        <v>Total OTROS</v>
      </c>
      <c r="D41" s="536">
        <f ca="1">+'4b-Venta-Comisión'!F22</f>
        <v>0</v>
      </c>
      <c r="E41" s="125"/>
      <c r="F41" s="125"/>
      <c r="G41" s="125"/>
      <c r="H41" s="125"/>
      <c r="M41" s="135"/>
      <c r="N41" s="132"/>
      <c r="O41" s="136"/>
    </row>
    <row r="42" spans="2:34" s="67" customFormat="1">
      <c r="B42" s="576"/>
      <c r="C42" s="138" t="str">
        <f>IF($A$4="Español","Total COTIZADO","TOTAL ESTIMATE")</f>
        <v>Total COTIZADO</v>
      </c>
      <c r="D42" s="253">
        <f ca="1">SUM(D30:D41)</f>
        <v>0</v>
      </c>
      <c r="E42" s="618" t="b">
        <f>IF(A4="Español",IF(G22="US Dollars","TOTAL FACTURA PESOS MEXICANOS"),IF(A4="Ingles",IF(G22="US Dollars","TOTAL INVOICE MEXICAN PESOS")))</f>
        <v>0</v>
      </c>
      <c r="F42" s="125"/>
      <c r="G42" s="254">
        <f ca="1">+G38*G40</f>
        <v>0</v>
      </c>
      <c r="H42" s="537"/>
      <c r="M42" s="139"/>
      <c r="N42" s="132"/>
      <c r="O42" s="136"/>
    </row>
    <row r="43" spans="2:34" s="67" customFormat="1">
      <c r="B43" s="124" t="str">
        <f>IF($A$4="Español","Comentario:","Comment:")</f>
        <v>Comentario:</v>
      </c>
      <c r="C43" s="484"/>
      <c r="D43" s="484"/>
      <c r="E43" s="484"/>
      <c r="F43" s="484"/>
      <c r="G43" s="485">
        <f>IF(G22="us dollars",6,0)</f>
        <v>0</v>
      </c>
      <c r="H43" s="485" t="e">
        <f>+#REF!</f>
        <v>#REF!</v>
      </c>
      <c r="M43" s="125"/>
      <c r="N43" s="125"/>
    </row>
    <row r="44" spans="2:34" s="162" customFormat="1" ht="11.25">
      <c r="B44" s="725"/>
      <c r="C44" s="726"/>
      <c r="D44" s="726"/>
      <c r="E44" s="726"/>
      <c r="F44" s="726"/>
      <c r="G44" s="726"/>
      <c r="H44" s="727"/>
    </row>
    <row r="45" spans="2:34" s="162" customFormat="1" ht="11.25">
      <c r="B45" s="728"/>
      <c r="C45" s="729"/>
      <c r="D45" s="729"/>
      <c r="E45" s="729"/>
      <c r="F45" s="729"/>
      <c r="G45" s="729"/>
      <c r="H45" s="730"/>
    </row>
    <row r="46" spans="2:34" s="67" customFormat="1" ht="3.75" customHeight="1">
      <c r="B46" s="124"/>
      <c r="C46" s="140"/>
      <c r="M46" s="125"/>
      <c r="N46" s="125"/>
    </row>
    <row r="47" spans="2:34" s="162" customFormat="1" ht="3.75" customHeight="1">
      <c r="B47" s="734" t="str">
        <f>IF($A$4="español",CONCATENATE('8-Condicionantes'!A22),CONCATENATE('8-Condicionantes'!A33))</f>
        <v/>
      </c>
      <c r="C47" s="734"/>
      <c r="D47" s="734"/>
      <c r="E47" s="734"/>
      <c r="F47" s="734"/>
      <c r="G47" s="734"/>
      <c r="H47" s="734"/>
      <c r="M47" s="386"/>
      <c r="N47" s="386"/>
    </row>
    <row r="48" spans="2:34" s="162" customFormat="1">
      <c r="B48" s="719" t="s">
        <v>981</v>
      </c>
      <c r="C48" s="719"/>
      <c r="D48" s="719"/>
      <c r="E48" s="719"/>
      <c r="F48" s="719"/>
      <c r="G48" s="719"/>
      <c r="H48" s="719"/>
      <c r="M48" s="386"/>
      <c r="N48" s="386"/>
    </row>
    <row r="49" spans="1:14" s="257" customFormat="1" ht="64.5" customHeight="1">
      <c r="B49" s="719" t="str">
        <f>IF($A$4="español",CONCATENATE('8-Condicionantes'!A24),CONCATENATE('8-Condicionantes'!A35))</f>
        <v>1. La presente cotización, será un Contrato de Prestación de Servicios cuando sea aceptada, a través de una firma, por parte del CLIENTE, quien será la persona física o moral a quien está dirigida esta cotización y quien aparece al inicio de la misma, el cual firmará este documento en señal de aceptación, ya sea por parte de su Representante Legal o bien por parte de los factores o dependientes y quien declara que tiene capacidad para celebrar este documento, que su domicilio es el lugar al cual se remitió esta cotización. Presentation Services, S.A. de C.V.  R.F.C. PSE-931116-PLA, declara que es una sociedad Mexicana y que su representante tiene capacidad para firmar este documento a quien se le denominará PRESENTATION SERVICES con domicilio en Prolongación 5 de Mayo No. 25 Int 1, Col. Parque Industrial Naucalpan, Municipio Naucalpan de Juárez, Estado de México  C.P. 53489 en la Ciudad de México.  Los precios citados son por día. Cualquier cambio de objetivo, cambio de lugar de los equipos una vez instalados (Presentation Services no será responsable por retrazos generados por cambios) o gastos complementarios, causará una revisión al precio y plazos cotizados.</v>
      </c>
      <c r="C49" s="719"/>
      <c r="D49" s="719"/>
      <c r="E49" s="719"/>
      <c r="F49" s="719"/>
      <c r="G49" s="719"/>
      <c r="H49" s="719"/>
      <c r="I49" s="546"/>
      <c r="M49" s="159"/>
      <c r="N49" s="159"/>
    </row>
    <row r="50" spans="1:14" s="257" customFormat="1" ht="39.75" customHeight="1">
      <c r="B50" s="719" t="str">
        <f>IF($A$4="español",CONCATENATE('8-Condicionantes'!A25),CONCATENATE('8-Condicionantes'!A36))</f>
        <v xml:space="preserve">2. Este contrato sólo surtirá efectos, si se confirma esta cotización firmando de aceptado el cliente y además hace el pago del porcentaje indicado como anticipo, antes del día fijado como FECHA LIMITE DE PAGO, sin el pago del anticipo y firma de aceptado de este documento Presentation Services, S.A. de C.V., no tendrá ninguna obligación para prestar el servicio. El saldo deberá ser liquidado previo al inicio de la instalación. Sin el pago del saldo no se ejecutará esta cotización, los precios cotizados no incluyen I.V.A. En su caso cualquier saldo no pagado generará un 5% de interés por mora, calculados en forma mensual sobre saldos insolutos si no es pagado en el domicilio de PRESENTATION SERVICES. </v>
      </c>
      <c r="C50" s="719"/>
      <c r="D50" s="719"/>
      <c r="E50" s="719"/>
      <c r="F50" s="719"/>
      <c r="G50" s="719"/>
      <c r="H50" s="719"/>
      <c r="I50" s="546"/>
    </row>
    <row r="51" spans="1:14" s="257" customFormat="1">
      <c r="B51" s="719" t="str">
        <f>IF($A$4="español",CONCATENATE('8-Condicionantes'!A26),CONCATENATE('8-Condicionantes'!A37))</f>
        <v xml:space="preserve">3. Cualquier pago que se efectúe, deberá ser a favor de Presentation Services, S.A. de C.V. y deberá ser realizado en su domicilio. La mano de obra cotizada es una estimado, se ajustará y calculará al terminar el servicio cotizado. </v>
      </c>
      <c r="C51" s="719"/>
      <c r="D51" s="719"/>
      <c r="E51" s="719"/>
      <c r="F51" s="719"/>
      <c r="G51" s="719"/>
      <c r="H51" s="719"/>
      <c r="I51" s="546"/>
    </row>
    <row r="52" spans="1:14" s="257" customFormat="1">
      <c r="B52" s="719" t="str">
        <f>IF($A$4="español",CONCATENATE('8-Condicionantes'!A27),CONCATENATE('8-Condicionantes'!A38))</f>
        <v>4. El cliente tramitará y pagará, cualquier tipo de licencia o permiso, incluyendo aportación sindical. La hora técnico cotizada, se calculará y pagará por cada uno de los técnicos utilizados, por cada uno de ellos el cargo deberá de ser mínimo de cuatro horas.</v>
      </c>
      <c r="C52" s="719"/>
      <c r="D52" s="719"/>
      <c r="E52" s="719"/>
      <c r="F52" s="719"/>
      <c r="G52" s="719"/>
      <c r="H52" s="719"/>
      <c r="I52" s="546"/>
    </row>
    <row r="53" spans="1:14" s="257" customFormat="1" ht="30" customHeight="1">
      <c r="B53" s="719" t="str">
        <f>IF($A$4="español",CONCATENATE('8-Condicionantes'!A28),CONCATENATE('8-Condicionantes'!A39))</f>
        <v>5. En caso de fallas técnicas de algún equipo o parte de mismo, Presentation Services, S.A. de C.V., deducirá la parte proporcional de lo que no funcione y no será causa para que el cliente no efectué el pago total del evento o servicio. En caso de inconformidad el cliente deberá hacerlo por escrito al término del evento y si ésta no existe con acuse de recibo se entenderá que reunió la calidad contratada. Presentation Services, S.A. de C.V. no será responsable ante el caso fortuito o fuerza mayor.</v>
      </c>
      <c r="C53" s="719"/>
      <c r="D53" s="719"/>
      <c r="E53" s="719"/>
      <c r="F53" s="719"/>
      <c r="G53" s="719"/>
      <c r="H53" s="719"/>
      <c r="I53" s="546"/>
    </row>
    <row r="54" spans="1:14" s="257" customFormat="1" ht="69" customHeight="1">
      <c r="B54" s="719" t="str">
        <f>IF($A$4="español",CONCATENATE('8-Condicionantes'!A29),CONCATENATE('8-Condicionantes'!A40))</f>
        <v>6. En caso de cancelación, deberá hacerse por escrito con acuse de recibo con 48 horas hábiles de anticipación, toda cancelación realizada en ese término,  generará un cargo del 100% del total de la cotización. Independientemente de que el cliente pagará cualquier tipo de gasto económico que se haya realizado para cumplir con esta cotización, los cuales deberán ser debidamente comprobados al cliente. En caso de cancelación Presentation Services podrá utilizar los anticipos pagados por el Cliente para solventar estos gastos emitiendo la respectiva factura que ampare el monto establecido. Todo servicio o equipo adicional para el evento se documentará en hojas de cargo o miscelaneo que formará parte de este instrumento. El cliente será responsable del equipo cuando lo reciba y cuidará de su total integridad y seguridad. En caso de no reintegrarlo despues de terminado el servicio cotizado, generara un cobro proporcional por día de retraso. Se puede confirmar esta cotizacion vía fax, pero siempre en los terminos de estas condiciones.En caso de cancelación en escenografías, deberá hacerse por escrito con acuse de recibo con 7 días hábiles de anticipación. Toda cancelación realizada dentro de los 7 días anteriores a la fecha del evento,  generará un cargo del 100% del total de la cotización.</v>
      </c>
      <c r="C54" s="719"/>
      <c r="D54" s="719"/>
      <c r="E54" s="719"/>
      <c r="F54" s="719"/>
      <c r="G54" s="719"/>
      <c r="H54" s="719"/>
      <c r="I54" s="546"/>
    </row>
    <row r="55" spans="1:14" s="257" customFormat="1" ht="18" customHeight="1">
      <c r="B55" s="719" t="str">
        <f>IF($A$4="español",CONCATENATE('8-Condicionantes'!A30),CONCATENATE('8-Condicionantes'!A41))</f>
        <v>7. Las partes contratantes en caso de desacuerdo, se someten conforme a las leyes y tribunales de la Ciudad de México, Distrito Federal, renunciando al fuero presente o futuro que pudiere corresponderles en razón de su domicilio.</v>
      </c>
      <c r="C55" s="719"/>
      <c r="D55" s="719"/>
      <c r="E55" s="719"/>
      <c r="F55" s="719"/>
      <c r="G55" s="719"/>
      <c r="H55" s="719"/>
      <c r="I55" s="546"/>
    </row>
    <row r="56" spans="1:14" s="257" customFormat="1" ht="15.75" customHeight="1">
      <c r="B56" s="719" t="str">
        <f>IF($A$4="español",CONCATENATE('8-Condicionantes'!A31),CONCATENATE('8-Condicionantes'!A42))</f>
        <v>8. El pago del anticipo o firma de la cotización, es la confirmación del evento.</v>
      </c>
      <c r="C56" s="719"/>
      <c r="D56" s="719"/>
      <c r="E56" s="719"/>
      <c r="F56" s="719"/>
      <c r="G56" s="719"/>
      <c r="H56" s="719"/>
      <c r="I56" s="546"/>
    </row>
    <row r="57" spans="1:14" s="257" customFormat="1" ht="36.75" customHeight="1">
      <c r="B57" s="719" t="str">
        <f>IF($A$4="español",CONCATENATE('8-Condicionantes'!A32),CONCATENATE('8-Condicionantes'!A43))</f>
        <v>9. Autorizo irrevocable y exclusivamente, para todo el mundo y de forma perpetua y gratuita a PRESENTATION SERVICES S.A. DE C.V. y/o sus entidades relacionadas, a utilizar material, fotografías, videos, grabaciones, imagen, apariencia, voz, y/o cualquier otro dato semejante, en relación con la producción, montaje o exhibición del evento, en su totalidad o en parte, por cualquier método y medios de comunicación, sin aviso o compensación para el cliente.                                                                                                                               Acepto___________                      No Acepto___________</v>
      </c>
      <c r="C57" s="719"/>
      <c r="D57" s="719"/>
      <c r="E57" s="719"/>
      <c r="F57" s="719"/>
      <c r="G57" s="719"/>
      <c r="H57" s="719"/>
      <c r="I57" s="546"/>
    </row>
    <row r="58" spans="1:14" s="480" customFormat="1" ht="3.75" customHeight="1">
      <c r="A58" s="481"/>
      <c r="C58" s="481"/>
      <c r="D58" s="481"/>
      <c r="E58" s="481"/>
      <c r="F58" s="481"/>
      <c r="G58" s="481"/>
      <c r="H58" s="481"/>
    </row>
    <row r="59" spans="1:14" s="257" customFormat="1" ht="11.25">
      <c r="A59" s="481"/>
      <c r="B59" s="256" t="str">
        <f>IF($A$4="Español","POLITICA DE CANCELACION","CANCELLATION POLICY")</f>
        <v>POLITICA DE CANCELACION</v>
      </c>
      <c r="C59" s="256"/>
      <c r="D59" s="256"/>
      <c r="E59" s="256"/>
      <c r="F59" s="256"/>
      <c r="G59" s="256"/>
      <c r="H59" s="256"/>
      <c r="I59" s="218"/>
    </row>
    <row r="60" spans="1:14" ht="13.5">
      <c r="B60" s="142" t="str">
        <f>IF($A$4="Español","• Si la cancelación es recibida con menos de 48 horas antes del evento se cargará 100% del total.","• If cancellation is received less than 48 hours before the event, the full amount shall be charged.")</f>
        <v>• Si la cancelación es recibida con menos de 48 horas antes del evento se cargará 100% del total.</v>
      </c>
      <c r="C60" s="143"/>
      <c r="D60" s="143"/>
      <c r="E60" s="143"/>
      <c r="F60" s="492"/>
      <c r="G60" s="492"/>
      <c r="H60" s="457"/>
      <c r="I60" s="141"/>
    </row>
    <row r="61" spans="1:14">
      <c r="B61" s="144" t="str">
        <f>IF($A$4="Español","I.- Anticipo sobre el Precio total de esta cotización.","I.- Deposit Required:")</f>
        <v>I.- Anticipo sobre el Precio total de esta cotización.</v>
      </c>
      <c r="C61" s="547"/>
      <c r="D61" s="700">
        <v>1</v>
      </c>
      <c r="E61" s="549">
        <f ca="1">G38*D61</f>
        <v>0</v>
      </c>
      <c r="F61" s="550">
        <f>+G22</f>
        <v>0</v>
      </c>
      <c r="G61" s="551" t="str">
        <f>IF(D61&gt;=H64," ","El porcentaje de Anticipo debe ser del 50%")</f>
        <v xml:space="preserve"> </v>
      </c>
      <c r="H61" s="551"/>
      <c r="I61" s="141"/>
    </row>
    <row r="62" spans="1:14">
      <c r="B62" s="145" t="str">
        <f>IF($A$4="Español","II.- Fecha limite del pago del anticipo.","II.- Advanced Payment Deadline:")</f>
        <v>II.- Fecha limite del pago del anticipo.</v>
      </c>
      <c r="C62" s="547"/>
      <c r="D62" s="669"/>
      <c r="E62" s="552">
        <f ca="1">DAYS360(H5,G11)</f>
        <v>-42435</v>
      </c>
      <c r="F62" s="458" t="str">
        <f>IF($A$4="Español","Referencia CxC","Reference AR")</f>
        <v>Referencia CxC</v>
      </c>
      <c r="G62" s="553"/>
      <c r="H62" s="159"/>
      <c r="I62" s="141"/>
    </row>
    <row r="63" spans="1:14">
      <c r="B63" s="145" t="str">
        <f>IF($A$4="Español","III.- Fecha limite de liquidación.","III.- Settlement Deadline:")</f>
        <v>III.- Fecha limite de liquidación.</v>
      </c>
      <c r="C63" s="547"/>
      <c r="D63" s="669"/>
      <c r="E63" s="554">
        <f ca="1">+H5+15</f>
        <v>43069</v>
      </c>
      <c r="F63" s="458" t="str">
        <f>IF($A$4="Español","Medio de Cobro:","Method of Payment:")</f>
        <v>Medio de Cobro:</v>
      </c>
      <c r="G63" s="548" t="s">
        <v>6</v>
      </c>
      <c r="H63" s="159"/>
      <c r="I63" s="141"/>
    </row>
    <row r="64" spans="1:14">
      <c r="B64" s="144" t="str">
        <f>IF($A$4="Español","IV.- Vigencia de esta cotización al:","IV.- Validity of this quote to:")</f>
        <v>IV.- Vigencia de esta cotización al:</v>
      </c>
      <c r="C64" s="547"/>
      <c r="D64" s="669">
        <f ca="1">IF(E62&gt;=16,E63,(+G11-2))</f>
        <v>-2</v>
      </c>
      <c r="E64" s="555">
        <v>39448</v>
      </c>
      <c r="F64" s="458" t="str">
        <f>IF($A$4="Español","Nuevo Ingreso:","New Entry")</f>
        <v>Nuevo Ingreso:</v>
      </c>
      <c r="G64" s="556" t="s">
        <v>505</v>
      </c>
      <c r="H64" s="557">
        <f>IF(G64="SI",50%,0)</f>
        <v>0.5</v>
      </c>
      <c r="I64" s="141"/>
    </row>
    <row r="65" spans="2:9">
      <c r="B65" s="718" t="str">
        <f>IF(G64="SI","Para realizar el evento, es necesario cubrir el  50% de anticipo del total de la cotización.",IF(G64="yes","To make the event, it must cover 50% deposit of total quote",0))</f>
        <v>Para realizar el evento, es necesario cubrir el  50% de anticipo del total de la cotización.</v>
      </c>
      <c r="C65" s="718"/>
      <c r="D65" s="718"/>
      <c r="E65" s="718"/>
      <c r="F65" s="718"/>
      <c r="G65" s="718"/>
      <c r="H65" s="718"/>
      <c r="I65" s="148"/>
    </row>
    <row r="66" spans="2:9">
      <c r="B66" s="149" t="str">
        <f>IF($A$4="Español","Por politicas de PSAV, en cotizaciones mayores a 250,000.00 pesos es indispensable que la cotización sea firmada por el representante legal del Cliente y"," ")</f>
        <v>Por politicas de PSAV, en cotizaciones mayores a 250,000.00 pesos es indispensable que la cotización sea firmada por el representante legal del Cliente y</v>
      </c>
      <c r="C66" s="149"/>
      <c r="D66" s="149"/>
      <c r="E66" s="124"/>
      <c r="F66" s="149"/>
      <c r="G66" s="150"/>
      <c r="H66" s="147"/>
      <c r="I66" s="148"/>
    </row>
    <row r="67" spans="2:9">
      <c r="B67" s="149" t="str">
        <f>IF($A$4="Español","asegurar que se cuente con copía de su identificación oficial y poder notarial."," ")</f>
        <v>asegurar que se cuente con copía de su identificación oficial y poder notarial.</v>
      </c>
      <c r="C67" s="149"/>
      <c r="D67" s="149"/>
      <c r="E67" s="124"/>
      <c r="F67" s="149"/>
      <c r="G67" s="150"/>
      <c r="H67" s="147"/>
      <c r="I67" s="148"/>
    </row>
    <row r="68" spans="2:9">
      <c r="B68" s="149"/>
      <c r="C68" s="155" t="str">
        <f>IF($A$4="Español"," ","Acceptance Signature")</f>
        <v xml:space="preserve"> </v>
      </c>
      <c r="D68" s="149"/>
      <c r="E68" s="124"/>
      <c r="F68" s="149"/>
      <c r="G68" s="150"/>
      <c r="H68" s="147"/>
      <c r="I68" s="148"/>
    </row>
    <row r="69" spans="2:9">
      <c r="C69" s="151">
        <f>+C10</f>
        <v>0</v>
      </c>
      <c r="D69" s="149"/>
      <c r="E69" s="138"/>
      <c r="F69" s="138"/>
      <c r="G69" s="151" t="s">
        <v>509</v>
      </c>
      <c r="H69" s="138"/>
      <c r="I69" s="152"/>
    </row>
    <row r="70" spans="2:9" ht="6" customHeight="1">
      <c r="B70" s="138"/>
      <c r="C70" s="124"/>
      <c r="D70" s="124"/>
      <c r="E70" s="124"/>
      <c r="F70" s="124"/>
      <c r="G70" s="153"/>
      <c r="H70" s="153"/>
      <c r="I70" s="152"/>
    </row>
    <row r="71" spans="2:9" ht="6" customHeight="1">
      <c r="B71" s="138"/>
      <c r="C71" s="124"/>
      <c r="D71" s="124"/>
      <c r="E71" s="124"/>
      <c r="F71" s="124"/>
      <c r="G71" s="153"/>
      <c r="H71" s="153"/>
      <c r="I71" s="152"/>
    </row>
    <row r="72" spans="2:9" ht="6" customHeight="1">
      <c r="B72" s="138"/>
      <c r="C72" s="124"/>
      <c r="D72" s="124"/>
      <c r="E72" s="124"/>
      <c r="F72" s="124"/>
      <c r="G72" s="153"/>
      <c r="H72" s="153"/>
      <c r="I72" s="152"/>
    </row>
    <row r="73" spans="2:9">
      <c r="B73" s="127"/>
      <c r="C73" s="154"/>
      <c r="D73" s="149"/>
      <c r="E73" s="124"/>
      <c r="G73" s="154"/>
      <c r="H73" s="146"/>
      <c r="I73" s="152"/>
    </row>
    <row r="74" spans="2:9">
      <c r="B74" s="127"/>
      <c r="C74" s="155">
        <f>+C15</f>
        <v>0</v>
      </c>
      <c r="D74" s="127"/>
      <c r="E74" s="138"/>
      <c r="G74" s="247">
        <f>+C24</f>
        <v>0</v>
      </c>
      <c r="H74" s="127"/>
      <c r="I74" s="152"/>
    </row>
    <row r="75" spans="2:9">
      <c r="B75" s="127"/>
      <c r="C75" s="155">
        <f>+C16</f>
        <v>0</v>
      </c>
      <c r="D75" s="127"/>
      <c r="E75" s="138"/>
      <c r="G75" s="247">
        <f>+C25</f>
        <v>0</v>
      </c>
      <c r="H75" s="138"/>
      <c r="I75" s="156"/>
    </row>
    <row r="76" spans="2:9" ht="4.5" customHeight="1">
      <c r="B76" s="67"/>
      <c r="C76" s="67"/>
      <c r="D76" s="67"/>
      <c r="E76" s="67"/>
      <c r="F76" s="67"/>
      <c r="G76" s="67"/>
      <c r="H76" s="67"/>
    </row>
    <row r="77" spans="2:9" s="257" customFormat="1" ht="12.75" customHeight="1">
      <c r="B77" s="716" t="str">
        <f>IF($A$4="Español","Prolongación 5 de Mayo No. 25 Int 1, Col. Parque Industrial Naucalpan, Municipio Naucalpan de Juárez, Estado de México  C.P. 53489 en la Ciudad de México. , Tel: (55) 3000.8500,  www.psav.com","PSAV Mexico Corporate Office: Prolongación 5 de Mayo No. 25 Int 1, Col. Parque Industrial Naucalpan, Municipio Naucalpan de Juárez, Estado de México  C.P. 53489 México City, CP 11540, Phone +52 55 3000.8500,  www.psav.com")</f>
        <v>Prolongación 5 de Mayo No. 25 Int 1, Col. Parque Industrial Naucalpan, Municipio Naucalpan de Juárez, Estado de México  C.P. 53489 en la Ciudad de México. , Tel: (55) 3000.8500,  www.psav.com</v>
      </c>
      <c r="C77" s="716"/>
      <c r="D77" s="716"/>
      <c r="E77" s="716"/>
      <c r="F77" s="716"/>
      <c r="G77" s="716"/>
      <c r="H77" s="716"/>
    </row>
  </sheetData>
  <sheetProtection formatCells="0"/>
  <mergeCells count="30">
    <mergeCell ref="B7:H7"/>
    <mergeCell ref="B56:H56"/>
    <mergeCell ref="B47:H47"/>
    <mergeCell ref="B55:H55"/>
    <mergeCell ref="C11:E12"/>
    <mergeCell ref="B49:H49"/>
    <mergeCell ref="B50:H50"/>
    <mergeCell ref="B11:B12"/>
    <mergeCell ref="B51:H51"/>
    <mergeCell ref="B54:H54"/>
    <mergeCell ref="B52:H52"/>
    <mergeCell ref="B53:H53"/>
    <mergeCell ref="G10:H10"/>
    <mergeCell ref="G19:H19"/>
    <mergeCell ref="G20:H21"/>
    <mergeCell ref="B77:H77"/>
    <mergeCell ref="B28:H28"/>
    <mergeCell ref="B65:H65"/>
    <mergeCell ref="B57:H57"/>
    <mergeCell ref="C10:E10"/>
    <mergeCell ref="C15:D15"/>
    <mergeCell ref="C16:D16"/>
    <mergeCell ref="C21:D21"/>
    <mergeCell ref="F20:F21"/>
    <mergeCell ref="B48:H48"/>
    <mergeCell ref="B44:H45"/>
    <mergeCell ref="G24:H24"/>
    <mergeCell ref="G26:H26"/>
    <mergeCell ref="C24:D24"/>
    <mergeCell ref="C26:D26"/>
  </mergeCells>
  <phoneticPr fontId="3" type="noConversion"/>
  <conditionalFormatting sqref="D62 E61:F61 G31:G32 G34 G40 H38 B30:B41">
    <cfRule type="cellIs" dxfId="23" priority="1" stopIfTrue="1" operator="equal">
      <formula>0</formula>
    </cfRule>
  </conditionalFormatting>
  <conditionalFormatting sqref="D63:D64">
    <cfRule type="cellIs" dxfId="22" priority="2" stopIfTrue="1" operator="lessThan">
      <formula>$E$64</formula>
    </cfRule>
  </conditionalFormatting>
  <conditionalFormatting sqref="B65:H65">
    <cfRule type="cellIs" dxfId="21" priority="3" stopIfTrue="1" operator="equal">
      <formula>0</formula>
    </cfRule>
    <cfRule type="cellIs" dxfId="20" priority="4" stopIfTrue="1" operator="equal">
      <formula>"Para realizar el evento, es necesario cubrir el  50% de anticipo del total de la cotización."</formula>
    </cfRule>
  </conditionalFormatting>
  <conditionalFormatting sqref="G42">
    <cfRule type="cellIs" dxfId="19" priority="5" stopIfTrue="1" operator="equal">
      <formula>0</formula>
    </cfRule>
    <cfRule type="cellIs" dxfId="18" priority="6" stopIfTrue="1" operator="greaterThan">
      <formula>0</formula>
    </cfRule>
  </conditionalFormatting>
  <conditionalFormatting sqref="E31:F31 E40:F40 B29 E42">
    <cfRule type="cellIs" dxfId="17" priority="7" stopIfTrue="1" operator="equal">
      <formula>FALSE</formula>
    </cfRule>
  </conditionalFormatting>
  <printOptions horizontalCentered="1" verticalCentered="1"/>
  <pageMargins left="0" right="0" top="0" bottom="0" header="0" footer="0"/>
  <pageSetup scale="68"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4">
    <tabColor indexed="51"/>
    <pageSetUpPr autoPageBreaks="0"/>
  </sheetPr>
  <dimension ref="B1:BF79"/>
  <sheetViews>
    <sheetView showGridLines="0" topLeftCell="A10" zoomScale="85" zoomScaleNormal="70" zoomScaleSheetLayoutView="55" workbookViewId="0">
      <pane xSplit="1" ySplit="6" topLeftCell="B19" activePane="bottomRight" state="frozen"/>
      <selection activeCell="A28" sqref="A28:K28"/>
      <selection pane="topRight" activeCell="A28" sqref="A28:K28"/>
      <selection pane="bottomLeft" activeCell="A28" sqref="A28:K28"/>
      <selection pane="bottomRight" activeCell="C10" sqref="C10"/>
    </sheetView>
  </sheetViews>
  <sheetFormatPr baseColWidth="10" defaultRowHeight="12.75" outlineLevelRow="1" outlineLevelCol="1"/>
  <cols>
    <col min="1" max="1" width="0.7109375" style="30" customWidth="1"/>
    <col min="2" max="2" width="5.140625" style="843" customWidth="1"/>
    <col min="3" max="3" width="5.7109375" style="30" customWidth="1"/>
    <col min="4" max="4" width="5.85546875" style="30" customWidth="1"/>
    <col min="5" max="5" width="62.140625" style="30" customWidth="1"/>
    <col min="6" max="6" width="14.5703125" style="30" customWidth="1"/>
    <col min="7" max="7" width="16.7109375" style="30" customWidth="1"/>
    <col min="8" max="8" width="2.140625" style="26" customWidth="1"/>
    <col min="9" max="9" width="17.28515625" style="62" customWidth="1"/>
    <col min="10" max="10" width="1.42578125" style="63" customWidth="1"/>
    <col min="11" max="11" width="2.140625" style="26" customWidth="1"/>
    <col min="12" max="13" width="9.7109375" style="27" customWidth="1"/>
    <col min="14" max="14" width="1.42578125" style="31" customWidth="1"/>
    <col min="15" max="16" width="9.7109375" style="27" customWidth="1"/>
    <col min="17" max="17" width="1.42578125" style="31" customWidth="1"/>
    <col min="18" max="20" width="4.7109375" style="26" customWidth="1"/>
    <col min="21" max="21" width="5.28515625" style="27" customWidth="1"/>
    <col min="22" max="22" width="11.28515625" style="32" bestFit="1" customWidth="1"/>
    <col min="23" max="23" width="1.42578125" style="31" customWidth="1"/>
    <col min="24" max="25" width="6.7109375" style="26" customWidth="1"/>
    <col min="26" max="28" width="6.7109375" style="26" hidden="1" customWidth="1" outlineLevel="1"/>
    <col min="29" max="29" width="6.7109375" style="26" customWidth="1" collapsed="1"/>
    <col min="30" max="33" width="6.7109375" style="26" hidden="1" customWidth="1" outlineLevel="1"/>
    <col min="34" max="34" width="5.7109375" style="27" customWidth="1" collapsed="1"/>
    <col min="35" max="35" width="10.7109375" style="28" customWidth="1"/>
    <col min="36" max="36" width="1.42578125" style="31" customWidth="1"/>
    <col min="37" max="38" width="6.7109375" style="26" customWidth="1"/>
    <col min="39" max="41" width="6.7109375" style="26" customWidth="1" outlineLevel="1"/>
    <col min="42" max="42" width="6.7109375" style="26" customWidth="1"/>
    <col min="43" max="46" width="6.7109375" style="26" customWidth="1" outlineLevel="1"/>
    <col min="47" max="47" width="5.85546875" style="33" customWidth="1"/>
    <col min="48" max="48" width="10.5703125" style="28" customWidth="1"/>
    <col min="49" max="16384" width="11.42578125" style="30"/>
  </cols>
  <sheetData>
    <row r="1" spans="2:49" ht="14.25" customHeight="1">
      <c r="I1" s="30"/>
      <c r="J1" s="31"/>
    </row>
    <row r="2" spans="2:49" s="26" customFormat="1" ht="18.75" customHeight="1">
      <c r="B2" s="844"/>
      <c r="J2" s="31"/>
      <c r="N2" s="34"/>
      <c r="Q2" s="34"/>
      <c r="V2" s="35"/>
      <c r="W2" s="34"/>
      <c r="AI2" s="36"/>
      <c r="AJ2" s="34"/>
      <c r="AV2" s="36"/>
    </row>
    <row r="3" spans="2:49" s="26" customFormat="1" ht="18.75" customHeight="1">
      <c r="B3" s="844"/>
      <c r="G3" s="231"/>
      <c r="J3" s="31"/>
      <c r="N3" s="34"/>
      <c r="Q3" s="34"/>
      <c r="V3" s="35"/>
      <c r="W3" s="34"/>
      <c r="AI3" s="36"/>
      <c r="AJ3" s="34"/>
      <c r="AV3" s="36"/>
    </row>
    <row r="4" spans="2:49" s="26" customFormat="1" ht="18.75" customHeight="1">
      <c r="B4" s="844"/>
      <c r="G4" s="231"/>
      <c r="J4" s="31"/>
      <c r="N4" s="34"/>
      <c r="Q4" s="34"/>
      <c r="V4" s="35"/>
      <c r="W4" s="34"/>
      <c r="AI4" s="36"/>
      <c r="AJ4" s="34"/>
      <c r="AV4" s="36"/>
    </row>
    <row r="5" spans="2:49" s="26" customFormat="1">
      <c r="B5" s="844"/>
      <c r="G5" s="231"/>
      <c r="I5" s="37" t="str">
        <f>IF(M6=0,"","Existe error en el equipo faltante de la Columna N")</f>
        <v/>
      </c>
      <c r="J5" s="31"/>
      <c r="N5" s="34"/>
      <c r="Q5" s="34"/>
      <c r="V5" s="35"/>
      <c r="W5" s="34"/>
      <c r="AI5" s="36"/>
      <c r="AJ5" s="34"/>
      <c r="AV5" s="36"/>
    </row>
    <row r="6" spans="2:49" s="26" customFormat="1" ht="15.75" customHeight="1">
      <c r="B6" s="844"/>
      <c r="J6" s="31"/>
      <c r="M6" s="38">
        <f>SUM(M16:M77)</f>
        <v>0</v>
      </c>
      <c r="N6" s="34"/>
      <c r="Q6" s="34"/>
      <c r="V6" s="35"/>
      <c r="W6" s="34"/>
      <c r="AI6" s="36"/>
      <c r="AJ6" s="34"/>
      <c r="AV6" s="36"/>
    </row>
    <row r="7" spans="2:49" s="42" customFormat="1">
      <c r="B7" s="845"/>
      <c r="C7" s="39"/>
      <c r="D7" s="39"/>
      <c r="E7" s="39"/>
      <c r="F7" s="39"/>
      <c r="G7" s="39"/>
      <c r="H7" s="39"/>
      <c r="I7" s="26"/>
      <c r="J7" s="40"/>
      <c r="K7" s="39"/>
      <c r="L7" s="27"/>
      <c r="M7" s="27"/>
      <c r="N7" s="31"/>
      <c r="O7" s="27"/>
      <c r="P7" s="27"/>
      <c r="Q7" s="31"/>
      <c r="R7" s="26"/>
      <c r="S7" s="26"/>
      <c r="T7" s="26"/>
      <c r="U7" s="27"/>
      <c r="V7" s="32"/>
      <c r="W7" s="31"/>
      <c r="X7" s="26"/>
      <c r="Y7" s="26"/>
      <c r="Z7" s="26"/>
      <c r="AA7" s="26"/>
      <c r="AB7" s="26"/>
      <c r="AC7" s="26"/>
      <c r="AD7" s="26"/>
      <c r="AE7" s="26"/>
      <c r="AF7" s="26"/>
      <c r="AG7" s="26"/>
      <c r="AH7" s="27"/>
      <c r="AI7" s="28"/>
      <c r="AJ7" s="31"/>
      <c r="AK7" s="26"/>
      <c r="AL7" s="26"/>
      <c r="AM7" s="26"/>
      <c r="AN7" s="26"/>
      <c r="AO7" s="26"/>
      <c r="AP7" s="26"/>
      <c r="AQ7" s="26"/>
      <c r="AR7" s="26"/>
      <c r="AS7" s="26"/>
      <c r="AT7" s="26"/>
      <c r="AU7" s="41"/>
      <c r="AV7" s="28"/>
    </row>
    <row r="8" spans="2:49" s="26" customFormat="1" ht="22.5" customHeight="1">
      <c r="B8" s="760">
        <f>+'2-Cotización'!B7</f>
        <v>0</v>
      </c>
      <c r="C8" s="760"/>
      <c r="D8" s="760"/>
      <c r="E8" s="760"/>
      <c r="F8" s="760"/>
      <c r="G8" s="760"/>
      <c r="H8" s="43"/>
      <c r="I8" s="764" t="s">
        <v>873</v>
      </c>
      <c r="J8" s="40"/>
      <c r="K8" s="43"/>
      <c r="L8" s="753" t="s">
        <v>863</v>
      </c>
      <c r="M8" s="754"/>
      <c r="N8" s="222"/>
      <c r="O8" s="753" t="s">
        <v>868</v>
      </c>
      <c r="P8" s="754"/>
      <c r="Q8" s="222"/>
      <c r="R8" s="761" t="s">
        <v>877</v>
      </c>
      <c r="S8" s="762"/>
      <c r="T8" s="762"/>
      <c r="U8" s="762"/>
      <c r="V8" s="763"/>
      <c r="W8" s="222"/>
      <c r="X8" s="739" t="s">
        <v>608</v>
      </c>
      <c r="Y8" s="740"/>
      <c r="Z8" s="740"/>
      <c r="AA8" s="740"/>
      <c r="AB8" s="740"/>
      <c r="AC8" s="740"/>
      <c r="AD8" s="740"/>
      <c r="AE8" s="740"/>
      <c r="AF8" s="740"/>
      <c r="AG8" s="740"/>
      <c r="AH8" s="740"/>
      <c r="AI8" s="741"/>
      <c r="AJ8" s="222"/>
      <c r="AK8" s="739" t="s">
        <v>865</v>
      </c>
      <c r="AL8" s="740"/>
      <c r="AM8" s="740"/>
      <c r="AN8" s="740"/>
      <c r="AO8" s="740"/>
      <c r="AP8" s="740"/>
      <c r="AQ8" s="740"/>
      <c r="AR8" s="740"/>
      <c r="AS8" s="740"/>
      <c r="AT8" s="740"/>
      <c r="AU8" s="740"/>
      <c r="AV8" s="741"/>
    </row>
    <row r="9" spans="2:49" s="26" customFormat="1" ht="15.75" customHeight="1">
      <c r="B9" s="844"/>
      <c r="I9" s="765"/>
      <c r="J9" s="40"/>
      <c r="L9" s="755"/>
      <c r="M9" s="756"/>
      <c r="N9" s="223"/>
      <c r="O9" s="755"/>
      <c r="P9" s="756"/>
      <c r="Q9" s="223"/>
      <c r="R9" s="747" t="s">
        <v>617</v>
      </c>
      <c r="S9" s="747" t="s">
        <v>618</v>
      </c>
      <c r="T9" s="747" t="s">
        <v>619</v>
      </c>
      <c r="U9" s="749" t="s">
        <v>866</v>
      </c>
      <c r="V9" s="743" t="s">
        <v>867</v>
      </c>
      <c r="W9" s="223"/>
      <c r="X9" s="228"/>
      <c r="Y9" s="228"/>
      <c r="Z9" s="228"/>
      <c r="AA9" s="228"/>
      <c r="AB9" s="228"/>
      <c r="AC9" s="228"/>
      <c r="AD9" s="228"/>
      <c r="AE9" s="228"/>
      <c r="AF9" s="228"/>
      <c r="AG9" s="229"/>
      <c r="AH9" s="749" t="s">
        <v>866</v>
      </c>
      <c r="AI9" s="743" t="s">
        <v>867</v>
      </c>
      <c r="AJ9" s="223"/>
      <c r="AK9" s="745" t="s">
        <v>690</v>
      </c>
      <c r="AL9" s="745" t="s">
        <v>963</v>
      </c>
      <c r="AM9" s="745" t="s">
        <v>964</v>
      </c>
      <c r="AN9" s="745" t="s">
        <v>965</v>
      </c>
      <c r="AO9" s="745" t="s">
        <v>966</v>
      </c>
      <c r="AP9" s="745" t="s">
        <v>967</v>
      </c>
      <c r="AQ9" s="745" t="s">
        <v>968</v>
      </c>
      <c r="AR9" s="745" t="s">
        <v>969</v>
      </c>
      <c r="AS9" s="745" t="s">
        <v>970</v>
      </c>
      <c r="AT9" s="745" t="s">
        <v>971</v>
      </c>
      <c r="AU9" s="749" t="s">
        <v>866</v>
      </c>
      <c r="AV9" s="743" t="s">
        <v>867</v>
      </c>
    </row>
    <row r="10" spans="2:49" s="46" customFormat="1" ht="34.5" customHeight="1">
      <c r="B10" s="842" t="str">
        <f>IF(I12="español","CLAVE","KEY")</f>
        <v>CLAVE</v>
      </c>
      <c r="C10" s="219" t="str">
        <f>IF(I12="español","CANT","QTY")</f>
        <v>CANT</v>
      </c>
      <c r="D10" s="219" t="str">
        <f>IF(I12="español","DIAS","DAYS")</f>
        <v>DIAS</v>
      </c>
      <c r="E10" s="248" t="str">
        <f>IF(I12="español","DESCRIPCION","DESCRIPTION")</f>
        <v>DESCRIPCION</v>
      </c>
      <c r="F10" s="258" t="str">
        <f>IF(I12="español","PRECIO UNITARIO","UNITARY PRICE")</f>
        <v>PRECIO UNITARIO</v>
      </c>
      <c r="G10" s="220" t="s">
        <v>612</v>
      </c>
      <c r="H10" s="44"/>
      <c r="I10" s="221" t="s">
        <v>847</v>
      </c>
      <c r="J10" s="45"/>
      <c r="K10" s="44"/>
      <c r="L10" s="274" t="s">
        <v>634</v>
      </c>
      <c r="M10" s="274" t="s">
        <v>493</v>
      </c>
      <c r="N10" s="223"/>
      <c r="O10" s="274" t="s">
        <v>876</v>
      </c>
      <c r="P10" s="274" t="s">
        <v>867</v>
      </c>
      <c r="Q10" s="223"/>
      <c r="R10" s="748"/>
      <c r="S10" s="748"/>
      <c r="T10" s="748"/>
      <c r="U10" s="750"/>
      <c r="V10" s="744"/>
      <c r="W10" s="223">
        <v>7005</v>
      </c>
      <c r="X10" s="230" t="str">
        <f>IF(X9=0,"",VLOOKUP(X9,'9 - Locations'!$C$6:$K$274,6,0))</f>
        <v/>
      </c>
      <c r="Y10" s="230" t="str">
        <f>IF(Y9=0,"",VLOOKUP(Y9,'9 - Locations'!$C$6:$K$274,6,0))</f>
        <v/>
      </c>
      <c r="Z10" s="230" t="str">
        <f>IF(Z9=0,"",VLOOKUP(Z9,'9 - Locations'!$C$6:$K$274,6,0))</f>
        <v/>
      </c>
      <c r="AA10" s="230" t="str">
        <f>IF(AA9=0,"",VLOOKUP(AA9,'9 - Locations'!$C$6:$K$274,6,0))</f>
        <v/>
      </c>
      <c r="AB10" s="230" t="str">
        <f>IF(AB9=0,"",VLOOKUP(AB9,'9 - Locations'!$C$6:$K$274,6,0))</f>
        <v/>
      </c>
      <c r="AC10" s="230" t="str">
        <f>IF(AC9=0,"",VLOOKUP(AC9,'9 - Locations'!$C$6:$K$274,6,0))</f>
        <v/>
      </c>
      <c r="AD10" s="230" t="str">
        <f>IF(AD9=0,"",VLOOKUP(AD9,'9 - Locations'!$C$6:$K$274,6,0))</f>
        <v/>
      </c>
      <c r="AE10" s="230" t="str">
        <f>IF(AE9=0,"",VLOOKUP(AE9,'9 - Locations'!$C$6:$K$274,6,0))</f>
        <v/>
      </c>
      <c r="AF10" s="230" t="str">
        <f>IF(AF9=0,"",VLOOKUP(AF9,'9 - Locations'!$C$6:$K$274,6,0))</f>
        <v/>
      </c>
      <c r="AG10" s="230" t="str">
        <f>IF(AG9=0,"",VLOOKUP(AG9,'9 - Locations'!$C$6:$K$274,6,0))</f>
        <v/>
      </c>
      <c r="AH10" s="750"/>
      <c r="AI10" s="744"/>
      <c r="AJ10" s="223"/>
      <c r="AK10" s="746"/>
      <c r="AL10" s="746"/>
      <c r="AM10" s="746"/>
      <c r="AN10" s="746"/>
      <c r="AO10" s="746"/>
      <c r="AP10" s="746"/>
      <c r="AQ10" s="746"/>
      <c r="AR10" s="746"/>
      <c r="AS10" s="746"/>
      <c r="AT10" s="746"/>
      <c r="AU10" s="750"/>
      <c r="AV10" s="744"/>
    </row>
    <row r="11" spans="2:49" s="26" customFormat="1" ht="4.5" customHeight="1">
      <c r="B11" s="844"/>
      <c r="J11" s="40"/>
      <c r="N11" s="224"/>
      <c r="Q11" s="224"/>
      <c r="V11" s="35"/>
      <c r="W11" s="224"/>
      <c r="AI11" s="36"/>
      <c r="AJ11" s="224"/>
      <c r="AV11" s="36"/>
    </row>
    <row r="12" spans="2:49" s="48" customFormat="1" ht="15.75">
      <c r="B12" s="757" t="str">
        <f>IF(I12="español","RENTA DE EQUIPO Y SERVICIOS","AV EQUIPMENT AND SERVICES")</f>
        <v>RENTA DE EQUIPO Y SERVICIOS</v>
      </c>
      <c r="C12" s="758"/>
      <c r="D12" s="758"/>
      <c r="E12" s="758"/>
      <c r="F12" s="759"/>
      <c r="G12" s="50">
        <f>'2-Cotización'!G22</f>
        <v>0</v>
      </c>
      <c r="H12" s="47"/>
      <c r="I12" s="487" t="str">
        <f>+'2-Cotización'!A4</f>
        <v>Español</v>
      </c>
      <c r="J12" s="40"/>
      <c r="K12" s="47"/>
      <c r="L12" s="742" t="s">
        <v>872</v>
      </c>
      <c r="M12" s="742"/>
      <c r="N12" s="223"/>
      <c r="O12" s="742" t="s">
        <v>872</v>
      </c>
      <c r="P12" s="742"/>
      <c r="Q12" s="223"/>
      <c r="R12" s="26"/>
      <c r="S12" s="26"/>
      <c r="T12" s="26"/>
      <c r="U12" s="742" t="s">
        <v>872</v>
      </c>
      <c r="V12" s="742"/>
      <c r="W12" s="223"/>
      <c r="X12" s="26"/>
      <c r="Y12" s="26"/>
      <c r="Z12" s="26"/>
      <c r="AA12" s="26"/>
      <c r="AB12" s="26"/>
      <c r="AC12" s="26"/>
      <c r="AD12" s="26"/>
      <c r="AE12" s="26"/>
      <c r="AF12" s="26"/>
      <c r="AG12" s="26"/>
      <c r="AH12" s="742" t="s">
        <v>872</v>
      </c>
      <c r="AI12" s="742"/>
      <c r="AJ12" s="223"/>
      <c r="AK12" s="26"/>
      <c r="AL12" s="26"/>
      <c r="AM12" s="26"/>
      <c r="AN12" s="26"/>
      <c r="AO12" s="26"/>
      <c r="AP12" s="26"/>
      <c r="AQ12" s="26"/>
      <c r="AR12" s="26"/>
      <c r="AS12" s="26"/>
      <c r="AT12" s="26"/>
      <c r="AU12" s="742" t="s">
        <v>872</v>
      </c>
      <c r="AV12" s="742"/>
      <c r="AW12" s="26"/>
    </row>
    <row r="13" spans="2:49" s="26" customFormat="1" ht="3" customHeight="1">
      <c r="B13" s="844"/>
      <c r="J13" s="40"/>
      <c r="L13" s="742"/>
      <c r="M13" s="742"/>
      <c r="N13" s="225"/>
      <c r="O13" s="742"/>
      <c r="P13" s="742"/>
      <c r="Q13" s="225"/>
      <c r="R13" s="51"/>
      <c r="S13" s="51"/>
      <c r="T13" s="51"/>
      <c r="U13" s="742"/>
      <c r="V13" s="742"/>
      <c r="W13" s="225"/>
      <c r="X13" s="51"/>
      <c r="Y13" s="51"/>
      <c r="Z13" s="51"/>
      <c r="AA13" s="51"/>
      <c r="AB13" s="51"/>
      <c r="AC13" s="51"/>
      <c r="AD13" s="51"/>
      <c r="AE13" s="51"/>
      <c r="AF13" s="51"/>
      <c r="AG13" s="51"/>
      <c r="AH13" s="742"/>
      <c r="AI13" s="742"/>
      <c r="AJ13" s="225"/>
      <c r="AK13" s="51"/>
      <c r="AL13" s="51"/>
      <c r="AM13" s="51"/>
      <c r="AN13" s="51"/>
      <c r="AO13" s="51"/>
      <c r="AP13" s="51"/>
      <c r="AQ13" s="51"/>
      <c r="AR13" s="51"/>
      <c r="AS13" s="51"/>
      <c r="AT13" s="51"/>
      <c r="AU13" s="742"/>
      <c r="AV13" s="742"/>
      <c r="AW13" s="51"/>
    </row>
    <row r="14" spans="2:49" s="26" customFormat="1" ht="4.5" customHeight="1">
      <c r="B14" s="846"/>
      <c r="C14" s="49"/>
      <c r="D14" s="49"/>
      <c r="E14" s="49"/>
      <c r="F14" s="49"/>
      <c r="G14" s="49"/>
      <c r="H14" s="49"/>
      <c r="I14" s="49"/>
      <c r="J14" s="40"/>
      <c r="K14" s="49"/>
    </row>
    <row r="15" spans="2:49" ht="4.5" customHeight="1">
      <c r="B15" s="844"/>
      <c r="C15" s="26"/>
      <c r="D15" s="26"/>
      <c r="E15" s="26"/>
      <c r="F15" s="26"/>
      <c r="G15" s="26"/>
      <c r="I15" s="26"/>
      <c r="J15" s="40"/>
      <c r="N15" s="223"/>
      <c r="O15" s="26"/>
      <c r="Q15" s="223"/>
      <c r="W15" s="223"/>
      <c r="AJ15" s="223"/>
    </row>
    <row r="16" spans="2:49" ht="15.75" customHeight="1">
      <c r="B16" s="847" t="s">
        <v>979</v>
      </c>
      <c r="C16" s="683"/>
      <c r="D16" s="683"/>
      <c r="E16" s="684"/>
      <c r="F16" s="680"/>
      <c r="G16" s="689"/>
      <c r="H16" s="55"/>
      <c r="I16" s="316"/>
      <c r="J16" s="56"/>
      <c r="K16" s="55"/>
      <c r="L16" s="288">
        <f t="shared" ref="L16:L50" si="0">+C16*D16</f>
        <v>0</v>
      </c>
      <c r="M16" s="288">
        <f t="shared" ref="M16:M23" si="1">+L16-O16-U16-AH16-AU16</f>
        <v>0</v>
      </c>
      <c r="N16" s="226"/>
      <c r="O16" s="288">
        <f t="shared" ref="O16:O23" si="2">+L16-U16-AH16-AU16</f>
        <v>0</v>
      </c>
      <c r="P16" s="289">
        <f t="shared" ref="P16:P50" si="3">F16*O16</f>
        <v>0</v>
      </c>
      <c r="Q16" s="226"/>
      <c r="R16" s="277"/>
      <c r="S16" s="277"/>
      <c r="T16" s="277"/>
      <c r="U16" s="288">
        <f t="shared" ref="U16:U23" si="4">SUM(R16:T16)</f>
        <v>0</v>
      </c>
      <c r="V16" s="289">
        <f t="shared" ref="V16:V37" si="5">+$F16*U16</f>
        <v>0</v>
      </c>
      <c r="W16" s="226"/>
      <c r="X16" s="277"/>
      <c r="Y16" s="277"/>
      <c r="Z16" s="277"/>
      <c r="AA16" s="277"/>
      <c r="AB16" s="277"/>
      <c r="AC16" s="277"/>
      <c r="AD16" s="277"/>
      <c r="AE16" s="277"/>
      <c r="AF16" s="277"/>
      <c r="AG16" s="277"/>
      <c r="AH16" s="288">
        <f t="shared" ref="AH16:AH23" si="6">SUM(X16:AG16)</f>
        <v>0</v>
      </c>
      <c r="AI16" s="289">
        <f t="shared" ref="AI16:AI37" si="7">+$F16*AH16</f>
        <v>0</v>
      </c>
      <c r="AJ16" s="226"/>
      <c r="AK16" s="277"/>
      <c r="AL16" s="277"/>
      <c r="AM16" s="277"/>
      <c r="AN16" s="277"/>
      <c r="AO16" s="277"/>
      <c r="AP16" s="277"/>
      <c r="AQ16" s="277"/>
      <c r="AR16" s="277"/>
      <c r="AS16" s="277"/>
      <c r="AT16" s="277"/>
      <c r="AU16" s="288">
        <f t="shared" ref="AU16:AU23" si="8">SUM(AK16:AT16)</f>
        <v>0</v>
      </c>
      <c r="AV16" s="289">
        <f t="shared" ref="AV16:AV37" si="9">+$F16*AU16</f>
        <v>0</v>
      </c>
    </row>
    <row r="17" spans="2:48" ht="15.75" customHeight="1">
      <c r="B17" s="848" t="s">
        <v>980</v>
      </c>
      <c r="C17" s="685"/>
      <c r="D17" s="685"/>
      <c r="E17" s="686"/>
      <c r="F17" s="681"/>
      <c r="G17" s="675"/>
      <c r="H17" s="55"/>
      <c r="I17" s="316"/>
      <c r="J17" s="56"/>
      <c r="K17" s="55"/>
      <c r="L17" s="288">
        <f t="shared" si="0"/>
        <v>0</v>
      </c>
      <c r="M17" s="288">
        <f t="shared" si="1"/>
        <v>0</v>
      </c>
      <c r="N17" s="226"/>
      <c r="O17" s="288">
        <f t="shared" si="2"/>
        <v>0</v>
      </c>
      <c r="P17" s="289">
        <f t="shared" si="3"/>
        <v>0</v>
      </c>
      <c r="Q17" s="226"/>
      <c r="R17" s="277"/>
      <c r="S17" s="277"/>
      <c r="T17" s="277"/>
      <c r="U17" s="288">
        <f t="shared" si="4"/>
        <v>0</v>
      </c>
      <c r="V17" s="289">
        <f t="shared" si="5"/>
        <v>0</v>
      </c>
      <c r="W17" s="226"/>
      <c r="X17" s="277"/>
      <c r="Y17" s="277"/>
      <c r="Z17" s="277"/>
      <c r="AA17" s="277"/>
      <c r="AB17" s="277"/>
      <c r="AC17" s="277"/>
      <c r="AD17" s="277"/>
      <c r="AE17" s="277"/>
      <c r="AF17" s="277"/>
      <c r="AG17" s="277"/>
      <c r="AH17" s="288">
        <f t="shared" si="6"/>
        <v>0</v>
      </c>
      <c r="AI17" s="289">
        <f t="shared" si="7"/>
        <v>0</v>
      </c>
      <c r="AJ17" s="226"/>
      <c r="AK17" s="277"/>
      <c r="AL17" s="277"/>
      <c r="AM17" s="277"/>
      <c r="AN17" s="277"/>
      <c r="AO17" s="277"/>
      <c r="AP17" s="277"/>
      <c r="AQ17" s="277"/>
      <c r="AR17" s="277"/>
      <c r="AS17" s="277"/>
      <c r="AT17" s="277"/>
      <c r="AU17" s="288">
        <f t="shared" si="8"/>
        <v>0</v>
      </c>
      <c r="AV17" s="289">
        <f t="shared" si="9"/>
        <v>0</v>
      </c>
    </row>
    <row r="18" spans="2:48" ht="15.75" customHeight="1">
      <c r="B18" s="848" t="s">
        <v>700</v>
      </c>
      <c r="C18" s="685"/>
      <c r="D18" s="685"/>
      <c r="E18" s="686"/>
      <c r="F18" s="681"/>
      <c r="G18" s="675"/>
      <c r="H18" s="55"/>
      <c r="I18" s="316"/>
      <c r="J18" s="56"/>
      <c r="K18" s="55"/>
      <c r="L18" s="288">
        <f t="shared" si="0"/>
        <v>0</v>
      </c>
      <c r="M18" s="288">
        <f t="shared" si="1"/>
        <v>0</v>
      </c>
      <c r="N18" s="226"/>
      <c r="O18" s="288">
        <f t="shared" si="2"/>
        <v>0</v>
      </c>
      <c r="P18" s="289">
        <f t="shared" si="3"/>
        <v>0</v>
      </c>
      <c r="Q18" s="226"/>
      <c r="R18" s="277"/>
      <c r="S18" s="277"/>
      <c r="T18" s="277"/>
      <c r="U18" s="288">
        <f t="shared" si="4"/>
        <v>0</v>
      </c>
      <c r="V18" s="289">
        <f t="shared" si="5"/>
        <v>0</v>
      </c>
      <c r="W18" s="226"/>
      <c r="X18" s="277"/>
      <c r="Y18" s="277"/>
      <c r="Z18" s="277"/>
      <c r="AA18" s="277"/>
      <c r="AB18" s="277"/>
      <c r="AC18" s="277"/>
      <c r="AD18" s="277"/>
      <c r="AE18" s="277"/>
      <c r="AF18" s="277"/>
      <c r="AG18" s="277"/>
      <c r="AH18" s="288">
        <f t="shared" si="6"/>
        <v>0</v>
      </c>
      <c r="AI18" s="289">
        <f t="shared" si="7"/>
        <v>0</v>
      </c>
      <c r="AJ18" s="226"/>
      <c r="AK18" s="277"/>
      <c r="AL18" s="277"/>
      <c r="AM18" s="277"/>
      <c r="AN18" s="277"/>
      <c r="AO18" s="277"/>
      <c r="AP18" s="277"/>
      <c r="AQ18" s="277"/>
      <c r="AR18" s="277"/>
      <c r="AS18" s="277"/>
      <c r="AT18" s="277"/>
      <c r="AU18" s="288">
        <f t="shared" si="8"/>
        <v>0</v>
      </c>
      <c r="AV18" s="289">
        <f t="shared" si="9"/>
        <v>0</v>
      </c>
    </row>
    <row r="19" spans="2:48" ht="15.75" customHeight="1">
      <c r="B19" s="848" t="s">
        <v>276</v>
      </c>
      <c r="C19" s="685"/>
      <c r="D19" s="685"/>
      <c r="E19" s="687"/>
      <c r="F19" s="681"/>
      <c r="G19" s="675"/>
      <c r="H19" s="55"/>
      <c r="I19" s="316"/>
      <c r="J19" s="56"/>
      <c r="K19" s="55"/>
      <c r="L19" s="288">
        <f t="shared" si="0"/>
        <v>0</v>
      </c>
      <c r="M19" s="288">
        <f t="shared" si="1"/>
        <v>0</v>
      </c>
      <c r="N19" s="226"/>
      <c r="O19" s="288">
        <f t="shared" si="2"/>
        <v>0</v>
      </c>
      <c r="P19" s="289">
        <f t="shared" si="3"/>
        <v>0</v>
      </c>
      <c r="Q19" s="226"/>
      <c r="R19" s="277"/>
      <c r="S19" s="277"/>
      <c r="T19" s="277"/>
      <c r="U19" s="288">
        <f t="shared" si="4"/>
        <v>0</v>
      </c>
      <c r="V19" s="289">
        <f t="shared" si="5"/>
        <v>0</v>
      </c>
      <c r="W19" s="226"/>
      <c r="X19" s="277"/>
      <c r="Y19" s="277"/>
      <c r="Z19" s="277"/>
      <c r="AA19" s="277"/>
      <c r="AB19" s="277"/>
      <c r="AC19" s="277"/>
      <c r="AD19" s="277"/>
      <c r="AE19" s="277"/>
      <c r="AF19" s="277"/>
      <c r="AG19" s="277"/>
      <c r="AH19" s="288">
        <f t="shared" si="6"/>
        <v>0</v>
      </c>
      <c r="AI19" s="289">
        <f t="shared" si="7"/>
        <v>0</v>
      </c>
      <c r="AJ19" s="226"/>
      <c r="AK19" s="277"/>
      <c r="AL19" s="277"/>
      <c r="AM19" s="277"/>
      <c r="AN19" s="277"/>
      <c r="AO19" s="277"/>
      <c r="AP19" s="277"/>
      <c r="AQ19" s="277"/>
      <c r="AR19" s="277"/>
      <c r="AS19" s="277"/>
      <c r="AT19" s="277"/>
      <c r="AU19" s="288">
        <f t="shared" si="8"/>
        <v>0</v>
      </c>
      <c r="AV19" s="289">
        <f t="shared" si="9"/>
        <v>0</v>
      </c>
    </row>
    <row r="20" spans="2:48" ht="15.75" customHeight="1">
      <c r="B20" s="849" t="s">
        <v>703</v>
      </c>
      <c r="C20" s="688"/>
      <c r="D20" s="688"/>
      <c r="E20" s="690"/>
      <c r="F20" s="682"/>
      <c r="G20" s="691"/>
      <c r="H20" s="55"/>
      <c r="I20" s="316"/>
      <c r="J20" s="56"/>
      <c r="K20" s="55"/>
      <c r="L20" s="288">
        <f t="shared" si="0"/>
        <v>0</v>
      </c>
      <c r="M20" s="288">
        <f>+L20-O20-U20-AH20-AU20</f>
        <v>0</v>
      </c>
      <c r="N20" s="226"/>
      <c r="O20" s="288">
        <f>+L20-U20-AH20-AU20</f>
        <v>0</v>
      </c>
      <c r="P20" s="289">
        <f t="shared" si="3"/>
        <v>0</v>
      </c>
      <c r="Q20" s="226"/>
      <c r="R20" s="277"/>
      <c r="S20" s="277"/>
      <c r="T20" s="277"/>
      <c r="U20" s="288">
        <f>SUM(R20:T20)</f>
        <v>0</v>
      </c>
      <c r="V20" s="289">
        <f>+$F20*U20</f>
        <v>0</v>
      </c>
      <c r="W20" s="226"/>
      <c r="X20" s="277"/>
      <c r="Y20" s="277"/>
      <c r="Z20" s="277"/>
      <c r="AA20" s="277"/>
      <c r="AB20" s="277"/>
      <c r="AC20" s="277"/>
      <c r="AD20" s="277"/>
      <c r="AE20" s="277"/>
      <c r="AF20" s="277"/>
      <c r="AG20" s="277"/>
      <c r="AH20" s="288">
        <f>SUM(X20:AG20)</f>
        <v>0</v>
      </c>
      <c r="AI20" s="289">
        <f>+$F20*AH20</f>
        <v>0</v>
      </c>
      <c r="AJ20" s="226"/>
      <c r="AK20" s="277"/>
      <c r="AL20" s="277"/>
      <c r="AM20" s="277"/>
      <c r="AN20" s="277"/>
      <c r="AO20" s="277"/>
      <c r="AP20" s="277"/>
      <c r="AQ20" s="277"/>
      <c r="AR20" s="277"/>
      <c r="AS20" s="277"/>
      <c r="AT20" s="277"/>
      <c r="AU20" s="288">
        <f>SUM(AK20:AT20)</f>
        <v>0</v>
      </c>
      <c r="AV20" s="289">
        <f>+$F20*AU20</f>
        <v>0</v>
      </c>
    </row>
    <row r="21" spans="2:48" ht="29.25" customHeight="1">
      <c r="B21" s="850"/>
      <c r="C21" s="53"/>
      <c r="D21" s="53"/>
      <c r="E21" s="54"/>
      <c r="F21" s="259"/>
      <c r="G21" s="479">
        <f t="shared" ref="G21:G27" si="10">+C21*D21*F21</f>
        <v>0</v>
      </c>
      <c r="H21" s="55"/>
      <c r="I21" s="316"/>
      <c r="J21" s="56"/>
      <c r="K21" s="55"/>
      <c r="L21" s="288">
        <f t="shared" si="0"/>
        <v>0</v>
      </c>
      <c r="M21" s="288">
        <f t="shared" si="1"/>
        <v>0</v>
      </c>
      <c r="N21" s="226"/>
      <c r="O21" s="288">
        <f t="shared" si="2"/>
        <v>0</v>
      </c>
      <c r="P21" s="289">
        <f t="shared" si="3"/>
        <v>0</v>
      </c>
      <c r="Q21" s="226"/>
      <c r="R21" s="277"/>
      <c r="S21" s="277"/>
      <c r="T21" s="277"/>
      <c r="U21" s="288">
        <f t="shared" si="4"/>
        <v>0</v>
      </c>
      <c r="V21" s="289">
        <f t="shared" si="5"/>
        <v>0</v>
      </c>
      <c r="W21" s="226"/>
      <c r="X21" s="277"/>
      <c r="Y21" s="277"/>
      <c r="Z21" s="277"/>
      <c r="AA21" s="277"/>
      <c r="AB21" s="277"/>
      <c r="AC21" s="277"/>
      <c r="AD21" s="277"/>
      <c r="AE21" s="277"/>
      <c r="AF21" s="277"/>
      <c r="AG21" s="277"/>
      <c r="AH21" s="288">
        <f t="shared" si="6"/>
        <v>0</v>
      </c>
      <c r="AI21" s="289">
        <f t="shared" si="7"/>
        <v>0</v>
      </c>
      <c r="AJ21" s="226"/>
      <c r="AK21" s="277"/>
      <c r="AL21" s="277"/>
      <c r="AM21" s="277"/>
      <c r="AN21" s="277"/>
      <c r="AO21" s="277"/>
      <c r="AP21" s="277"/>
      <c r="AQ21" s="277"/>
      <c r="AR21" s="277"/>
      <c r="AS21" s="277"/>
      <c r="AT21" s="277"/>
      <c r="AU21" s="288">
        <f t="shared" si="8"/>
        <v>0</v>
      </c>
      <c r="AV21" s="289">
        <f t="shared" si="9"/>
        <v>0</v>
      </c>
    </row>
    <row r="22" spans="2:48" ht="15.75" customHeight="1">
      <c r="B22" s="851"/>
      <c r="C22" s="52"/>
      <c r="D22" s="52"/>
      <c r="E22" s="673"/>
      <c r="F22" s="695"/>
      <c r="G22" s="479">
        <f t="shared" si="10"/>
        <v>0</v>
      </c>
      <c r="H22" s="55"/>
      <c r="I22" s="316"/>
      <c r="J22" s="56"/>
      <c r="K22" s="55"/>
      <c r="L22" s="288">
        <f t="shared" si="0"/>
        <v>0</v>
      </c>
      <c r="M22" s="288">
        <f t="shared" si="1"/>
        <v>0</v>
      </c>
      <c r="N22" s="226"/>
      <c r="O22" s="288">
        <f t="shared" si="2"/>
        <v>0</v>
      </c>
      <c r="P22" s="289">
        <f t="shared" si="3"/>
        <v>0</v>
      </c>
      <c r="Q22" s="226"/>
      <c r="R22" s="277"/>
      <c r="S22" s="277"/>
      <c r="T22" s="277"/>
      <c r="U22" s="288">
        <f t="shared" si="4"/>
        <v>0</v>
      </c>
      <c r="V22" s="289">
        <f t="shared" si="5"/>
        <v>0</v>
      </c>
      <c r="W22" s="226"/>
      <c r="X22" s="277"/>
      <c r="Y22" s="277"/>
      <c r="Z22" s="277"/>
      <c r="AA22" s="277"/>
      <c r="AB22" s="277"/>
      <c r="AC22" s="277"/>
      <c r="AD22" s="277"/>
      <c r="AE22" s="277"/>
      <c r="AF22" s="277"/>
      <c r="AG22" s="277"/>
      <c r="AH22" s="288">
        <f t="shared" si="6"/>
        <v>0</v>
      </c>
      <c r="AI22" s="289">
        <f t="shared" si="7"/>
        <v>0</v>
      </c>
      <c r="AJ22" s="226"/>
      <c r="AK22" s="277"/>
      <c r="AL22" s="277"/>
      <c r="AM22" s="277"/>
      <c r="AN22" s="277"/>
      <c r="AO22" s="277"/>
      <c r="AP22" s="277"/>
      <c r="AQ22" s="277"/>
      <c r="AR22" s="277"/>
      <c r="AS22" s="277"/>
      <c r="AT22" s="277"/>
      <c r="AU22" s="288">
        <f t="shared" si="8"/>
        <v>0</v>
      </c>
      <c r="AV22" s="289">
        <f t="shared" si="9"/>
        <v>0</v>
      </c>
    </row>
    <row r="23" spans="2:48" ht="17.25" customHeight="1">
      <c r="B23" s="851"/>
      <c r="C23" s="52"/>
      <c r="D23" s="52"/>
      <c r="E23" s="673"/>
      <c r="F23" s="695"/>
      <c r="G23" s="479">
        <f t="shared" si="10"/>
        <v>0</v>
      </c>
      <c r="H23" s="55"/>
      <c r="I23" s="316"/>
      <c r="J23" s="56"/>
      <c r="K23" s="55"/>
      <c r="L23" s="288">
        <f t="shared" si="0"/>
        <v>0</v>
      </c>
      <c r="M23" s="288">
        <f t="shared" si="1"/>
        <v>0</v>
      </c>
      <c r="N23" s="226"/>
      <c r="O23" s="288">
        <f t="shared" si="2"/>
        <v>0</v>
      </c>
      <c r="P23" s="289">
        <f t="shared" si="3"/>
        <v>0</v>
      </c>
      <c r="Q23" s="226"/>
      <c r="R23" s="277"/>
      <c r="S23" s="277"/>
      <c r="T23" s="277"/>
      <c r="U23" s="288">
        <f t="shared" si="4"/>
        <v>0</v>
      </c>
      <c r="V23" s="289">
        <f t="shared" si="5"/>
        <v>0</v>
      </c>
      <c r="W23" s="226"/>
      <c r="X23" s="277"/>
      <c r="Y23" s="277"/>
      <c r="Z23" s="277"/>
      <c r="AA23" s="277"/>
      <c r="AB23" s="277"/>
      <c r="AC23" s="277"/>
      <c r="AD23" s="277"/>
      <c r="AE23" s="277"/>
      <c r="AF23" s="277"/>
      <c r="AG23" s="277"/>
      <c r="AH23" s="288">
        <f t="shared" si="6"/>
        <v>0</v>
      </c>
      <c r="AI23" s="289">
        <f t="shared" si="7"/>
        <v>0</v>
      </c>
      <c r="AJ23" s="226"/>
      <c r="AK23" s="277"/>
      <c r="AL23" s="277"/>
      <c r="AM23" s="277"/>
      <c r="AN23" s="277"/>
      <c r="AO23" s="277"/>
      <c r="AP23" s="277"/>
      <c r="AQ23" s="277"/>
      <c r="AR23" s="277"/>
      <c r="AS23" s="277"/>
      <c r="AT23" s="277"/>
      <c r="AU23" s="288">
        <f t="shared" si="8"/>
        <v>0</v>
      </c>
      <c r="AV23" s="289">
        <f t="shared" si="9"/>
        <v>0</v>
      </c>
    </row>
    <row r="24" spans="2:48" ht="15.75" customHeight="1">
      <c r="B24" s="851"/>
      <c r="C24" s="53"/>
      <c r="D24" s="53"/>
      <c r="E24" s="674"/>
      <c r="F24" s="696"/>
      <c r="G24" s="479">
        <f t="shared" si="10"/>
        <v>0</v>
      </c>
      <c r="H24" s="55"/>
      <c r="I24" s="316"/>
      <c r="J24" s="56"/>
      <c r="K24" s="55"/>
      <c r="L24" s="288">
        <f t="shared" si="0"/>
        <v>0</v>
      </c>
      <c r="M24" s="288">
        <f t="shared" ref="M24:M37" si="11">+L24-O24-U24-AH24-AU24</f>
        <v>0</v>
      </c>
      <c r="N24" s="226"/>
      <c r="O24" s="288">
        <f t="shared" ref="O24:O37" si="12">+L24-U24-AH24-AU24</f>
        <v>0</v>
      </c>
      <c r="P24" s="289">
        <f t="shared" si="3"/>
        <v>0</v>
      </c>
      <c r="Q24" s="226"/>
      <c r="R24" s="277"/>
      <c r="S24" s="277"/>
      <c r="T24" s="277"/>
      <c r="U24" s="288">
        <f t="shared" ref="U24:U37" si="13">SUM(R24:T24)</f>
        <v>0</v>
      </c>
      <c r="V24" s="289">
        <f t="shared" si="5"/>
        <v>0</v>
      </c>
      <c r="W24" s="226"/>
      <c r="X24" s="277"/>
      <c r="Y24" s="277"/>
      <c r="Z24" s="277"/>
      <c r="AA24" s="277"/>
      <c r="AB24" s="277"/>
      <c r="AC24" s="277"/>
      <c r="AD24" s="277"/>
      <c r="AE24" s="277"/>
      <c r="AF24" s="277"/>
      <c r="AG24" s="277"/>
      <c r="AH24" s="288">
        <f t="shared" ref="AH24:AH37" si="14">SUM(X24:AG24)</f>
        <v>0</v>
      </c>
      <c r="AI24" s="289">
        <f t="shared" si="7"/>
        <v>0</v>
      </c>
      <c r="AJ24" s="226"/>
      <c r="AK24" s="277"/>
      <c r="AL24" s="277"/>
      <c r="AM24" s="277"/>
      <c r="AN24" s="277"/>
      <c r="AO24" s="277"/>
      <c r="AP24" s="277"/>
      <c r="AQ24" s="277"/>
      <c r="AR24" s="277"/>
      <c r="AS24" s="277"/>
      <c r="AT24" s="277"/>
      <c r="AU24" s="288">
        <f t="shared" ref="AU24:AU37" si="15">SUM(AK24:AT24)</f>
        <v>0</v>
      </c>
      <c r="AV24" s="289">
        <f t="shared" si="9"/>
        <v>0</v>
      </c>
    </row>
    <row r="25" spans="2:48" ht="15.75" customHeight="1">
      <c r="B25" s="851"/>
      <c r="C25" s="53"/>
      <c r="D25" s="53"/>
      <c r="E25" s="674"/>
      <c r="F25" s="696"/>
      <c r="G25" s="479">
        <f t="shared" si="10"/>
        <v>0</v>
      </c>
      <c r="H25" s="55"/>
      <c r="I25" s="316"/>
      <c r="J25" s="56"/>
      <c r="K25" s="55"/>
      <c r="L25" s="288">
        <f t="shared" si="0"/>
        <v>0</v>
      </c>
      <c r="M25" s="288">
        <f t="shared" si="11"/>
        <v>0</v>
      </c>
      <c r="N25" s="226"/>
      <c r="O25" s="288">
        <f t="shared" si="12"/>
        <v>0</v>
      </c>
      <c r="P25" s="289">
        <f t="shared" si="3"/>
        <v>0</v>
      </c>
      <c r="Q25" s="226"/>
      <c r="R25" s="277"/>
      <c r="S25" s="277"/>
      <c r="T25" s="277"/>
      <c r="U25" s="288">
        <f t="shared" si="13"/>
        <v>0</v>
      </c>
      <c r="V25" s="289">
        <f t="shared" si="5"/>
        <v>0</v>
      </c>
      <c r="W25" s="226"/>
      <c r="X25" s="277"/>
      <c r="Y25" s="277"/>
      <c r="Z25" s="277"/>
      <c r="AA25" s="277"/>
      <c r="AB25" s="277"/>
      <c r="AC25" s="277"/>
      <c r="AD25" s="277"/>
      <c r="AE25" s="277"/>
      <c r="AF25" s="277"/>
      <c r="AG25" s="277"/>
      <c r="AH25" s="288">
        <f t="shared" si="14"/>
        <v>0</v>
      </c>
      <c r="AI25" s="289">
        <f t="shared" si="7"/>
        <v>0</v>
      </c>
      <c r="AJ25" s="226"/>
      <c r="AK25" s="277"/>
      <c r="AL25" s="277"/>
      <c r="AM25" s="277"/>
      <c r="AN25" s="277"/>
      <c r="AO25" s="277"/>
      <c r="AP25" s="277"/>
      <c r="AQ25" s="277"/>
      <c r="AR25" s="277"/>
      <c r="AS25" s="277"/>
      <c r="AT25" s="277"/>
      <c r="AU25" s="288">
        <f t="shared" si="15"/>
        <v>0</v>
      </c>
      <c r="AV25" s="289">
        <f t="shared" si="9"/>
        <v>0</v>
      </c>
    </row>
    <row r="26" spans="2:48">
      <c r="B26" s="851"/>
      <c r="C26" s="53"/>
      <c r="D26" s="53"/>
      <c r="E26" s="693"/>
      <c r="F26" s="696"/>
      <c r="G26" s="479">
        <f t="shared" si="10"/>
        <v>0</v>
      </c>
      <c r="H26" s="55"/>
      <c r="I26" s="316"/>
      <c r="J26" s="56"/>
      <c r="K26" s="55"/>
      <c r="L26" s="288">
        <f t="shared" si="0"/>
        <v>0</v>
      </c>
      <c r="M26" s="288">
        <f t="shared" si="11"/>
        <v>0</v>
      </c>
      <c r="N26" s="226"/>
      <c r="O26" s="288">
        <f t="shared" si="12"/>
        <v>0</v>
      </c>
      <c r="P26" s="289">
        <f t="shared" si="3"/>
        <v>0</v>
      </c>
      <c r="Q26" s="226"/>
      <c r="R26" s="277"/>
      <c r="S26" s="277"/>
      <c r="T26" s="277"/>
      <c r="U26" s="288">
        <f t="shared" si="13"/>
        <v>0</v>
      </c>
      <c r="V26" s="289">
        <f t="shared" si="5"/>
        <v>0</v>
      </c>
      <c r="W26" s="226"/>
      <c r="X26" s="277"/>
      <c r="Y26" s="277"/>
      <c r="Z26" s="277"/>
      <c r="AA26" s="277"/>
      <c r="AB26" s="277"/>
      <c r="AC26" s="277"/>
      <c r="AD26" s="277"/>
      <c r="AE26" s="277"/>
      <c r="AF26" s="277"/>
      <c r="AG26" s="277"/>
      <c r="AH26" s="288">
        <f t="shared" si="14"/>
        <v>0</v>
      </c>
      <c r="AI26" s="289">
        <f t="shared" si="7"/>
        <v>0</v>
      </c>
      <c r="AJ26" s="226"/>
      <c r="AK26" s="277"/>
      <c r="AL26" s="277"/>
      <c r="AM26" s="277"/>
      <c r="AN26" s="277"/>
      <c r="AO26" s="277"/>
      <c r="AP26" s="277"/>
      <c r="AQ26" s="277"/>
      <c r="AR26" s="277"/>
      <c r="AS26" s="277"/>
      <c r="AT26" s="277"/>
      <c r="AU26" s="288">
        <f t="shared" si="15"/>
        <v>0</v>
      </c>
      <c r="AV26" s="289">
        <f t="shared" si="9"/>
        <v>0</v>
      </c>
    </row>
    <row r="27" spans="2:48">
      <c r="B27" s="851"/>
      <c r="C27" s="52"/>
      <c r="D27" s="52"/>
      <c r="E27" s="693"/>
      <c r="F27" s="695"/>
      <c r="G27" s="260">
        <f t="shared" si="10"/>
        <v>0</v>
      </c>
      <c r="H27" s="55"/>
      <c r="I27" s="316"/>
      <c r="J27" s="56"/>
      <c r="K27" s="55"/>
      <c r="L27" s="288">
        <f t="shared" si="0"/>
        <v>0</v>
      </c>
      <c r="M27" s="288">
        <f t="shared" si="11"/>
        <v>0</v>
      </c>
      <c r="N27" s="226"/>
      <c r="O27" s="288">
        <f t="shared" si="12"/>
        <v>0</v>
      </c>
      <c r="P27" s="289">
        <f t="shared" si="3"/>
        <v>0</v>
      </c>
      <c r="Q27" s="226"/>
      <c r="R27" s="277"/>
      <c r="S27" s="277"/>
      <c r="T27" s="277"/>
      <c r="U27" s="288">
        <f t="shared" si="13"/>
        <v>0</v>
      </c>
      <c r="V27" s="289">
        <f t="shared" si="5"/>
        <v>0</v>
      </c>
      <c r="W27" s="226"/>
      <c r="X27" s="277"/>
      <c r="Y27" s="277"/>
      <c r="Z27" s="277"/>
      <c r="AA27" s="277"/>
      <c r="AB27" s="277"/>
      <c r="AC27" s="277"/>
      <c r="AD27" s="277"/>
      <c r="AE27" s="277"/>
      <c r="AF27" s="277"/>
      <c r="AG27" s="277"/>
      <c r="AH27" s="288">
        <f t="shared" si="14"/>
        <v>0</v>
      </c>
      <c r="AI27" s="289">
        <f t="shared" si="7"/>
        <v>0</v>
      </c>
      <c r="AJ27" s="226"/>
      <c r="AK27" s="277"/>
      <c r="AL27" s="277"/>
      <c r="AM27" s="277"/>
      <c r="AN27" s="277"/>
      <c r="AO27" s="277"/>
      <c r="AP27" s="277"/>
      <c r="AQ27" s="277"/>
      <c r="AR27" s="277"/>
      <c r="AS27" s="277"/>
      <c r="AT27" s="277"/>
      <c r="AU27" s="288">
        <f t="shared" si="15"/>
        <v>0</v>
      </c>
      <c r="AV27" s="289">
        <f t="shared" si="9"/>
        <v>0</v>
      </c>
    </row>
    <row r="28" spans="2:48" ht="24" customHeight="1">
      <c r="B28" s="850"/>
      <c r="C28" s="53"/>
      <c r="D28" s="53"/>
      <c r="E28" s="54"/>
      <c r="F28" s="696"/>
      <c r="G28" s="479">
        <f t="shared" ref="G28:G34" si="16">+C28*D28*F28</f>
        <v>0</v>
      </c>
      <c r="H28" s="55"/>
      <c r="I28" s="316"/>
      <c r="J28" s="56"/>
      <c r="K28" s="55"/>
      <c r="L28" s="288">
        <f t="shared" si="0"/>
        <v>0</v>
      </c>
      <c r="M28" s="288">
        <f t="shared" si="11"/>
        <v>0</v>
      </c>
      <c r="N28" s="226"/>
      <c r="O28" s="288">
        <f t="shared" si="12"/>
        <v>0</v>
      </c>
      <c r="P28" s="289">
        <f t="shared" si="3"/>
        <v>0</v>
      </c>
      <c r="Q28" s="226"/>
      <c r="R28" s="277"/>
      <c r="S28" s="277"/>
      <c r="T28" s="277"/>
      <c r="U28" s="288">
        <f t="shared" si="13"/>
        <v>0</v>
      </c>
      <c r="V28" s="289">
        <f t="shared" ref="V28:V34" si="17">+$F28*U28</f>
        <v>0</v>
      </c>
      <c r="W28" s="226"/>
      <c r="X28" s="277"/>
      <c r="Y28" s="277"/>
      <c r="Z28" s="277"/>
      <c r="AA28" s="277"/>
      <c r="AB28" s="277"/>
      <c r="AC28" s="277"/>
      <c r="AD28" s="277"/>
      <c r="AE28" s="277"/>
      <c r="AF28" s="277"/>
      <c r="AG28" s="277"/>
      <c r="AH28" s="288">
        <f t="shared" si="14"/>
        <v>0</v>
      </c>
      <c r="AI28" s="289">
        <f t="shared" ref="AI28:AI34" si="18">+$F28*AH28</f>
        <v>0</v>
      </c>
      <c r="AJ28" s="226"/>
      <c r="AK28" s="277"/>
      <c r="AL28" s="277"/>
      <c r="AM28" s="277"/>
      <c r="AN28" s="277"/>
      <c r="AO28" s="277"/>
      <c r="AP28" s="277"/>
      <c r="AQ28" s="277"/>
      <c r="AR28" s="277"/>
      <c r="AS28" s="277"/>
      <c r="AT28" s="277"/>
      <c r="AU28" s="288">
        <f t="shared" si="15"/>
        <v>0</v>
      </c>
      <c r="AV28" s="289">
        <f t="shared" ref="AV28:AV34" si="19">+$F28*AU28</f>
        <v>0</v>
      </c>
    </row>
    <row r="29" spans="2:48" ht="15.75" customHeight="1">
      <c r="B29" s="851"/>
      <c r="C29" s="53"/>
      <c r="D29" s="53"/>
      <c r="E29" s="673"/>
      <c r="F29" s="696"/>
      <c r="G29" s="479">
        <f t="shared" si="16"/>
        <v>0</v>
      </c>
      <c r="H29" s="55"/>
      <c r="I29" s="316"/>
      <c r="J29" s="56"/>
      <c r="K29" s="55"/>
      <c r="L29" s="288">
        <f t="shared" si="0"/>
        <v>0</v>
      </c>
      <c r="M29" s="288">
        <f t="shared" si="11"/>
        <v>0</v>
      </c>
      <c r="N29" s="226"/>
      <c r="O29" s="288">
        <f t="shared" si="12"/>
        <v>0</v>
      </c>
      <c r="P29" s="289">
        <f t="shared" si="3"/>
        <v>0</v>
      </c>
      <c r="Q29" s="226"/>
      <c r="R29" s="277"/>
      <c r="S29" s="277"/>
      <c r="T29" s="277"/>
      <c r="U29" s="288">
        <f t="shared" si="13"/>
        <v>0</v>
      </c>
      <c r="V29" s="289">
        <f t="shared" si="17"/>
        <v>0</v>
      </c>
      <c r="W29" s="226"/>
      <c r="X29" s="277"/>
      <c r="Y29" s="277"/>
      <c r="Z29" s="277"/>
      <c r="AA29" s="277"/>
      <c r="AB29" s="277"/>
      <c r="AC29" s="277"/>
      <c r="AD29" s="277"/>
      <c r="AE29" s="277"/>
      <c r="AF29" s="277"/>
      <c r="AG29" s="277"/>
      <c r="AH29" s="288">
        <f t="shared" si="14"/>
        <v>0</v>
      </c>
      <c r="AI29" s="289">
        <f t="shared" si="18"/>
        <v>0</v>
      </c>
      <c r="AJ29" s="226"/>
      <c r="AK29" s="277"/>
      <c r="AL29" s="277"/>
      <c r="AM29" s="277"/>
      <c r="AN29" s="277"/>
      <c r="AO29" s="277"/>
      <c r="AP29" s="277"/>
      <c r="AQ29" s="277"/>
      <c r="AR29" s="277"/>
      <c r="AS29" s="277"/>
      <c r="AT29" s="277"/>
      <c r="AU29" s="288">
        <f t="shared" si="15"/>
        <v>0</v>
      </c>
      <c r="AV29" s="289">
        <f t="shared" si="19"/>
        <v>0</v>
      </c>
    </row>
    <row r="30" spans="2:48" ht="14.25" customHeight="1">
      <c r="B30" s="851"/>
      <c r="C30" s="53"/>
      <c r="D30" s="53"/>
      <c r="E30" s="674"/>
      <c r="F30" s="696"/>
      <c r="G30" s="479">
        <f t="shared" si="16"/>
        <v>0</v>
      </c>
      <c r="H30" s="55"/>
      <c r="I30" s="316"/>
      <c r="J30" s="56"/>
      <c r="K30" s="55"/>
      <c r="L30" s="288">
        <f t="shared" si="0"/>
        <v>0</v>
      </c>
      <c r="M30" s="288">
        <f t="shared" si="11"/>
        <v>0</v>
      </c>
      <c r="N30" s="226"/>
      <c r="O30" s="288">
        <f t="shared" si="12"/>
        <v>0</v>
      </c>
      <c r="P30" s="289">
        <f t="shared" si="3"/>
        <v>0</v>
      </c>
      <c r="Q30" s="226"/>
      <c r="R30" s="277"/>
      <c r="S30" s="277"/>
      <c r="T30" s="277"/>
      <c r="U30" s="288">
        <f t="shared" si="13"/>
        <v>0</v>
      </c>
      <c r="V30" s="289">
        <f t="shared" si="17"/>
        <v>0</v>
      </c>
      <c r="W30" s="226"/>
      <c r="X30" s="277"/>
      <c r="Y30" s="277"/>
      <c r="Z30" s="277"/>
      <c r="AA30" s="277"/>
      <c r="AB30" s="277"/>
      <c r="AC30" s="277"/>
      <c r="AD30" s="277"/>
      <c r="AE30" s="277"/>
      <c r="AF30" s="277"/>
      <c r="AG30" s="277"/>
      <c r="AH30" s="288">
        <f t="shared" si="14"/>
        <v>0</v>
      </c>
      <c r="AI30" s="289">
        <f t="shared" si="18"/>
        <v>0</v>
      </c>
      <c r="AJ30" s="226"/>
      <c r="AK30" s="277"/>
      <c r="AL30" s="277"/>
      <c r="AM30" s="277"/>
      <c r="AN30" s="277"/>
      <c r="AO30" s="277"/>
      <c r="AP30" s="277"/>
      <c r="AQ30" s="277"/>
      <c r="AR30" s="277"/>
      <c r="AS30" s="277"/>
      <c r="AT30" s="277"/>
      <c r="AU30" s="288">
        <f t="shared" si="15"/>
        <v>0</v>
      </c>
      <c r="AV30" s="289">
        <f t="shared" si="19"/>
        <v>0</v>
      </c>
    </row>
    <row r="31" spans="2:48" ht="15.75" customHeight="1">
      <c r="B31" s="851"/>
      <c r="C31" s="53"/>
      <c r="D31" s="53"/>
      <c r="E31" s="674"/>
      <c r="F31" s="696"/>
      <c r="G31" s="479">
        <f t="shared" si="16"/>
        <v>0</v>
      </c>
      <c r="H31" s="55"/>
      <c r="I31" s="316"/>
      <c r="J31" s="56"/>
      <c r="K31" s="55"/>
      <c r="L31" s="288">
        <f t="shared" si="0"/>
        <v>0</v>
      </c>
      <c r="M31" s="288">
        <f>+L31-O31-U31-AH31-AU31</f>
        <v>0</v>
      </c>
      <c r="N31" s="226"/>
      <c r="O31" s="288">
        <f>+L31-U31-AH31-AU31</f>
        <v>0</v>
      </c>
      <c r="P31" s="289">
        <f t="shared" si="3"/>
        <v>0</v>
      </c>
      <c r="Q31" s="226"/>
      <c r="R31" s="277"/>
      <c r="S31" s="277"/>
      <c r="T31" s="277"/>
      <c r="U31" s="288">
        <f>SUM(R31:T31)</f>
        <v>0</v>
      </c>
      <c r="V31" s="289">
        <f t="shared" si="17"/>
        <v>0</v>
      </c>
      <c r="W31" s="226"/>
      <c r="X31" s="277"/>
      <c r="Y31" s="277"/>
      <c r="Z31" s="277"/>
      <c r="AA31" s="277"/>
      <c r="AB31" s="277"/>
      <c r="AC31" s="277"/>
      <c r="AD31" s="277"/>
      <c r="AE31" s="277"/>
      <c r="AF31" s="277"/>
      <c r="AG31" s="277"/>
      <c r="AH31" s="288">
        <f>SUM(X31:AG31)</f>
        <v>0</v>
      </c>
      <c r="AI31" s="289">
        <f t="shared" si="18"/>
        <v>0</v>
      </c>
      <c r="AJ31" s="226"/>
      <c r="AK31" s="277"/>
      <c r="AL31" s="277"/>
      <c r="AM31" s="277"/>
      <c r="AN31" s="277"/>
      <c r="AO31" s="277"/>
      <c r="AP31" s="277"/>
      <c r="AQ31" s="277"/>
      <c r="AR31" s="277"/>
      <c r="AS31" s="277"/>
      <c r="AT31" s="277"/>
      <c r="AU31" s="288">
        <f>SUM(AK31:AT31)</f>
        <v>0</v>
      </c>
      <c r="AV31" s="289">
        <f t="shared" si="19"/>
        <v>0</v>
      </c>
    </row>
    <row r="32" spans="2:48" ht="15.75" customHeight="1">
      <c r="B32" s="851"/>
      <c r="C32" s="53"/>
      <c r="D32" s="53"/>
      <c r="E32" s="674"/>
      <c r="F32" s="696"/>
      <c r="G32" s="479">
        <f>+C32*D32*F32</f>
        <v>0</v>
      </c>
      <c r="H32" s="55"/>
      <c r="I32" s="316"/>
      <c r="J32" s="56"/>
      <c r="K32" s="55"/>
      <c r="L32" s="288">
        <f t="shared" si="0"/>
        <v>0</v>
      </c>
      <c r="M32" s="288">
        <f>+L32-O32-U32-AH32-AU32</f>
        <v>0</v>
      </c>
      <c r="N32" s="226"/>
      <c r="O32" s="288">
        <f>+L32-U32-AH32-AU32</f>
        <v>0</v>
      </c>
      <c r="P32" s="289">
        <f t="shared" si="3"/>
        <v>0</v>
      </c>
      <c r="Q32" s="226"/>
      <c r="R32" s="277"/>
      <c r="S32" s="277"/>
      <c r="T32" s="277"/>
      <c r="U32" s="288">
        <f>SUM(R32:T32)</f>
        <v>0</v>
      </c>
      <c r="V32" s="289">
        <f>+$F32*U32</f>
        <v>0</v>
      </c>
      <c r="W32" s="226"/>
      <c r="X32" s="277"/>
      <c r="Y32" s="277"/>
      <c r="Z32" s="277"/>
      <c r="AA32" s="277"/>
      <c r="AB32" s="277"/>
      <c r="AC32" s="277"/>
      <c r="AD32" s="277"/>
      <c r="AE32" s="277"/>
      <c r="AF32" s="277"/>
      <c r="AG32" s="277"/>
      <c r="AH32" s="288">
        <f>SUM(X32:AG32)</f>
        <v>0</v>
      </c>
      <c r="AI32" s="289">
        <f>+$F32*AH32</f>
        <v>0</v>
      </c>
      <c r="AJ32" s="226"/>
      <c r="AK32" s="277"/>
      <c r="AL32" s="277"/>
      <c r="AM32" s="277"/>
      <c r="AN32" s="277"/>
      <c r="AO32" s="277"/>
      <c r="AP32" s="277"/>
      <c r="AQ32" s="277"/>
      <c r="AR32" s="277"/>
      <c r="AS32" s="277"/>
      <c r="AT32" s="277"/>
      <c r="AU32" s="288">
        <f>SUM(AK32:AT32)</f>
        <v>0</v>
      </c>
      <c r="AV32" s="289">
        <f>+$F32*AU32</f>
        <v>0</v>
      </c>
    </row>
    <row r="33" spans="2:48">
      <c r="B33" s="851"/>
      <c r="C33" s="53"/>
      <c r="D33" s="53"/>
      <c r="E33" s="674"/>
      <c r="F33" s="696"/>
      <c r="G33" s="479">
        <f t="shared" si="16"/>
        <v>0</v>
      </c>
      <c r="H33" s="55"/>
      <c r="I33" s="316"/>
      <c r="J33" s="56"/>
      <c r="K33" s="55"/>
      <c r="L33" s="288">
        <f t="shared" si="0"/>
        <v>0</v>
      </c>
      <c r="M33" s="288">
        <f>+L33-O33-U33-AH33-AU33</f>
        <v>0</v>
      </c>
      <c r="N33" s="226"/>
      <c r="O33" s="288">
        <f>+L33-U33-AH33-AU33</f>
        <v>0</v>
      </c>
      <c r="P33" s="289">
        <f t="shared" si="3"/>
        <v>0</v>
      </c>
      <c r="Q33" s="226"/>
      <c r="R33" s="277"/>
      <c r="S33" s="277"/>
      <c r="T33" s="277"/>
      <c r="U33" s="288">
        <f>SUM(R33:T33)</f>
        <v>0</v>
      </c>
      <c r="V33" s="289">
        <f t="shared" si="17"/>
        <v>0</v>
      </c>
      <c r="W33" s="226"/>
      <c r="X33" s="277"/>
      <c r="Y33" s="277"/>
      <c r="Z33" s="277"/>
      <c r="AA33" s="277"/>
      <c r="AB33" s="277"/>
      <c r="AC33" s="277"/>
      <c r="AD33" s="277"/>
      <c r="AE33" s="277"/>
      <c r="AF33" s="277"/>
      <c r="AG33" s="277"/>
      <c r="AH33" s="288">
        <f>SUM(X33:AG33)</f>
        <v>0</v>
      </c>
      <c r="AI33" s="289">
        <f t="shared" si="18"/>
        <v>0</v>
      </c>
      <c r="AJ33" s="226"/>
      <c r="AK33" s="277"/>
      <c r="AL33" s="277"/>
      <c r="AM33" s="277"/>
      <c r="AN33" s="277"/>
      <c r="AO33" s="277"/>
      <c r="AP33" s="277"/>
      <c r="AQ33" s="277"/>
      <c r="AR33" s="277"/>
      <c r="AS33" s="277"/>
      <c r="AT33" s="277"/>
      <c r="AU33" s="288">
        <f>SUM(AK33:AT33)</f>
        <v>0</v>
      </c>
      <c r="AV33" s="289">
        <f t="shared" si="19"/>
        <v>0</v>
      </c>
    </row>
    <row r="34" spans="2:48" ht="21.75" customHeight="1">
      <c r="B34" s="850"/>
      <c r="C34" s="53"/>
      <c r="D34" s="53"/>
      <c r="E34" s="670"/>
      <c r="F34" s="696"/>
      <c r="G34" s="479">
        <f t="shared" si="16"/>
        <v>0</v>
      </c>
      <c r="H34" s="55"/>
      <c r="I34" s="316"/>
      <c r="J34" s="56"/>
      <c r="K34" s="55"/>
      <c r="L34" s="288">
        <f t="shared" si="0"/>
        <v>0</v>
      </c>
      <c r="M34" s="288">
        <f>+L34-O34-U34-AH34-AU34</f>
        <v>0</v>
      </c>
      <c r="N34" s="226"/>
      <c r="O34" s="288">
        <f>+L34-U34-AH34-AU34</f>
        <v>0</v>
      </c>
      <c r="P34" s="289">
        <f t="shared" si="3"/>
        <v>0</v>
      </c>
      <c r="Q34" s="226"/>
      <c r="R34" s="277"/>
      <c r="S34" s="277"/>
      <c r="T34" s="277"/>
      <c r="U34" s="288">
        <f>SUM(R34:T34)</f>
        <v>0</v>
      </c>
      <c r="V34" s="289">
        <f t="shared" si="17"/>
        <v>0</v>
      </c>
      <c r="W34" s="226"/>
      <c r="X34" s="277"/>
      <c r="Y34" s="277"/>
      <c r="Z34" s="277"/>
      <c r="AA34" s="277"/>
      <c r="AB34" s="277"/>
      <c r="AC34" s="277"/>
      <c r="AD34" s="277"/>
      <c r="AE34" s="277"/>
      <c r="AF34" s="277"/>
      <c r="AG34" s="277"/>
      <c r="AH34" s="288">
        <f>SUM(X34:AG34)</f>
        <v>0</v>
      </c>
      <c r="AI34" s="289">
        <f t="shared" si="18"/>
        <v>0</v>
      </c>
      <c r="AJ34" s="226"/>
      <c r="AK34" s="277"/>
      <c r="AL34" s="277"/>
      <c r="AM34" s="277"/>
      <c r="AN34" s="277"/>
      <c r="AO34" s="277"/>
      <c r="AP34" s="277"/>
      <c r="AQ34" s="277"/>
      <c r="AR34" s="277"/>
      <c r="AS34" s="277"/>
      <c r="AT34" s="277"/>
      <c r="AU34" s="288">
        <f>SUM(AK34:AT34)</f>
        <v>0</v>
      </c>
      <c r="AV34" s="289">
        <f t="shared" si="19"/>
        <v>0</v>
      </c>
    </row>
    <row r="35" spans="2:48" ht="12.75" customHeight="1">
      <c r="B35" s="851"/>
      <c r="C35" s="52"/>
      <c r="D35" s="52"/>
      <c r="E35" s="673"/>
      <c r="F35" s="695"/>
      <c r="G35" s="260">
        <f>+C35*D35*F35</f>
        <v>0</v>
      </c>
      <c r="H35" s="55"/>
      <c r="I35" s="316"/>
      <c r="J35" s="56"/>
      <c r="K35" s="55"/>
      <c r="L35" s="288">
        <f t="shared" si="0"/>
        <v>0</v>
      </c>
      <c r="M35" s="288">
        <f t="shared" si="11"/>
        <v>0</v>
      </c>
      <c r="N35" s="226"/>
      <c r="O35" s="288">
        <f t="shared" si="12"/>
        <v>0</v>
      </c>
      <c r="P35" s="289">
        <f t="shared" si="3"/>
        <v>0</v>
      </c>
      <c r="Q35" s="226"/>
      <c r="R35" s="277"/>
      <c r="S35" s="277"/>
      <c r="T35" s="277"/>
      <c r="U35" s="288">
        <f t="shared" si="13"/>
        <v>0</v>
      </c>
      <c r="V35" s="289">
        <f t="shared" si="5"/>
        <v>0</v>
      </c>
      <c r="W35" s="226"/>
      <c r="X35" s="277"/>
      <c r="Y35" s="277"/>
      <c r="Z35" s="277"/>
      <c r="AA35" s="277"/>
      <c r="AB35" s="277"/>
      <c r="AC35" s="277"/>
      <c r="AD35" s="277"/>
      <c r="AE35" s="277"/>
      <c r="AF35" s="277"/>
      <c r="AG35" s="277"/>
      <c r="AH35" s="288">
        <f t="shared" si="14"/>
        <v>0</v>
      </c>
      <c r="AI35" s="289">
        <f t="shared" si="7"/>
        <v>0</v>
      </c>
      <c r="AJ35" s="226"/>
      <c r="AK35" s="277"/>
      <c r="AL35" s="277"/>
      <c r="AM35" s="277"/>
      <c r="AN35" s="277"/>
      <c r="AO35" s="277"/>
      <c r="AP35" s="277"/>
      <c r="AQ35" s="277"/>
      <c r="AR35" s="277"/>
      <c r="AS35" s="277"/>
      <c r="AT35" s="277"/>
      <c r="AU35" s="288">
        <f t="shared" si="15"/>
        <v>0</v>
      </c>
      <c r="AV35" s="289">
        <f t="shared" si="9"/>
        <v>0</v>
      </c>
    </row>
    <row r="36" spans="2:48" ht="12.75" customHeight="1">
      <c r="B36" s="851"/>
      <c r="C36" s="52"/>
      <c r="D36" s="52"/>
      <c r="E36" s="673"/>
      <c r="F36" s="695"/>
      <c r="G36" s="260">
        <f>+C36*D36*F36</f>
        <v>0</v>
      </c>
      <c r="H36" s="55"/>
      <c r="I36" s="316"/>
      <c r="J36" s="56"/>
      <c r="K36" s="55"/>
      <c r="L36" s="288">
        <f>+C36*D36</f>
        <v>0</v>
      </c>
      <c r="M36" s="288">
        <f>+L36-O36-U36-AH36-AU36</f>
        <v>0</v>
      </c>
      <c r="N36" s="226"/>
      <c r="O36" s="288">
        <f>+L36-U36-AH36-AU36</f>
        <v>0</v>
      </c>
      <c r="P36" s="289">
        <f>F36*O36</f>
        <v>0</v>
      </c>
      <c r="Q36" s="226"/>
      <c r="R36" s="277"/>
      <c r="S36" s="277"/>
      <c r="T36" s="277"/>
      <c r="U36" s="288">
        <f>SUM(R36:T36)</f>
        <v>0</v>
      </c>
      <c r="V36" s="289">
        <f>+$F36*U36</f>
        <v>0</v>
      </c>
      <c r="W36" s="226"/>
      <c r="X36" s="277"/>
      <c r="Y36" s="277"/>
      <c r="Z36" s="277"/>
      <c r="AA36" s="277"/>
      <c r="AB36" s="277"/>
      <c r="AC36" s="277"/>
      <c r="AD36" s="277"/>
      <c r="AE36" s="277"/>
      <c r="AF36" s="277"/>
      <c r="AG36" s="277"/>
      <c r="AH36" s="288">
        <f>SUM(X36:AG36)</f>
        <v>0</v>
      </c>
      <c r="AI36" s="289">
        <f>+$F36*AH36</f>
        <v>0</v>
      </c>
      <c r="AJ36" s="226"/>
      <c r="AK36" s="277"/>
      <c r="AL36" s="277"/>
      <c r="AM36" s="277"/>
      <c r="AN36" s="277"/>
      <c r="AO36" s="277"/>
      <c r="AP36" s="277"/>
      <c r="AQ36" s="277"/>
      <c r="AR36" s="277"/>
      <c r="AS36" s="277"/>
      <c r="AT36" s="277"/>
      <c r="AU36" s="288">
        <f>SUM(AK36:AT36)</f>
        <v>0</v>
      </c>
      <c r="AV36" s="289">
        <f>+$F36*AU36</f>
        <v>0</v>
      </c>
    </row>
    <row r="37" spans="2:48" ht="12.75" customHeight="1">
      <c r="B37" s="851"/>
      <c r="C37" s="53"/>
      <c r="D37" s="53"/>
      <c r="E37" s="58"/>
      <c r="F37" s="696"/>
      <c r="G37" s="260">
        <f>+C37*D37*F37</f>
        <v>0</v>
      </c>
      <c r="H37" s="55"/>
      <c r="I37" s="316"/>
      <c r="J37" s="56"/>
      <c r="K37" s="55"/>
      <c r="L37" s="288">
        <f t="shared" si="0"/>
        <v>0</v>
      </c>
      <c r="M37" s="288">
        <f t="shared" si="11"/>
        <v>0</v>
      </c>
      <c r="N37" s="226"/>
      <c r="O37" s="288">
        <f t="shared" si="12"/>
        <v>0</v>
      </c>
      <c r="P37" s="289">
        <f t="shared" si="3"/>
        <v>0</v>
      </c>
      <c r="Q37" s="226"/>
      <c r="R37" s="277"/>
      <c r="S37" s="277"/>
      <c r="T37" s="277"/>
      <c r="U37" s="288">
        <f t="shared" si="13"/>
        <v>0</v>
      </c>
      <c r="V37" s="289">
        <f t="shared" si="5"/>
        <v>0</v>
      </c>
      <c r="W37" s="226"/>
      <c r="X37" s="277"/>
      <c r="Y37" s="277"/>
      <c r="Z37" s="277"/>
      <c r="AA37" s="277"/>
      <c r="AB37" s="277"/>
      <c r="AC37" s="277"/>
      <c r="AD37" s="277"/>
      <c r="AE37" s="277"/>
      <c r="AF37" s="277"/>
      <c r="AG37" s="277"/>
      <c r="AH37" s="288">
        <f t="shared" si="14"/>
        <v>0</v>
      </c>
      <c r="AI37" s="289">
        <f t="shared" si="7"/>
        <v>0</v>
      </c>
      <c r="AJ37" s="226"/>
      <c r="AK37" s="277"/>
      <c r="AL37" s="277"/>
      <c r="AM37" s="277"/>
      <c r="AN37" s="277"/>
      <c r="AO37" s="277"/>
      <c r="AP37" s="277"/>
      <c r="AQ37" s="277"/>
      <c r="AR37" s="277"/>
      <c r="AS37" s="277"/>
      <c r="AT37" s="277"/>
      <c r="AU37" s="288">
        <f t="shared" si="15"/>
        <v>0</v>
      </c>
      <c r="AV37" s="289">
        <f t="shared" si="9"/>
        <v>0</v>
      </c>
    </row>
    <row r="38" spans="2:48" outlineLevel="1">
      <c r="B38" s="851"/>
      <c r="C38" s="52"/>
      <c r="D38" s="52"/>
      <c r="E38" s="694"/>
      <c r="F38" s="692"/>
      <c r="G38" s="260">
        <f t="shared" ref="G38:G50" si="20">+C38*D38*F38</f>
        <v>0</v>
      </c>
      <c r="H38" s="55"/>
      <c r="I38" s="316"/>
      <c r="J38" s="56"/>
      <c r="K38" s="55"/>
      <c r="L38" s="288">
        <f t="shared" si="0"/>
        <v>0</v>
      </c>
      <c r="M38" s="288">
        <f t="shared" ref="M38:M50" si="21">+L38-O38-U38-AH38-AU38</f>
        <v>0</v>
      </c>
      <c r="N38" s="226"/>
      <c r="O38" s="288">
        <f t="shared" ref="O38:O50" si="22">+L38-U38-AH38-AU38</f>
        <v>0</v>
      </c>
      <c r="P38" s="289">
        <f t="shared" si="3"/>
        <v>0</v>
      </c>
      <c r="Q38" s="226"/>
      <c r="R38" s="277"/>
      <c r="S38" s="277"/>
      <c r="T38" s="277"/>
      <c r="U38" s="288">
        <f t="shared" ref="U38:U50" si="23">SUM(R38:T38)</f>
        <v>0</v>
      </c>
      <c r="V38" s="289">
        <f t="shared" ref="V38:V50" si="24">+$F38*U38</f>
        <v>0</v>
      </c>
      <c r="W38" s="226"/>
      <c r="X38" s="277"/>
      <c r="Y38" s="277"/>
      <c r="Z38" s="277"/>
      <c r="AA38" s="277"/>
      <c r="AB38" s="277"/>
      <c r="AC38" s="277"/>
      <c r="AD38" s="277"/>
      <c r="AE38" s="277"/>
      <c r="AF38" s="277"/>
      <c r="AG38" s="277"/>
      <c r="AH38" s="288">
        <f t="shared" ref="AH38:AH50" si="25">SUM(X38:AG38)</f>
        <v>0</v>
      </c>
      <c r="AI38" s="289">
        <f t="shared" ref="AI38:AI50" si="26">+$F38*AH38</f>
        <v>0</v>
      </c>
      <c r="AJ38" s="226"/>
      <c r="AK38" s="277"/>
      <c r="AL38" s="277"/>
      <c r="AM38" s="277"/>
      <c r="AN38" s="277"/>
      <c r="AO38" s="277"/>
      <c r="AP38" s="277"/>
      <c r="AQ38" s="277"/>
      <c r="AR38" s="277"/>
      <c r="AS38" s="277"/>
      <c r="AT38" s="277"/>
      <c r="AU38" s="288">
        <f t="shared" ref="AU38:AU50" si="27">SUM(AK38:AT38)</f>
        <v>0</v>
      </c>
      <c r="AV38" s="289">
        <f t="shared" ref="AV38:AV50" si="28">+$F38*AU38</f>
        <v>0</v>
      </c>
    </row>
    <row r="39" spans="2:48" outlineLevel="1">
      <c r="B39" s="851"/>
      <c r="C39" s="53"/>
      <c r="D39" s="53"/>
      <c r="E39" s="59"/>
      <c r="F39" s="259"/>
      <c r="G39" s="260">
        <f t="shared" si="20"/>
        <v>0</v>
      </c>
      <c r="H39" s="55"/>
      <c r="I39" s="316"/>
      <c r="J39" s="56"/>
      <c r="K39" s="55"/>
      <c r="L39" s="288">
        <f t="shared" si="0"/>
        <v>0</v>
      </c>
      <c r="M39" s="288">
        <f t="shared" si="21"/>
        <v>0</v>
      </c>
      <c r="N39" s="226"/>
      <c r="O39" s="288">
        <f t="shared" si="22"/>
        <v>0</v>
      </c>
      <c r="P39" s="289">
        <f t="shared" si="3"/>
        <v>0</v>
      </c>
      <c r="Q39" s="226"/>
      <c r="R39" s="277"/>
      <c r="S39" s="277"/>
      <c r="T39" s="277"/>
      <c r="U39" s="288">
        <f t="shared" si="23"/>
        <v>0</v>
      </c>
      <c r="V39" s="289">
        <f t="shared" si="24"/>
        <v>0</v>
      </c>
      <c r="W39" s="226"/>
      <c r="X39" s="277"/>
      <c r="Y39" s="277"/>
      <c r="Z39" s="277"/>
      <c r="AA39" s="277"/>
      <c r="AB39" s="277"/>
      <c r="AC39" s="277"/>
      <c r="AD39" s="277"/>
      <c r="AE39" s="277"/>
      <c r="AF39" s="277"/>
      <c r="AG39" s="277"/>
      <c r="AH39" s="288">
        <f t="shared" si="25"/>
        <v>0</v>
      </c>
      <c r="AI39" s="289">
        <f t="shared" si="26"/>
        <v>0</v>
      </c>
      <c r="AJ39" s="226"/>
      <c r="AK39" s="277"/>
      <c r="AL39" s="277"/>
      <c r="AM39" s="277"/>
      <c r="AN39" s="277"/>
      <c r="AO39" s="277"/>
      <c r="AP39" s="277"/>
      <c r="AQ39" s="277"/>
      <c r="AR39" s="277"/>
      <c r="AS39" s="277"/>
      <c r="AT39" s="277"/>
      <c r="AU39" s="288">
        <f t="shared" si="27"/>
        <v>0</v>
      </c>
      <c r="AV39" s="289">
        <f t="shared" si="28"/>
        <v>0</v>
      </c>
    </row>
    <row r="40" spans="2:48" outlineLevel="1">
      <c r="B40" s="851"/>
      <c r="C40" s="53"/>
      <c r="D40" s="53"/>
      <c r="E40" s="697"/>
      <c r="F40" s="259"/>
      <c r="G40" s="260">
        <f t="shared" si="20"/>
        <v>0</v>
      </c>
      <c r="H40" s="55"/>
      <c r="I40" s="316"/>
      <c r="J40" s="56"/>
      <c r="K40" s="55"/>
      <c r="L40" s="288">
        <f t="shared" si="0"/>
        <v>0</v>
      </c>
      <c r="M40" s="288">
        <f t="shared" si="21"/>
        <v>0</v>
      </c>
      <c r="N40" s="226"/>
      <c r="O40" s="288">
        <f t="shared" si="22"/>
        <v>0</v>
      </c>
      <c r="P40" s="289">
        <f t="shared" si="3"/>
        <v>0</v>
      </c>
      <c r="Q40" s="226"/>
      <c r="R40" s="277"/>
      <c r="S40" s="277"/>
      <c r="T40" s="277"/>
      <c r="U40" s="288">
        <f t="shared" si="23"/>
        <v>0</v>
      </c>
      <c r="V40" s="289">
        <f t="shared" si="24"/>
        <v>0</v>
      </c>
      <c r="W40" s="226"/>
      <c r="X40" s="277"/>
      <c r="Y40" s="277"/>
      <c r="Z40" s="277"/>
      <c r="AA40" s="277"/>
      <c r="AB40" s="277"/>
      <c r="AC40" s="277"/>
      <c r="AD40" s="277"/>
      <c r="AE40" s="277"/>
      <c r="AF40" s="277"/>
      <c r="AG40" s="277"/>
      <c r="AH40" s="288">
        <f t="shared" si="25"/>
        <v>0</v>
      </c>
      <c r="AI40" s="289">
        <f t="shared" si="26"/>
        <v>0</v>
      </c>
      <c r="AJ40" s="226"/>
      <c r="AK40" s="277"/>
      <c r="AL40" s="277"/>
      <c r="AM40" s="277"/>
      <c r="AN40" s="277"/>
      <c r="AO40" s="277"/>
      <c r="AP40" s="277"/>
      <c r="AQ40" s="277"/>
      <c r="AR40" s="277"/>
      <c r="AS40" s="277"/>
      <c r="AT40" s="277"/>
      <c r="AU40" s="288">
        <f t="shared" si="27"/>
        <v>0</v>
      </c>
      <c r="AV40" s="289">
        <f t="shared" si="28"/>
        <v>0</v>
      </c>
    </row>
    <row r="41" spans="2:48" outlineLevel="1">
      <c r="B41" s="851"/>
      <c r="C41" s="53"/>
      <c r="D41" s="53"/>
      <c r="E41" s="59"/>
      <c r="F41" s="259"/>
      <c r="G41" s="260">
        <f t="shared" si="20"/>
        <v>0</v>
      </c>
      <c r="H41" s="55"/>
      <c r="I41" s="316"/>
      <c r="J41" s="56"/>
      <c r="K41" s="55"/>
      <c r="L41" s="288">
        <f t="shared" si="0"/>
        <v>0</v>
      </c>
      <c r="M41" s="288">
        <f t="shared" si="21"/>
        <v>0</v>
      </c>
      <c r="N41" s="226"/>
      <c r="O41" s="288">
        <f t="shared" si="22"/>
        <v>0</v>
      </c>
      <c r="P41" s="289">
        <f t="shared" si="3"/>
        <v>0</v>
      </c>
      <c r="Q41" s="226"/>
      <c r="R41" s="277"/>
      <c r="S41" s="277"/>
      <c r="T41" s="277"/>
      <c r="U41" s="288">
        <f t="shared" si="23"/>
        <v>0</v>
      </c>
      <c r="V41" s="289">
        <f t="shared" si="24"/>
        <v>0</v>
      </c>
      <c r="W41" s="226"/>
      <c r="X41" s="277"/>
      <c r="Y41" s="277"/>
      <c r="Z41" s="277"/>
      <c r="AA41" s="277"/>
      <c r="AB41" s="277"/>
      <c r="AC41" s="277"/>
      <c r="AD41" s="277"/>
      <c r="AE41" s="277"/>
      <c r="AF41" s="277"/>
      <c r="AG41" s="277"/>
      <c r="AH41" s="288">
        <f t="shared" si="25"/>
        <v>0</v>
      </c>
      <c r="AI41" s="289">
        <f t="shared" si="26"/>
        <v>0</v>
      </c>
      <c r="AJ41" s="226"/>
      <c r="AK41" s="277"/>
      <c r="AL41" s="277"/>
      <c r="AM41" s="277"/>
      <c r="AN41" s="277"/>
      <c r="AO41" s="277"/>
      <c r="AP41" s="277"/>
      <c r="AQ41" s="277"/>
      <c r="AR41" s="277"/>
      <c r="AS41" s="277"/>
      <c r="AT41" s="277"/>
      <c r="AU41" s="288">
        <f t="shared" si="27"/>
        <v>0</v>
      </c>
      <c r="AV41" s="289">
        <f t="shared" si="28"/>
        <v>0</v>
      </c>
    </row>
    <row r="42" spans="2:48" hidden="1" outlineLevel="1">
      <c r="B42" s="851"/>
      <c r="C42" s="53"/>
      <c r="D42" s="53"/>
      <c r="E42" s="59"/>
      <c r="F42" s="259"/>
      <c r="G42" s="260">
        <f t="shared" si="20"/>
        <v>0</v>
      </c>
      <c r="H42" s="55"/>
      <c r="I42" s="316"/>
      <c r="J42" s="56"/>
      <c r="K42" s="55"/>
      <c r="L42" s="288">
        <f t="shared" si="0"/>
        <v>0</v>
      </c>
      <c r="M42" s="288">
        <f t="shared" si="21"/>
        <v>0</v>
      </c>
      <c r="N42" s="226"/>
      <c r="O42" s="288">
        <f t="shared" si="22"/>
        <v>0</v>
      </c>
      <c r="P42" s="289">
        <f t="shared" si="3"/>
        <v>0</v>
      </c>
      <c r="Q42" s="226"/>
      <c r="R42" s="277"/>
      <c r="S42" s="277"/>
      <c r="T42" s="277"/>
      <c r="U42" s="288">
        <f t="shared" si="23"/>
        <v>0</v>
      </c>
      <c r="V42" s="289">
        <f t="shared" si="24"/>
        <v>0</v>
      </c>
      <c r="W42" s="226"/>
      <c r="X42" s="277"/>
      <c r="Y42" s="277"/>
      <c r="Z42" s="277"/>
      <c r="AA42" s="277"/>
      <c r="AB42" s="277"/>
      <c r="AC42" s="277"/>
      <c r="AD42" s="277"/>
      <c r="AE42" s="277"/>
      <c r="AF42" s="277"/>
      <c r="AG42" s="277"/>
      <c r="AH42" s="288">
        <f t="shared" si="25"/>
        <v>0</v>
      </c>
      <c r="AI42" s="289">
        <f t="shared" si="26"/>
        <v>0</v>
      </c>
      <c r="AJ42" s="226"/>
      <c r="AK42" s="277"/>
      <c r="AL42" s="277"/>
      <c r="AM42" s="277"/>
      <c r="AN42" s="277"/>
      <c r="AO42" s="277"/>
      <c r="AP42" s="277"/>
      <c r="AQ42" s="277"/>
      <c r="AR42" s="277"/>
      <c r="AS42" s="277"/>
      <c r="AT42" s="277"/>
      <c r="AU42" s="288">
        <f t="shared" si="27"/>
        <v>0</v>
      </c>
      <c r="AV42" s="289">
        <f t="shared" si="28"/>
        <v>0</v>
      </c>
    </row>
    <row r="43" spans="2:48" hidden="1" outlineLevel="1">
      <c r="B43" s="851"/>
      <c r="C43" s="53"/>
      <c r="D43" s="53"/>
      <c r="E43" s="59"/>
      <c r="F43" s="259"/>
      <c r="G43" s="260">
        <f t="shared" si="20"/>
        <v>0</v>
      </c>
      <c r="H43" s="55"/>
      <c r="I43" s="316"/>
      <c r="J43" s="56"/>
      <c r="K43" s="55"/>
      <c r="L43" s="288">
        <f t="shared" si="0"/>
        <v>0</v>
      </c>
      <c r="M43" s="288">
        <f t="shared" si="21"/>
        <v>0</v>
      </c>
      <c r="N43" s="226"/>
      <c r="O43" s="288">
        <f t="shared" si="22"/>
        <v>0</v>
      </c>
      <c r="P43" s="289">
        <f t="shared" si="3"/>
        <v>0</v>
      </c>
      <c r="Q43" s="226"/>
      <c r="R43" s="277"/>
      <c r="S43" s="277"/>
      <c r="T43" s="277"/>
      <c r="U43" s="288">
        <f t="shared" si="23"/>
        <v>0</v>
      </c>
      <c r="V43" s="289">
        <f t="shared" si="24"/>
        <v>0</v>
      </c>
      <c r="W43" s="226"/>
      <c r="X43" s="277"/>
      <c r="Y43" s="277"/>
      <c r="Z43" s="277"/>
      <c r="AA43" s="277"/>
      <c r="AB43" s="277"/>
      <c r="AC43" s="277"/>
      <c r="AD43" s="277"/>
      <c r="AE43" s="277"/>
      <c r="AF43" s="277"/>
      <c r="AG43" s="277"/>
      <c r="AH43" s="288">
        <f t="shared" si="25"/>
        <v>0</v>
      </c>
      <c r="AI43" s="289">
        <f t="shared" si="26"/>
        <v>0</v>
      </c>
      <c r="AJ43" s="226"/>
      <c r="AK43" s="277"/>
      <c r="AL43" s="277"/>
      <c r="AM43" s="277"/>
      <c r="AN43" s="277"/>
      <c r="AO43" s="277"/>
      <c r="AP43" s="277"/>
      <c r="AQ43" s="277"/>
      <c r="AR43" s="277"/>
      <c r="AS43" s="277"/>
      <c r="AT43" s="277"/>
      <c r="AU43" s="288">
        <f t="shared" si="27"/>
        <v>0</v>
      </c>
      <c r="AV43" s="289">
        <f t="shared" si="28"/>
        <v>0</v>
      </c>
    </row>
    <row r="44" spans="2:48" hidden="1" outlineLevel="1">
      <c r="B44" s="851"/>
      <c r="C44" s="53"/>
      <c r="D44" s="53"/>
      <c r="E44" s="59"/>
      <c r="F44" s="259"/>
      <c r="G44" s="260">
        <f t="shared" si="20"/>
        <v>0</v>
      </c>
      <c r="H44" s="55"/>
      <c r="I44" s="316"/>
      <c r="J44" s="56"/>
      <c r="K44" s="55"/>
      <c r="L44" s="288">
        <f t="shared" si="0"/>
        <v>0</v>
      </c>
      <c r="M44" s="288">
        <f t="shared" si="21"/>
        <v>0</v>
      </c>
      <c r="N44" s="226"/>
      <c r="O44" s="288">
        <f t="shared" si="22"/>
        <v>0</v>
      </c>
      <c r="P44" s="289">
        <f t="shared" si="3"/>
        <v>0</v>
      </c>
      <c r="Q44" s="226"/>
      <c r="R44" s="277"/>
      <c r="S44" s="277"/>
      <c r="T44" s="277"/>
      <c r="U44" s="288">
        <f t="shared" si="23"/>
        <v>0</v>
      </c>
      <c r="V44" s="289">
        <f t="shared" si="24"/>
        <v>0</v>
      </c>
      <c r="W44" s="226"/>
      <c r="X44" s="277"/>
      <c r="Y44" s="277"/>
      <c r="Z44" s="277"/>
      <c r="AA44" s="277"/>
      <c r="AB44" s="277"/>
      <c r="AC44" s="277"/>
      <c r="AD44" s="277"/>
      <c r="AE44" s="277"/>
      <c r="AF44" s="277"/>
      <c r="AG44" s="277"/>
      <c r="AH44" s="288">
        <f t="shared" si="25"/>
        <v>0</v>
      </c>
      <c r="AI44" s="289">
        <f t="shared" si="26"/>
        <v>0</v>
      </c>
      <c r="AJ44" s="226"/>
      <c r="AK44" s="277"/>
      <c r="AL44" s="277"/>
      <c r="AM44" s="277"/>
      <c r="AN44" s="277"/>
      <c r="AO44" s="277"/>
      <c r="AP44" s="277"/>
      <c r="AQ44" s="277"/>
      <c r="AR44" s="277"/>
      <c r="AS44" s="277"/>
      <c r="AT44" s="277"/>
      <c r="AU44" s="288">
        <f t="shared" si="27"/>
        <v>0</v>
      </c>
      <c r="AV44" s="289">
        <f t="shared" si="28"/>
        <v>0</v>
      </c>
    </row>
    <row r="45" spans="2:48" hidden="1" outlineLevel="1">
      <c r="B45" s="851"/>
      <c r="C45" s="53"/>
      <c r="D45" s="53"/>
      <c r="E45" s="59"/>
      <c r="F45" s="259"/>
      <c r="G45" s="260">
        <f t="shared" si="20"/>
        <v>0</v>
      </c>
      <c r="H45" s="55"/>
      <c r="I45" s="316"/>
      <c r="J45" s="56"/>
      <c r="K45" s="55"/>
      <c r="L45" s="288">
        <f t="shared" si="0"/>
        <v>0</v>
      </c>
      <c r="M45" s="288">
        <f t="shared" si="21"/>
        <v>0</v>
      </c>
      <c r="N45" s="226"/>
      <c r="O45" s="288">
        <f t="shared" si="22"/>
        <v>0</v>
      </c>
      <c r="P45" s="289">
        <f t="shared" si="3"/>
        <v>0</v>
      </c>
      <c r="Q45" s="226"/>
      <c r="R45" s="277"/>
      <c r="S45" s="277"/>
      <c r="T45" s="277"/>
      <c r="U45" s="288">
        <f t="shared" si="23"/>
        <v>0</v>
      </c>
      <c r="V45" s="289">
        <f t="shared" si="24"/>
        <v>0</v>
      </c>
      <c r="W45" s="226"/>
      <c r="X45" s="277"/>
      <c r="Y45" s="277"/>
      <c r="Z45" s="277"/>
      <c r="AA45" s="277"/>
      <c r="AB45" s="277"/>
      <c r="AC45" s="277"/>
      <c r="AD45" s="277"/>
      <c r="AE45" s="277"/>
      <c r="AF45" s="277"/>
      <c r="AG45" s="277"/>
      <c r="AH45" s="288">
        <f t="shared" si="25"/>
        <v>0</v>
      </c>
      <c r="AI45" s="289">
        <f t="shared" si="26"/>
        <v>0</v>
      </c>
      <c r="AJ45" s="226"/>
      <c r="AK45" s="277"/>
      <c r="AL45" s="277"/>
      <c r="AM45" s="277"/>
      <c r="AN45" s="277"/>
      <c r="AO45" s="277"/>
      <c r="AP45" s="277"/>
      <c r="AQ45" s="277"/>
      <c r="AR45" s="277"/>
      <c r="AS45" s="277"/>
      <c r="AT45" s="277"/>
      <c r="AU45" s="288">
        <f t="shared" si="27"/>
        <v>0</v>
      </c>
      <c r="AV45" s="289">
        <f t="shared" si="28"/>
        <v>0</v>
      </c>
    </row>
    <row r="46" spans="2:48" hidden="1" outlineLevel="1">
      <c r="B46" s="851"/>
      <c r="C46" s="53"/>
      <c r="D46" s="53"/>
      <c r="E46" s="59"/>
      <c r="F46" s="259"/>
      <c r="G46" s="260">
        <f t="shared" si="20"/>
        <v>0</v>
      </c>
      <c r="H46" s="55"/>
      <c r="I46" s="316"/>
      <c r="J46" s="56"/>
      <c r="K46" s="55"/>
      <c r="L46" s="288">
        <f t="shared" si="0"/>
        <v>0</v>
      </c>
      <c r="M46" s="288">
        <f t="shared" si="21"/>
        <v>0</v>
      </c>
      <c r="N46" s="226"/>
      <c r="O46" s="288">
        <f t="shared" si="22"/>
        <v>0</v>
      </c>
      <c r="P46" s="289">
        <f t="shared" si="3"/>
        <v>0</v>
      </c>
      <c r="Q46" s="226"/>
      <c r="R46" s="277"/>
      <c r="S46" s="277"/>
      <c r="T46" s="277"/>
      <c r="U46" s="288">
        <f t="shared" si="23"/>
        <v>0</v>
      </c>
      <c r="V46" s="289">
        <f t="shared" si="24"/>
        <v>0</v>
      </c>
      <c r="W46" s="226"/>
      <c r="X46" s="277"/>
      <c r="Y46" s="277"/>
      <c r="Z46" s="277"/>
      <c r="AA46" s="277"/>
      <c r="AB46" s="277"/>
      <c r="AC46" s="277"/>
      <c r="AD46" s="277"/>
      <c r="AE46" s="277"/>
      <c r="AF46" s="277"/>
      <c r="AG46" s="277"/>
      <c r="AH46" s="288">
        <f t="shared" si="25"/>
        <v>0</v>
      </c>
      <c r="AI46" s="289">
        <f t="shared" si="26"/>
        <v>0</v>
      </c>
      <c r="AJ46" s="226"/>
      <c r="AK46" s="277"/>
      <c r="AL46" s="277"/>
      <c r="AM46" s="277"/>
      <c r="AN46" s="277"/>
      <c r="AO46" s="277"/>
      <c r="AP46" s="277"/>
      <c r="AQ46" s="277"/>
      <c r="AR46" s="277"/>
      <c r="AS46" s="277"/>
      <c r="AT46" s="277"/>
      <c r="AU46" s="288">
        <f t="shared" si="27"/>
        <v>0</v>
      </c>
      <c r="AV46" s="289">
        <f t="shared" si="28"/>
        <v>0</v>
      </c>
    </row>
    <row r="47" spans="2:48" hidden="1" outlineLevel="1">
      <c r="B47" s="851"/>
      <c r="C47" s="53"/>
      <c r="D47" s="53"/>
      <c r="E47" s="59"/>
      <c r="F47" s="259"/>
      <c r="G47" s="260">
        <f t="shared" si="20"/>
        <v>0</v>
      </c>
      <c r="H47" s="55"/>
      <c r="I47" s="316"/>
      <c r="J47" s="56"/>
      <c r="K47" s="55"/>
      <c r="L47" s="288">
        <f t="shared" si="0"/>
        <v>0</v>
      </c>
      <c r="M47" s="288">
        <f t="shared" si="21"/>
        <v>0</v>
      </c>
      <c r="N47" s="226"/>
      <c r="O47" s="288">
        <f t="shared" si="22"/>
        <v>0</v>
      </c>
      <c r="P47" s="289">
        <f t="shared" si="3"/>
        <v>0</v>
      </c>
      <c r="Q47" s="226"/>
      <c r="R47" s="277"/>
      <c r="S47" s="277"/>
      <c r="T47" s="277"/>
      <c r="U47" s="288">
        <f t="shared" si="23"/>
        <v>0</v>
      </c>
      <c r="V47" s="289">
        <f t="shared" si="24"/>
        <v>0</v>
      </c>
      <c r="W47" s="226"/>
      <c r="X47" s="277"/>
      <c r="Y47" s="277"/>
      <c r="Z47" s="277"/>
      <c r="AA47" s="277"/>
      <c r="AB47" s="277"/>
      <c r="AC47" s="277"/>
      <c r="AD47" s="277"/>
      <c r="AE47" s="277"/>
      <c r="AF47" s="277"/>
      <c r="AG47" s="277"/>
      <c r="AH47" s="288">
        <f t="shared" si="25"/>
        <v>0</v>
      </c>
      <c r="AI47" s="289">
        <f t="shared" si="26"/>
        <v>0</v>
      </c>
      <c r="AJ47" s="226"/>
      <c r="AK47" s="277"/>
      <c r="AL47" s="277"/>
      <c r="AM47" s="277"/>
      <c r="AN47" s="277"/>
      <c r="AO47" s="277"/>
      <c r="AP47" s="277"/>
      <c r="AQ47" s="277"/>
      <c r="AR47" s="277"/>
      <c r="AS47" s="277"/>
      <c r="AT47" s="277"/>
      <c r="AU47" s="288">
        <f t="shared" si="27"/>
        <v>0</v>
      </c>
      <c r="AV47" s="289">
        <f t="shared" si="28"/>
        <v>0</v>
      </c>
    </row>
    <row r="48" spans="2:48" hidden="1" outlineLevel="1">
      <c r="B48" s="851"/>
      <c r="C48" s="53"/>
      <c r="D48" s="53"/>
      <c r="E48" s="59"/>
      <c r="F48" s="259"/>
      <c r="G48" s="260">
        <f t="shared" si="20"/>
        <v>0</v>
      </c>
      <c r="H48" s="55"/>
      <c r="I48" s="316"/>
      <c r="J48" s="56"/>
      <c r="K48" s="55"/>
      <c r="L48" s="288">
        <f t="shared" si="0"/>
        <v>0</v>
      </c>
      <c r="M48" s="288">
        <f t="shared" si="21"/>
        <v>0</v>
      </c>
      <c r="N48" s="226"/>
      <c r="O48" s="288">
        <f t="shared" si="22"/>
        <v>0</v>
      </c>
      <c r="P48" s="289">
        <f t="shared" si="3"/>
        <v>0</v>
      </c>
      <c r="Q48" s="226"/>
      <c r="R48" s="277"/>
      <c r="S48" s="277"/>
      <c r="T48" s="277"/>
      <c r="U48" s="288">
        <f t="shared" si="23"/>
        <v>0</v>
      </c>
      <c r="V48" s="289">
        <f t="shared" si="24"/>
        <v>0</v>
      </c>
      <c r="W48" s="226"/>
      <c r="X48" s="277"/>
      <c r="Y48" s="277"/>
      <c r="Z48" s="277"/>
      <c r="AA48" s="277"/>
      <c r="AB48" s="277"/>
      <c r="AC48" s="277"/>
      <c r="AD48" s="277"/>
      <c r="AE48" s="277"/>
      <c r="AF48" s="277"/>
      <c r="AG48" s="277"/>
      <c r="AH48" s="288">
        <f t="shared" si="25"/>
        <v>0</v>
      </c>
      <c r="AI48" s="289">
        <f t="shared" si="26"/>
        <v>0</v>
      </c>
      <c r="AJ48" s="226"/>
      <c r="AK48" s="277"/>
      <c r="AL48" s="277"/>
      <c r="AM48" s="277"/>
      <c r="AN48" s="277"/>
      <c r="AO48" s="277"/>
      <c r="AP48" s="277"/>
      <c r="AQ48" s="277"/>
      <c r="AR48" s="277"/>
      <c r="AS48" s="277"/>
      <c r="AT48" s="277"/>
      <c r="AU48" s="288">
        <f t="shared" si="27"/>
        <v>0</v>
      </c>
      <c r="AV48" s="289">
        <f t="shared" si="28"/>
        <v>0</v>
      </c>
    </row>
    <row r="49" spans="2:48" hidden="1" outlineLevel="1">
      <c r="B49" s="851"/>
      <c r="C49" s="53"/>
      <c r="D49" s="53"/>
      <c r="E49" s="59"/>
      <c r="F49" s="259"/>
      <c r="G49" s="260">
        <f t="shared" si="20"/>
        <v>0</v>
      </c>
      <c r="H49" s="55"/>
      <c r="I49" s="316"/>
      <c r="J49" s="56"/>
      <c r="K49" s="55"/>
      <c r="L49" s="288">
        <f t="shared" si="0"/>
        <v>0</v>
      </c>
      <c r="M49" s="288">
        <f t="shared" si="21"/>
        <v>0</v>
      </c>
      <c r="N49" s="226"/>
      <c r="O49" s="288">
        <f t="shared" si="22"/>
        <v>0</v>
      </c>
      <c r="P49" s="289">
        <f t="shared" si="3"/>
        <v>0</v>
      </c>
      <c r="Q49" s="226"/>
      <c r="R49" s="277"/>
      <c r="S49" s="277"/>
      <c r="T49" s="277"/>
      <c r="U49" s="288">
        <f t="shared" si="23"/>
        <v>0</v>
      </c>
      <c r="V49" s="289">
        <f t="shared" si="24"/>
        <v>0</v>
      </c>
      <c r="W49" s="226"/>
      <c r="X49" s="277"/>
      <c r="Y49" s="277"/>
      <c r="Z49" s="277"/>
      <c r="AA49" s="277"/>
      <c r="AB49" s="277"/>
      <c r="AC49" s="277"/>
      <c r="AD49" s="277"/>
      <c r="AE49" s="277"/>
      <c r="AF49" s="277"/>
      <c r="AG49" s="277"/>
      <c r="AH49" s="288">
        <f t="shared" si="25"/>
        <v>0</v>
      </c>
      <c r="AI49" s="289">
        <f t="shared" si="26"/>
        <v>0</v>
      </c>
      <c r="AJ49" s="226"/>
      <c r="AK49" s="277"/>
      <c r="AL49" s="277"/>
      <c r="AM49" s="277"/>
      <c r="AN49" s="277"/>
      <c r="AO49" s="277"/>
      <c r="AP49" s="277"/>
      <c r="AQ49" s="277"/>
      <c r="AR49" s="277"/>
      <c r="AS49" s="277"/>
      <c r="AT49" s="277"/>
      <c r="AU49" s="288">
        <f t="shared" si="27"/>
        <v>0</v>
      </c>
      <c r="AV49" s="289">
        <f t="shared" si="28"/>
        <v>0</v>
      </c>
    </row>
    <row r="50" spans="2:48" hidden="1" outlineLevel="1">
      <c r="B50" s="851"/>
      <c r="C50" s="53"/>
      <c r="D50" s="53"/>
      <c r="E50" s="59"/>
      <c r="F50" s="259"/>
      <c r="G50" s="260">
        <f t="shared" si="20"/>
        <v>0</v>
      </c>
      <c r="H50" s="55"/>
      <c r="I50" s="316"/>
      <c r="J50" s="56"/>
      <c r="K50" s="55"/>
      <c r="L50" s="288">
        <f t="shared" si="0"/>
        <v>0</v>
      </c>
      <c r="M50" s="288">
        <f t="shared" si="21"/>
        <v>0</v>
      </c>
      <c r="N50" s="226"/>
      <c r="O50" s="288">
        <f t="shared" si="22"/>
        <v>0</v>
      </c>
      <c r="P50" s="289">
        <f t="shared" si="3"/>
        <v>0</v>
      </c>
      <c r="Q50" s="226"/>
      <c r="R50" s="277"/>
      <c r="S50" s="277"/>
      <c r="T50" s="277"/>
      <c r="U50" s="288">
        <f t="shared" si="23"/>
        <v>0</v>
      </c>
      <c r="V50" s="289">
        <f t="shared" si="24"/>
        <v>0</v>
      </c>
      <c r="W50" s="226"/>
      <c r="X50" s="277"/>
      <c r="Y50" s="277"/>
      <c r="Z50" s="277"/>
      <c r="AA50" s="277"/>
      <c r="AB50" s="277"/>
      <c r="AC50" s="277"/>
      <c r="AD50" s="277"/>
      <c r="AE50" s="277"/>
      <c r="AF50" s="277"/>
      <c r="AG50" s="277"/>
      <c r="AH50" s="288">
        <f t="shared" si="25"/>
        <v>0</v>
      </c>
      <c r="AI50" s="289">
        <f t="shared" si="26"/>
        <v>0</v>
      </c>
      <c r="AJ50" s="226"/>
      <c r="AK50" s="277"/>
      <c r="AL50" s="277"/>
      <c r="AM50" s="277"/>
      <c r="AN50" s="277"/>
      <c r="AO50" s="277"/>
      <c r="AP50" s="277"/>
      <c r="AQ50" s="277"/>
      <c r="AR50" s="277"/>
      <c r="AS50" s="277"/>
      <c r="AT50" s="277"/>
      <c r="AU50" s="288">
        <f t="shared" si="27"/>
        <v>0</v>
      </c>
      <c r="AV50" s="289">
        <f t="shared" si="28"/>
        <v>0</v>
      </c>
    </row>
    <row r="51" spans="2:48">
      <c r="B51" s="851"/>
      <c r="C51" s="53"/>
      <c r="D51" s="53"/>
      <c r="E51" s="249" t="str">
        <f>IF(I12="español","TOTAL EQUIPO Y SERVICIOS","TOTAL EQUIPMENT AND SERVICES")</f>
        <v>TOTAL EQUIPO Y SERVICIOS</v>
      </c>
      <c r="F51" s="261">
        <f>'2-Cotización'!G22</f>
        <v>0</v>
      </c>
      <c r="G51" s="262">
        <f>SUM(G11:G50)</f>
        <v>0</v>
      </c>
      <c r="H51" s="57"/>
      <c r="I51" s="317"/>
      <c r="J51" s="56"/>
      <c r="K51" s="57"/>
      <c r="L51" s="278"/>
      <c r="M51" s="278"/>
      <c r="N51" s="227"/>
      <c r="O51" s="278"/>
      <c r="P51" s="286">
        <f>SUM(P16:P50)</f>
        <v>0</v>
      </c>
      <c r="Q51" s="227"/>
      <c r="R51" s="52"/>
      <c r="S51" s="52"/>
      <c r="T51" s="52"/>
      <c r="U51" s="25"/>
      <c r="V51" s="240">
        <f>SUM(V16:V50)</f>
        <v>0</v>
      </c>
      <c r="W51" s="227"/>
      <c r="X51" s="52"/>
      <c r="Y51" s="52"/>
      <c r="Z51" s="52"/>
      <c r="AA51" s="52"/>
      <c r="AB51" s="52"/>
      <c r="AC51" s="52"/>
      <c r="AD51" s="52"/>
      <c r="AE51" s="52"/>
      <c r="AF51" s="52"/>
      <c r="AG51" s="52"/>
      <c r="AH51" s="25"/>
      <c r="AI51" s="240">
        <f>SUM(AI16:AI50)</f>
        <v>0</v>
      </c>
      <c r="AJ51" s="227"/>
      <c r="AK51" s="52"/>
      <c r="AL51" s="52"/>
      <c r="AM51" s="52"/>
      <c r="AN51" s="52"/>
      <c r="AO51" s="52"/>
      <c r="AP51" s="52"/>
      <c r="AQ51" s="52"/>
      <c r="AR51" s="52"/>
      <c r="AS51" s="52"/>
      <c r="AT51" s="52"/>
      <c r="AU51" s="25"/>
      <c r="AV51" s="240">
        <f>SUM(AV16:AV50)</f>
        <v>0</v>
      </c>
    </row>
    <row r="52" spans="2:48">
      <c r="B52" s="851"/>
      <c r="C52" s="53"/>
      <c r="D52" s="53"/>
      <c r="E52" s="54"/>
      <c r="F52" s="259"/>
      <c r="G52" s="259"/>
      <c r="H52" s="55"/>
      <c r="I52" s="318"/>
      <c r="J52" s="56"/>
      <c r="K52" s="55"/>
      <c r="L52" s="278"/>
      <c r="M52" s="278"/>
      <c r="N52" s="227"/>
      <c r="O52" s="278"/>
      <c r="P52" s="287"/>
      <c r="Q52" s="227"/>
      <c r="R52" s="52"/>
      <c r="S52" s="52"/>
      <c r="T52" s="52"/>
      <c r="U52" s="25"/>
      <c r="V52" s="29"/>
      <c r="W52" s="227"/>
      <c r="X52" s="52"/>
      <c r="Y52" s="52"/>
      <c r="Z52" s="52"/>
      <c r="AA52" s="52"/>
      <c r="AB52" s="52"/>
      <c r="AC52" s="52"/>
      <c r="AD52" s="52"/>
      <c r="AE52" s="52"/>
      <c r="AF52" s="52"/>
      <c r="AG52" s="52"/>
      <c r="AH52" s="25"/>
      <c r="AI52" s="29"/>
      <c r="AJ52" s="227"/>
      <c r="AK52" s="52"/>
      <c r="AL52" s="52"/>
      <c r="AM52" s="52"/>
      <c r="AN52" s="52"/>
      <c r="AO52" s="52"/>
      <c r="AP52" s="52"/>
      <c r="AQ52" s="52"/>
      <c r="AR52" s="52"/>
      <c r="AS52" s="52"/>
      <c r="AT52" s="52"/>
      <c r="AU52" s="25"/>
      <c r="AV52" s="29"/>
    </row>
    <row r="53" spans="2:48" ht="15.75">
      <c r="B53" s="751" t="str">
        <f>IF(I12="español","MANO DE OBRA","LABOR")</f>
        <v>MANO DE OBRA</v>
      </c>
      <c r="C53" s="752"/>
      <c r="D53" s="752"/>
      <c r="E53" s="752"/>
      <c r="F53" s="263"/>
      <c r="G53" s="264"/>
      <c r="H53" s="58"/>
      <c r="I53" s="319"/>
      <c r="J53" s="56"/>
      <c r="K53" s="58"/>
      <c r="L53" s="278"/>
      <c r="M53" s="278"/>
      <c r="N53" s="227"/>
      <c r="O53" s="278"/>
      <c r="P53" s="287"/>
      <c r="Q53" s="227"/>
      <c r="R53" s="52"/>
      <c r="S53" s="52"/>
      <c r="T53" s="52"/>
      <c r="U53" s="25"/>
      <c r="V53" s="29"/>
      <c r="W53" s="227"/>
      <c r="X53" s="52"/>
      <c r="Y53" s="52"/>
      <c r="Z53" s="52"/>
      <c r="AA53" s="52"/>
      <c r="AB53" s="52"/>
      <c r="AC53" s="52"/>
      <c r="AD53" s="52"/>
      <c r="AE53" s="52"/>
      <c r="AF53" s="52"/>
      <c r="AG53" s="52"/>
      <c r="AH53" s="25"/>
      <c r="AI53" s="29"/>
      <c r="AJ53" s="227"/>
      <c r="AK53" s="52"/>
      <c r="AL53" s="52"/>
      <c r="AM53" s="52"/>
      <c r="AN53" s="52"/>
      <c r="AO53" s="52"/>
      <c r="AP53" s="52"/>
      <c r="AQ53" s="52"/>
      <c r="AR53" s="52"/>
      <c r="AS53" s="52"/>
      <c r="AT53" s="52"/>
      <c r="AU53" s="25"/>
      <c r="AV53" s="29"/>
    </row>
    <row r="54" spans="2:48">
      <c r="B54" s="851"/>
      <c r="C54" s="219" t="str">
        <f>IF(I12="español","CANT","QTY")</f>
        <v>CANT</v>
      </c>
      <c r="D54" s="219" t="s">
        <v>611</v>
      </c>
      <c r="E54" s="54"/>
      <c r="F54" s="259"/>
      <c r="G54" s="259"/>
      <c r="H54" s="55"/>
      <c r="I54" s="318"/>
      <c r="J54" s="56"/>
      <c r="K54" s="55"/>
      <c r="L54" s="278"/>
      <c r="M54" s="278"/>
      <c r="N54" s="227"/>
      <c r="O54" s="278"/>
      <c r="P54" s="287"/>
      <c r="Q54" s="227"/>
      <c r="R54" s="52"/>
      <c r="S54" s="52"/>
      <c r="T54" s="52"/>
      <c r="U54" s="25"/>
      <c r="V54" s="29"/>
      <c r="W54" s="227"/>
      <c r="X54" s="52"/>
      <c r="Y54" s="52"/>
      <c r="Z54" s="52"/>
      <c r="AA54" s="52"/>
      <c r="AB54" s="52"/>
      <c r="AC54" s="52"/>
      <c r="AD54" s="52"/>
      <c r="AE54" s="52"/>
      <c r="AF54" s="52"/>
      <c r="AG54" s="52"/>
      <c r="AH54" s="25"/>
      <c r="AI54" s="29"/>
      <c r="AJ54" s="227"/>
      <c r="AK54" s="52"/>
      <c r="AL54" s="52"/>
      <c r="AM54" s="52"/>
      <c r="AN54" s="52"/>
      <c r="AO54" s="52"/>
      <c r="AP54" s="52"/>
      <c r="AQ54" s="52"/>
      <c r="AR54" s="52"/>
      <c r="AS54" s="52"/>
      <c r="AT54" s="52"/>
      <c r="AU54" s="25"/>
      <c r="AV54" s="29"/>
    </row>
    <row r="55" spans="2:48">
      <c r="B55" s="851"/>
      <c r="C55" s="53"/>
      <c r="D55" s="53"/>
      <c r="E55" s="671"/>
      <c r="F55" s="259"/>
      <c r="G55" s="260">
        <f t="shared" ref="G55:G72" si="29">+C55*D55*F55</f>
        <v>0</v>
      </c>
      <c r="H55" s="55"/>
      <c r="I55" s="316"/>
      <c r="J55" s="56"/>
      <c r="K55" s="55"/>
      <c r="L55" s="288">
        <f t="shared" ref="L55:L72" si="30">+C55*D55</f>
        <v>0</v>
      </c>
      <c r="M55" s="288">
        <f t="shared" ref="M55:M72" si="31">+L55-O55-U55-AH55-AU55</f>
        <v>0</v>
      </c>
      <c r="N55" s="226"/>
      <c r="O55" s="288">
        <f t="shared" ref="O55:O72" si="32">+L55-U55-AH55-AU55</f>
        <v>0</v>
      </c>
      <c r="P55" s="289">
        <f>$F55*O55</f>
        <v>0</v>
      </c>
      <c r="Q55" s="226"/>
      <c r="R55" s="277"/>
      <c r="S55" s="277"/>
      <c r="T55" s="277"/>
      <c r="U55" s="288">
        <f t="shared" ref="U55:U72" si="33">SUM(R55:T55)</f>
        <v>0</v>
      </c>
      <c r="V55" s="289">
        <f>$F55*U55</f>
        <v>0</v>
      </c>
      <c r="W55" s="226"/>
      <c r="X55" s="277"/>
      <c r="Y55" s="277"/>
      <c r="Z55" s="277"/>
      <c r="AA55" s="277"/>
      <c r="AB55" s="277"/>
      <c r="AC55" s="277"/>
      <c r="AD55" s="277"/>
      <c r="AE55" s="277"/>
      <c r="AF55" s="277"/>
      <c r="AG55" s="277"/>
      <c r="AH55" s="288">
        <f t="shared" ref="AH55:AH72" si="34">SUM(X55:AG55)</f>
        <v>0</v>
      </c>
      <c r="AI55" s="289">
        <f>$F55*AH55</f>
        <v>0</v>
      </c>
      <c r="AJ55" s="226"/>
      <c r="AK55" s="277"/>
      <c r="AL55" s="277"/>
      <c r="AM55" s="277"/>
      <c r="AN55" s="277"/>
      <c r="AO55" s="277"/>
      <c r="AP55" s="277"/>
      <c r="AQ55" s="277"/>
      <c r="AR55" s="277"/>
      <c r="AS55" s="277"/>
      <c r="AT55" s="277"/>
      <c r="AU55" s="288">
        <f t="shared" ref="AU55:AU72" si="35">SUM(AK55:AT55)</f>
        <v>0</v>
      </c>
      <c r="AV55" s="289">
        <f>$F55*AU55</f>
        <v>0</v>
      </c>
    </row>
    <row r="56" spans="2:48">
      <c r="B56" s="851"/>
      <c r="C56" s="52"/>
      <c r="D56" s="52"/>
      <c r="E56" s="693"/>
      <c r="F56" s="692"/>
      <c r="G56" s="260">
        <f t="shared" si="29"/>
        <v>0</v>
      </c>
      <c r="H56" s="55"/>
      <c r="I56" s="316"/>
      <c r="J56" s="56"/>
      <c r="K56" s="55"/>
      <c r="L56" s="288">
        <f t="shared" si="30"/>
        <v>0</v>
      </c>
      <c r="M56" s="288">
        <f t="shared" si="31"/>
        <v>0</v>
      </c>
      <c r="N56" s="226"/>
      <c r="O56" s="288">
        <f t="shared" si="32"/>
        <v>0</v>
      </c>
      <c r="P56" s="289">
        <f t="shared" ref="P56:P72" si="36">$F56*O56</f>
        <v>0</v>
      </c>
      <c r="Q56" s="226"/>
      <c r="R56" s="277"/>
      <c r="S56" s="277"/>
      <c r="T56" s="277"/>
      <c r="U56" s="288">
        <f t="shared" si="33"/>
        <v>0</v>
      </c>
      <c r="V56" s="289">
        <f t="shared" ref="V56:V72" si="37">$F56*U56</f>
        <v>0</v>
      </c>
      <c r="W56" s="226"/>
      <c r="X56" s="277"/>
      <c r="Y56" s="277"/>
      <c r="Z56" s="277"/>
      <c r="AA56" s="277"/>
      <c r="AB56" s="277"/>
      <c r="AC56" s="277"/>
      <c r="AD56" s="277"/>
      <c r="AE56" s="277"/>
      <c r="AF56" s="277"/>
      <c r="AG56" s="277"/>
      <c r="AH56" s="288">
        <f t="shared" si="34"/>
        <v>0</v>
      </c>
      <c r="AI56" s="289">
        <f t="shared" ref="AI56:AI72" si="38">$F56*AH56</f>
        <v>0</v>
      </c>
      <c r="AJ56" s="226"/>
      <c r="AK56" s="277"/>
      <c r="AL56" s="277"/>
      <c r="AM56" s="277"/>
      <c r="AN56" s="277"/>
      <c r="AO56" s="277"/>
      <c r="AP56" s="277"/>
      <c r="AQ56" s="277"/>
      <c r="AR56" s="277"/>
      <c r="AS56" s="277"/>
      <c r="AT56" s="277"/>
      <c r="AU56" s="288">
        <f t="shared" si="35"/>
        <v>0</v>
      </c>
      <c r="AV56" s="289">
        <f t="shared" ref="AV56:AV72" si="39">$F56*AU56</f>
        <v>0</v>
      </c>
    </row>
    <row r="57" spans="2:48">
      <c r="B57" s="851"/>
      <c r="C57" s="52"/>
      <c r="D57" s="52"/>
      <c r="E57" s="693"/>
      <c r="F57" s="692"/>
      <c r="G57" s="260">
        <f>+C57*D57*F57</f>
        <v>0</v>
      </c>
      <c r="H57" s="55"/>
      <c r="I57" s="316"/>
      <c r="J57" s="56"/>
      <c r="K57" s="55"/>
      <c r="L57" s="288">
        <f t="shared" si="30"/>
        <v>0</v>
      </c>
      <c r="M57" s="288">
        <f>+L57-O57-U57-AH57-AU57</f>
        <v>0</v>
      </c>
      <c r="N57" s="226"/>
      <c r="O57" s="288">
        <f>+L57-U57-AH57-AU57</f>
        <v>0</v>
      </c>
      <c r="P57" s="289">
        <f t="shared" si="36"/>
        <v>0</v>
      </c>
      <c r="Q57" s="226"/>
      <c r="R57" s="277"/>
      <c r="S57" s="277"/>
      <c r="T57" s="277"/>
      <c r="U57" s="288">
        <f>SUM(R57:T57)</f>
        <v>0</v>
      </c>
      <c r="V57" s="289">
        <f t="shared" si="37"/>
        <v>0</v>
      </c>
      <c r="W57" s="226"/>
      <c r="X57" s="277"/>
      <c r="Y57" s="277"/>
      <c r="Z57" s="277"/>
      <c r="AA57" s="277"/>
      <c r="AB57" s="277"/>
      <c r="AC57" s="277"/>
      <c r="AD57" s="277"/>
      <c r="AE57" s="277"/>
      <c r="AF57" s="277"/>
      <c r="AG57" s="277"/>
      <c r="AH57" s="288">
        <f>SUM(X57:AG57)</f>
        <v>0</v>
      </c>
      <c r="AI57" s="289">
        <f t="shared" si="38"/>
        <v>0</v>
      </c>
      <c r="AJ57" s="226"/>
      <c r="AK57" s="277"/>
      <c r="AL57" s="277"/>
      <c r="AM57" s="277"/>
      <c r="AN57" s="277"/>
      <c r="AO57" s="277"/>
      <c r="AP57" s="277"/>
      <c r="AQ57" s="277"/>
      <c r="AR57" s="277"/>
      <c r="AS57" s="277"/>
      <c r="AT57" s="277"/>
      <c r="AU57" s="288">
        <f>SUM(AK57:AT57)</f>
        <v>0</v>
      </c>
      <c r="AV57" s="289">
        <f t="shared" si="39"/>
        <v>0</v>
      </c>
    </row>
    <row r="58" spans="2:48">
      <c r="B58" s="851"/>
      <c r="C58" s="52"/>
      <c r="D58" s="52"/>
      <c r="E58" s="693"/>
      <c r="F58" s="692"/>
      <c r="G58" s="260">
        <f t="shared" si="29"/>
        <v>0</v>
      </c>
      <c r="H58" s="55"/>
      <c r="I58" s="316"/>
      <c r="J58" s="56"/>
      <c r="K58" s="55"/>
      <c r="L58" s="288">
        <f t="shared" si="30"/>
        <v>0</v>
      </c>
      <c r="M58" s="288">
        <f t="shared" si="31"/>
        <v>0</v>
      </c>
      <c r="N58" s="226"/>
      <c r="O58" s="288">
        <f t="shared" si="32"/>
        <v>0</v>
      </c>
      <c r="P58" s="289">
        <f t="shared" si="36"/>
        <v>0</v>
      </c>
      <c r="Q58" s="226"/>
      <c r="R58" s="277"/>
      <c r="S58" s="277"/>
      <c r="T58" s="277"/>
      <c r="U58" s="288">
        <f t="shared" si="33"/>
        <v>0</v>
      </c>
      <c r="V58" s="289">
        <f t="shared" si="37"/>
        <v>0</v>
      </c>
      <c r="W58" s="226"/>
      <c r="X58" s="277"/>
      <c r="Y58" s="277"/>
      <c r="Z58" s="277"/>
      <c r="AA58" s="277"/>
      <c r="AB58" s="277"/>
      <c r="AC58" s="277"/>
      <c r="AD58" s="277"/>
      <c r="AE58" s="277"/>
      <c r="AF58" s="277"/>
      <c r="AG58" s="277"/>
      <c r="AH58" s="288">
        <f t="shared" si="34"/>
        <v>0</v>
      </c>
      <c r="AI58" s="289">
        <f t="shared" si="38"/>
        <v>0</v>
      </c>
      <c r="AJ58" s="226"/>
      <c r="AK58" s="277"/>
      <c r="AL58" s="277"/>
      <c r="AM58" s="277"/>
      <c r="AN58" s="277"/>
      <c r="AO58" s="277"/>
      <c r="AP58" s="277"/>
      <c r="AQ58" s="277"/>
      <c r="AR58" s="277"/>
      <c r="AS58" s="277"/>
      <c r="AT58" s="277"/>
      <c r="AU58" s="288">
        <f t="shared" si="35"/>
        <v>0</v>
      </c>
      <c r="AV58" s="289">
        <f t="shared" si="39"/>
        <v>0</v>
      </c>
    </row>
    <row r="59" spans="2:48" hidden="1">
      <c r="B59" s="851"/>
      <c r="C59" s="53"/>
      <c r="D59" s="53"/>
      <c r="E59" s="59"/>
      <c r="F59" s="259"/>
      <c r="G59" s="260">
        <f t="shared" si="29"/>
        <v>0</v>
      </c>
      <c r="H59" s="55"/>
      <c r="I59" s="316"/>
      <c r="J59" s="56"/>
      <c r="K59" s="55"/>
      <c r="L59" s="288">
        <f t="shared" si="30"/>
        <v>0</v>
      </c>
      <c r="M59" s="288">
        <f t="shared" si="31"/>
        <v>0</v>
      </c>
      <c r="N59" s="226"/>
      <c r="O59" s="288">
        <f t="shared" si="32"/>
        <v>0</v>
      </c>
      <c r="P59" s="289">
        <f t="shared" si="36"/>
        <v>0</v>
      </c>
      <c r="Q59" s="226"/>
      <c r="R59" s="277"/>
      <c r="S59" s="277"/>
      <c r="T59" s="277"/>
      <c r="U59" s="288">
        <f t="shared" si="33"/>
        <v>0</v>
      </c>
      <c r="V59" s="289">
        <f t="shared" si="37"/>
        <v>0</v>
      </c>
      <c r="W59" s="226"/>
      <c r="X59" s="277"/>
      <c r="Y59" s="277"/>
      <c r="Z59" s="277"/>
      <c r="AA59" s="277"/>
      <c r="AB59" s="277"/>
      <c r="AC59" s="277"/>
      <c r="AD59" s="277"/>
      <c r="AE59" s="277"/>
      <c r="AF59" s="277"/>
      <c r="AG59" s="277"/>
      <c r="AH59" s="288">
        <f t="shared" si="34"/>
        <v>0</v>
      </c>
      <c r="AI59" s="289">
        <f t="shared" si="38"/>
        <v>0</v>
      </c>
      <c r="AJ59" s="226"/>
      <c r="AK59" s="277"/>
      <c r="AL59" s="277"/>
      <c r="AM59" s="277"/>
      <c r="AN59" s="277"/>
      <c r="AO59" s="277"/>
      <c r="AP59" s="277"/>
      <c r="AQ59" s="277"/>
      <c r="AR59" s="277"/>
      <c r="AS59" s="277"/>
      <c r="AT59" s="277"/>
      <c r="AU59" s="288">
        <f t="shared" si="35"/>
        <v>0</v>
      </c>
      <c r="AV59" s="289">
        <f t="shared" si="39"/>
        <v>0</v>
      </c>
    </row>
    <row r="60" spans="2:48" hidden="1">
      <c r="B60" s="851"/>
      <c r="C60" s="53"/>
      <c r="D60" s="53"/>
      <c r="E60" s="59"/>
      <c r="F60" s="259"/>
      <c r="G60" s="260">
        <f t="shared" si="29"/>
        <v>0</v>
      </c>
      <c r="H60" s="55"/>
      <c r="I60" s="316"/>
      <c r="J60" s="56"/>
      <c r="K60" s="55"/>
      <c r="L60" s="288">
        <f t="shared" si="30"/>
        <v>0</v>
      </c>
      <c r="M60" s="288">
        <f t="shared" si="31"/>
        <v>0</v>
      </c>
      <c r="N60" s="226"/>
      <c r="O60" s="288">
        <f t="shared" si="32"/>
        <v>0</v>
      </c>
      <c r="P60" s="289">
        <f t="shared" si="36"/>
        <v>0</v>
      </c>
      <c r="Q60" s="226"/>
      <c r="R60" s="277"/>
      <c r="S60" s="277"/>
      <c r="T60" s="277"/>
      <c r="U60" s="288">
        <f t="shared" si="33"/>
        <v>0</v>
      </c>
      <c r="V60" s="289">
        <f t="shared" si="37"/>
        <v>0</v>
      </c>
      <c r="W60" s="226"/>
      <c r="X60" s="277"/>
      <c r="Y60" s="277"/>
      <c r="Z60" s="277"/>
      <c r="AA60" s="277"/>
      <c r="AB60" s="277"/>
      <c r="AC60" s="277"/>
      <c r="AD60" s="277"/>
      <c r="AE60" s="277"/>
      <c r="AF60" s="277"/>
      <c r="AG60" s="277"/>
      <c r="AH60" s="288">
        <f t="shared" si="34"/>
        <v>0</v>
      </c>
      <c r="AI60" s="289">
        <f t="shared" si="38"/>
        <v>0</v>
      </c>
      <c r="AJ60" s="226"/>
      <c r="AK60" s="277"/>
      <c r="AL60" s="277"/>
      <c r="AM60" s="277"/>
      <c r="AN60" s="277"/>
      <c r="AO60" s="277"/>
      <c r="AP60" s="277"/>
      <c r="AQ60" s="277"/>
      <c r="AR60" s="277"/>
      <c r="AS60" s="277"/>
      <c r="AT60" s="277"/>
      <c r="AU60" s="288">
        <f t="shared" si="35"/>
        <v>0</v>
      </c>
      <c r="AV60" s="289">
        <f t="shared" si="39"/>
        <v>0</v>
      </c>
    </row>
    <row r="61" spans="2:48" hidden="1">
      <c r="B61" s="851"/>
      <c r="C61" s="53"/>
      <c r="D61" s="53"/>
      <c r="E61" s="59"/>
      <c r="F61" s="259"/>
      <c r="G61" s="260">
        <f t="shared" si="29"/>
        <v>0</v>
      </c>
      <c r="H61" s="55"/>
      <c r="I61" s="316"/>
      <c r="J61" s="56"/>
      <c r="K61" s="55"/>
      <c r="L61" s="288">
        <f t="shared" si="30"/>
        <v>0</v>
      </c>
      <c r="M61" s="288">
        <f t="shared" si="31"/>
        <v>0</v>
      </c>
      <c r="N61" s="226"/>
      <c r="O61" s="288">
        <f t="shared" si="32"/>
        <v>0</v>
      </c>
      <c r="P61" s="289">
        <f t="shared" si="36"/>
        <v>0</v>
      </c>
      <c r="Q61" s="226"/>
      <c r="R61" s="277"/>
      <c r="S61" s="277"/>
      <c r="T61" s="277"/>
      <c r="U61" s="288">
        <f t="shared" si="33"/>
        <v>0</v>
      </c>
      <c r="V61" s="289">
        <f t="shared" si="37"/>
        <v>0</v>
      </c>
      <c r="W61" s="226"/>
      <c r="X61" s="277"/>
      <c r="Y61" s="277"/>
      <c r="Z61" s="277"/>
      <c r="AA61" s="277"/>
      <c r="AB61" s="277"/>
      <c r="AC61" s="277"/>
      <c r="AD61" s="277"/>
      <c r="AE61" s="277"/>
      <c r="AF61" s="277"/>
      <c r="AG61" s="277"/>
      <c r="AH61" s="288">
        <f t="shared" si="34"/>
        <v>0</v>
      </c>
      <c r="AI61" s="289">
        <f t="shared" si="38"/>
        <v>0</v>
      </c>
      <c r="AJ61" s="226"/>
      <c r="AK61" s="277"/>
      <c r="AL61" s="277"/>
      <c r="AM61" s="277"/>
      <c r="AN61" s="277"/>
      <c r="AO61" s="277"/>
      <c r="AP61" s="277"/>
      <c r="AQ61" s="277"/>
      <c r="AR61" s="277"/>
      <c r="AS61" s="277"/>
      <c r="AT61" s="277"/>
      <c r="AU61" s="288">
        <f t="shared" si="35"/>
        <v>0</v>
      </c>
      <c r="AV61" s="289">
        <f t="shared" si="39"/>
        <v>0</v>
      </c>
    </row>
    <row r="62" spans="2:48" hidden="1">
      <c r="B62" s="851"/>
      <c r="C62" s="53"/>
      <c r="D62" s="53"/>
      <c r="E62" s="59"/>
      <c r="F62" s="259"/>
      <c r="G62" s="260">
        <f t="shared" si="29"/>
        <v>0</v>
      </c>
      <c r="H62" s="55"/>
      <c r="I62" s="316"/>
      <c r="J62" s="56"/>
      <c r="K62" s="55"/>
      <c r="L62" s="288">
        <f t="shared" si="30"/>
        <v>0</v>
      </c>
      <c r="M62" s="288">
        <f t="shared" si="31"/>
        <v>0</v>
      </c>
      <c r="N62" s="226"/>
      <c r="O62" s="288">
        <f t="shared" si="32"/>
        <v>0</v>
      </c>
      <c r="P62" s="289">
        <f t="shared" si="36"/>
        <v>0</v>
      </c>
      <c r="Q62" s="226"/>
      <c r="R62" s="277"/>
      <c r="S62" s="277"/>
      <c r="T62" s="277"/>
      <c r="U62" s="288">
        <f t="shared" si="33"/>
        <v>0</v>
      </c>
      <c r="V62" s="289">
        <f t="shared" si="37"/>
        <v>0</v>
      </c>
      <c r="W62" s="226"/>
      <c r="X62" s="277"/>
      <c r="Y62" s="277"/>
      <c r="Z62" s="277"/>
      <c r="AA62" s="277"/>
      <c r="AB62" s="277"/>
      <c r="AC62" s="277"/>
      <c r="AD62" s="277"/>
      <c r="AE62" s="277"/>
      <c r="AF62" s="277"/>
      <c r="AG62" s="277"/>
      <c r="AH62" s="288">
        <f t="shared" si="34"/>
        <v>0</v>
      </c>
      <c r="AI62" s="289">
        <f t="shared" si="38"/>
        <v>0</v>
      </c>
      <c r="AJ62" s="226"/>
      <c r="AK62" s="277"/>
      <c r="AL62" s="277"/>
      <c r="AM62" s="277"/>
      <c r="AN62" s="277"/>
      <c r="AO62" s="277"/>
      <c r="AP62" s="277"/>
      <c r="AQ62" s="277"/>
      <c r="AR62" s="277"/>
      <c r="AS62" s="277"/>
      <c r="AT62" s="277"/>
      <c r="AU62" s="288">
        <f t="shared" si="35"/>
        <v>0</v>
      </c>
      <c r="AV62" s="289">
        <f t="shared" si="39"/>
        <v>0</v>
      </c>
    </row>
    <row r="63" spans="2:48" hidden="1">
      <c r="B63" s="851"/>
      <c r="C63" s="53"/>
      <c r="D63" s="53"/>
      <c r="E63" s="59"/>
      <c r="F63" s="259"/>
      <c r="G63" s="260">
        <f t="shared" si="29"/>
        <v>0</v>
      </c>
      <c r="H63" s="55"/>
      <c r="I63" s="316"/>
      <c r="J63" s="56"/>
      <c r="K63" s="55"/>
      <c r="L63" s="288">
        <f t="shared" si="30"/>
        <v>0</v>
      </c>
      <c r="M63" s="288">
        <f t="shared" si="31"/>
        <v>0</v>
      </c>
      <c r="N63" s="226"/>
      <c r="O63" s="288">
        <f t="shared" si="32"/>
        <v>0</v>
      </c>
      <c r="P63" s="289">
        <f t="shared" si="36"/>
        <v>0</v>
      </c>
      <c r="Q63" s="226"/>
      <c r="R63" s="277"/>
      <c r="S63" s="277"/>
      <c r="T63" s="277"/>
      <c r="U63" s="288">
        <f t="shared" si="33"/>
        <v>0</v>
      </c>
      <c r="V63" s="289">
        <f t="shared" si="37"/>
        <v>0</v>
      </c>
      <c r="W63" s="226"/>
      <c r="X63" s="277"/>
      <c r="Y63" s="277"/>
      <c r="Z63" s="277"/>
      <c r="AA63" s="277"/>
      <c r="AB63" s="277"/>
      <c r="AC63" s="277"/>
      <c r="AD63" s="277"/>
      <c r="AE63" s="277"/>
      <c r="AF63" s="277"/>
      <c r="AG63" s="277"/>
      <c r="AH63" s="288">
        <f t="shared" si="34"/>
        <v>0</v>
      </c>
      <c r="AI63" s="289">
        <f t="shared" si="38"/>
        <v>0</v>
      </c>
      <c r="AJ63" s="226"/>
      <c r="AK63" s="277"/>
      <c r="AL63" s="277"/>
      <c r="AM63" s="277"/>
      <c r="AN63" s="277"/>
      <c r="AO63" s="277"/>
      <c r="AP63" s="277"/>
      <c r="AQ63" s="277"/>
      <c r="AR63" s="277"/>
      <c r="AS63" s="277"/>
      <c r="AT63" s="277"/>
      <c r="AU63" s="288">
        <f t="shared" si="35"/>
        <v>0</v>
      </c>
      <c r="AV63" s="289">
        <f t="shared" si="39"/>
        <v>0</v>
      </c>
    </row>
    <row r="64" spans="2:48" hidden="1" outlineLevel="1">
      <c r="B64" s="851"/>
      <c r="C64" s="53"/>
      <c r="D64" s="53"/>
      <c r="E64" s="59"/>
      <c r="F64" s="259"/>
      <c r="G64" s="260">
        <f t="shared" si="29"/>
        <v>0</v>
      </c>
      <c r="H64" s="55"/>
      <c r="I64" s="316"/>
      <c r="J64" s="56"/>
      <c r="K64" s="55"/>
      <c r="L64" s="288">
        <f t="shared" si="30"/>
        <v>0</v>
      </c>
      <c r="M64" s="288">
        <f t="shared" si="31"/>
        <v>0</v>
      </c>
      <c r="N64" s="226"/>
      <c r="O64" s="288">
        <f t="shared" si="32"/>
        <v>0</v>
      </c>
      <c r="P64" s="289">
        <f t="shared" si="36"/>
        <v>0</v>
      </c>
      <c r="Q64" s="226"/>
      <c r="R64" s="277"/>
      <c r="S64" s="277"/>
      <c r="T64" s="277"/>
      <c r="U64" s="288">
        <f t="shared" si="33"/>
        <v>0</v>
      </c>
      <c r="V64" s="289">
        <f t="shared" si="37"/>
        <v>0</v>
      </c>
      <c r="W64" s="226"/>
      <c r="X64" s="277"/>
      <c r="Y64" s="277"/>
      <c r="Z64" s="277"/>
      <c r="AA64" s="277"/>
      <c r="AB64" s="277"/>
      <c r="AC64" s="277"/>
      <c r="AD64" s="277"/>
      <c r="AE64" s="277"/>
      <c r="AF64" s="277"/>
      <c r="AG64" s="277"/>
      <c r="AH64" s="288">
        <f t="shared" si="34"/>
        <v>0</v>
      </c>
      <c r="AI64" s="289">
        <f t="shared" si="38"/>
        <v>0</v>
      </c>
      <c r="AJ64" s="226"/>
      <c r="AK64" s="277"/>
      <c r="AL64" s="277"/>
      <c r="AM64" s="277"/>
      <c r="AN64" s="277"/>
      <c r="AO64" s="277"/>
      <c r="AP64" s="277"/>
      <c r="AQ64" s="277"/>
      <c r="AR64" s="277"/>
      <c r="AS64" s="277"/>
      <c r="AT64" s="277"/>
      <c r="AU64" s="288">
        <f t="shared" si="35"/>
        <v>0</v>
      </c>
      <c r="AV64" s="289">
        <f t="shared" si="39"/>
        <v>0</v>
      </c>
    </row>
    <row r="65" spans="2:58" hidden="1" outlineLevel="1">
      <c r="B65" s="851"/>
      <c r="C65" s="53"/>
      <c r="D65" s="53"/>
      <c r="E65" s="59"/>
      <c r="F65" s="259"/>
      <c r="G65" s="260">
        <f t="shared" si="29"/>
        <v>0</v>
      </c>
      <c r="H65" s="55"/>
      <c r="I65" s="316"/>
      <c r="J65" s="56"/>
      <c r="K65" s="55"/>
      <c r="L65" s="288">
        <f t="shared" si="30"/>
        <v>0</v>
      </c>
      <c r="M65" s="288">
        <f t="shared" si="31"/>
        <v>0</v>
      </c>
      <c r="N65" s="226"/>
      <c r="O65" s="288">
        <f t="shared" si="32"/>
        <v>0</v>
      </c>
      <c r="P65" s="289">
        <f t="shared" si="36"/>
        <v>0</v>
      </c>
      <c r="Q65" s="226"/>
      <c r="R65" s="277"/>
      <c r="S65" s="277"/>
      <c r="T65" s="277"/>
      <c r="U65" s="288">
        <f t="shared" si="33"/>
        <v>0</v>
      </c>
      <c r="V65" s="289">
        <f t="shared" si="37"/>
        <v>0</v>
      </c>
      <c r="W65" s="226"/>
      <c r="X65" s="277"/>
      <c r="Y65" s="277"/>
      <c r="Z65" s="277"/>
      <c r="AA65" s="277"/>
      <c r="AB65" s="277"/>
      <c r="AC65" s="277"/>
      <c r="AD65" s="277"/>
      <c r="AE65" s="277"/>
      <c r="AF65" s="277"/>
      <c r="AG65" s="277"/>
      <c r="AH65" s="288">
        <f t="shared" si="34"/>
        <v>0</v>
      </c>
      <c r="AI65" s="289">
        <f t="shared" si="38"/>
        <v>0</v>
      </c>
      <c r="AJ65" s="226"/>
      <c r="AK65" s="277"/>
      <c r="AL65" s="277"/>
      <c r="AM65" s="277"/>
      <c r="AN65" s="277"/>
      <c r="AO65" s="277"/>
      <c r="AP65" s="277"/>
      <c r="AQ65" s="277"/>
      <c r="AR65" s="277"/>
      <c r="AS65" s="277"/>
      <c r="AT65" s="277"/>
      <c r="AU65" s="288">
        <f t="shared" si="35"/>
        <v>0</v>
      </c>
      <c r="AV65" s="289">
        <f t="shared" si="39"/>
        <v>0</v>
      </c>
    </row>
    <row r="66" spans="2:58" hidden="1">
      <c r="B66" s="851"/>
      <c r="C66" s="53"/>
      <c r="D66" s="53"/>
      <c r="E66" s="59"/>
      <c r="F66" s="259"/>
      <c r="G66" s="260">
        <f t="shared" si="29"/>
        <v>0</v>
      </c>
      <c r="H66" s="55"/>
      <c r="I66" s="316"/>
      <c r="J66" s="56"/>
      <c r="K66" s="55"/>
      <c r="L66" s="288">
        <f t="shared" si="30"/>
        <v>0</v>
      </c>
      <c r="M66" s="288">
        <f t="shared" si="31"/>
        <v>0</v>
      </c>
      <c r="N66" s="226"/>
      <c r="O66" s="288">
        <f t="shared" si="32"/>
        <v>0</v>
      </c>
      <c r="P66" s="289">
        <f t="shared" si="36"/>
        <v>0</v>
      </c>
      <c r="Q66" s="226"/>
      <c r="R66" s="277"/>
      <c r="S66" s="277"/>
      <c r="T66" s="277"/>
      <c r="U66" s="288">
        <f t="shared" si="33"/>
        <v>0</v>
      </c>
      <c r="V66" s="289">
        <f t="shared" si="37"/>
        <v>0</v>
      </c>
      <c r="W66" s="226"/>
      <c r="X66" s="277"/>
      <c r="Y66" s="277"/>
      <c r="Z66" s="277"/>
      <c r="AA66" s="277"/>
      <c r="AB66" s="277"/>
      <c r="AC66" s="277"/>
      <c r="AD66" s="277"/>
      <c r="AE66" s="277"/>
      <c r="AF66" s="277"/>
      <c r="AG66" s="277"/>
      <c r="AH66" s="288">
        <f t="shared" si="34"/>
        <v>0</v>
      </c>
      <c r="AI66" s="289">
        <f t="shared" si="38"/>
        <v>0</v>
      </c>
      <c r="AJ66" s="226"/>
      <c r="AK66" s="277"/>
      <c r="AL66" s="277"/>
      <c r="AM66" s="277"/>
      <c r="AN66" s="277"/>
      <c r="AO66" s="277"/>
      <c r="AP66" s="277"/>
      <c r="AQ66" s="277"/>
      <c r="AR66" s="277"/>
      <c r="AS66" s="277"/>
      <c r="AT66" s="277"/>
      <c r="AU66" s="288">
        <f t="shared" si="35"/>
        <v>0</v>
      </c>
      <c r="AV66" s="289">
        <f t="shared" si="39"/>
        <v>0</v>
      </c>
    </row>
    <row r="67" spans="2:58" outlineLevel="1">
      <c r="B67" s="851"/>
      <c r="C67" s="53"/>
      <c r="D67" s="53"/>
      <c r="E67" s="697"/>
      <c r="F67" s="259"/>
      <c r="G67" s="260">
        <f t="shared" si="29"/>
        <v>0</v>
      </c>
      <c r="H67" s="55"/>
      <c r="I67" s="316"/>
      <c r="J67" s="56"/>
      <c r="K67" s="55"/>
      <c r="L67" s="288">
        <f t="shared" si="30"/>
        <v>0</v>
      </c>
      <c r="M67" s="288">
        <f t="shared" si="31"/>
        <v>0</v>
      </c>
      <c r="N67" s="226"/>
      <c r="O67" s="288">
        <f t="shared" si="32"/>
        <v>0</v>
      </c>
      <c r="P67" s="289">
        <f t="shared" si="36"/>
        <v>0</v>
      </c>
      <c r="Q67" s="226"/>
      <c r="R67" s="277"/>
      <c r="S67" s="277"/>
      <c r="T67" s="277"/>
      <c r="U67" s="288">
        <f t="shared" si="33"/>
        <v>0</v>
      </c>
      <c r="V67" s="289">
        <f t="shared" si="37"/>
        <v>0</v>
      </c>
      <c r="W67" s="226"/>
      <c r="X67" s="277"/>
      <c r="Y67" s="277"/>
      <c r="Z67" s="277"/>
      <c r="AA67" s="277"/>
      <c r="AB67" s="277"/>
      <c r="AC67" s="277"/>
      <c r="AD67" s="277"/>
      <c r="AE67" s="277"/>
      <c r="AF67" s="277"/>
      <c r="AG67" s="277"/>
      <c r="AH67" s="288">
        <f t="shared" si="34"/>
        <v>0</v>
      </c>
      <c r="AI67" s="289">
        <f t="shared" si="38"/>
        <v>0</v>
      </c>
      <c r="AJ67" s="226"/>
      <c r="AK67" s="277"/>
      <c r="AL67" s="277"/>
      <c r="AM67" s="277"/>
      <c r="AN67" s="277"/>
      <c r="AO67" s="277"/>
      <c r="AP67" s="277"/>
      <c r="AQ67" s="277"/>
      <c r="AR67" s="277"/>
      <c r="AS67" s="277"/>
      <c r="AT67" s="277"/>
      <c r="AU67" s="288">
        <f t="shared" si="35"/>
        <v>0</v>
      </c>
      <c r="AV67" s="289">
        <f t="shared" si="39"/>
        <v>0</v>
      </c>
    </row>
    <row r="68" spans="2:58" outlineLevel="1">
      <c r="B68" s="851"/>
      <c r="C68" s="53"/>
      <c r="D68" s="53"/>
      <c r="E68" s="59"/>
      <c r="F68" s="259"/>
      <c r="G68" s="260">
        <f t="shared" si="29"/>
        <v>0</v>
      </c>
      <c r="H68" s="55"/>
      <c r="I68" s="316"/>
      <c r="J68" s="56"/>
      <c r="K68" s="55"/>
      <c r="L68" s="288">
        <f t="shared" si="30"/>
        <v>0</v>
      </c>
      <c r="M68" s="288">
        <f t="shared" si="31"/>
        <v>0</v>
      </c>
      <c r="N68" s="226"/>
      <c r="O68" s="288">
        <f t="shared" si="32"/>
        <v>0</v>
      </c>
      <c r="P68" s="289">
        <f t="shared" si="36"/>
        <v>0</v>
      </c>
      <c r="Q68" s="226"/>
      <c r="R68" s="277"/>
      <c r="S68" s="277"/>
      <c r="T68" s="277"/>
      <c r="U68" s="288">
        <f t="shared" si="33"/>
        <v>0</v>
      </c>
      <c r="V68" s="289">
        <f t="shared" si="37"/>
        <v>0</v>
      </c>
      <c r="W68" s="226"/>
      <c r="X68" s="277"/>
      <c r="Y68" s="277"/>
      <c r="Z68" s="277"/>
      <c r="AA68" s="277"/>
      <c r="AB68" s="277"/>
      <c r="AC68" s="277"/>
      <c r="AD68" s="277"/>
      <c r="AE68" s="277"/>
      <c r="AF68" s="277"/>
      <c r="AG68" s="277"/>
      <c r="AH68" s="288">
        <f t="shared" si="34"/>
        <v>0</v>
      </c>
      <c r="AI68" s="289">
        <f t="shared" si="38"/>
        <v>0</v>
      </c>
      <c r="AJ68" s="226"/>
      <c r="AK68" s="277"/>
      <c r="AL68" s="277"/>
      <c r="AM68" s="277"/>
      <c r="AN68" s="277"/>
      <c r="AO68" s="277"/>
      <c r="AP68" s="277"/>
      <c r="AQ68" s="277"/>
      <c r="AR68" s="277"/>
      <c r="AS68" s="277"/>
      <c r="AT68" s="277"/>
      <c r="AU68" s="288">
        <f t="shared" si="35"/>
        <v>0</v>
      </c>
      <c r="AV68" s="289">
        <f t="shared" si="39"/>
        <v>0</v>
      </c>
    </row>
    <row r="69" spans="2:58" hidden="1" outlineLevel="1">
      <c r="B69" s="851"/>
      <c r="C69" s="53"/>
      <c r="D69" s="53"/>
      <c r="E69" s="59"/>
      <c r="F69" s="259"/>
      <c r="G69" s="260">
        <f t="shared" si="29"/>
        <v>0</v>
      </c>
      <c r="H69" s="55"/>
      <c r="I69" s="316"/>
      <c r="J69" s="56"/>
      <c r="K69" s="55"/>
      <c r="L69" s="288">
        <f t="shared" si="30"/>
        <v>0</v>
      </c>
      <c r="M69" s="288">
        <f t="shared" si="31"/>
        <v>0</v>
      </c>
      <c r="N69" s="226"/>
      <c r="O69" s="288">
        <f t="shared" si="32"/>
        <v>0</v>
      </c>
      <c r="P69" s="289">
        <f t="shared" si="36"/>
        <v>0</v>
      </c>
      <c r="Q69" s="226"/>
      <c r="R69" s="277"/>
      <c r="S69" s="277"/>
      <c r="T69" s="277"/>
      <c r="U69" s="288">
        <f t="shared" si="33"/>
        <v>0</v>
      </c>
      <c r="V69" s="289">
        <f t="shared" si="37"/>
        <v>0</v>
      </c>
      <c r="W69" s="226"/>
      <c r="X69" s="277"/>
      <c r="Y69" s="277"/>
      <c r="Z69" s="277"/>
      <c r="AA69" s="277"/>
      <c r="AB69" s="277"/>
      <c r="AC69" s="277"/>
      <c r="AD69" s="277"/>
      <c r="AE69" s="277"/>
      <c r="AF69" s="277"/>
      <c r="AG69" s="277"/>
      <c r="AH69" s="288">
        <f t="shared" si="34"/>
        <v>0</v>
      </c>
      <c r="AI69" s="289">
        <f t="shared" si="38"/>
        <v>0</v>
      </c>
      <c r="AJ69" s="226"/>
      <c r="AK69" s="277"/>
      <c r="AL69" s="277"/>
      <c r="AM69" s="277"/>
      <c r="AN69" s="277"/>
      <c r="AO69" s="277"/>
      <c r="AP69" s="277"/>
      <c r="AQ69" s="277"/>
      <c r="AR69" s="277"/>
      <c r="AS69" s="277"/>
      <c r="AT69" s="277"/>
      <c r="AU69" s="288">
        <f t="shared" si="35"/>
        <v>0</v>
      </c>
      <c r="AV69" s="289">
        <f t="shared" si="39"/>
        <v>0</v>
      </c>
    </row>
    <row r="70" spans="2:58" hidden="1" outlineLevel="1">
      <c r="B70" s="851"/>
      <c r="C70" s="53"/>
      <c r="D70" s="53"/>
      <c r="E70" s="59"/>
      <c r="F70" s="259"/>
      <c r="G70" s="260">
        <f t="shared" si="29"/>
        <v>0</v>
      </c>
      <c r="H70" s="55"/>
      <c r="I70" s="316"/>
      <c r="J70" s="56"/>
      <c r="K70" s="55"/>
      <c r="L70" s="288">
        <f t="shared" si="30"/>
        <v>0</v>
      </c>
      <c r="M70" s="288">
        <f t="shared" si="31"/>
        <v>0</v>
      </c>
      <c r="N70" s="226"/>
      <c r="O70" s="288">
        <f t="shared" si="32"/>
        <v>0</v>
      </c>
      <c r="P70" s="289">
        <f t="shared" si="36"/>
        <v>0</v>
      </c>
      <c r="Q70" s="226"/>
      <c r="R70" s="277"/>
      <c r="S70" s="277"/>
      <c r="T70" s="277"/>
      <c r="U70" s="288">
        <f t="shared" si="33"/>
        <v>0</v>
      </c>
      <c r="V70" s="289">
        <f t="shared" si="37"/>
        <v>0</v>
      </c>
      <c r="W70" s="226"/>
      <c r="X70" s="277"/>
      <c r="Y70" s="277"/>
      <c r="Z70" s="277"/>
      <c r="AA70" s="277"/>
      <c r="AB70" s="277"/>
      <c r="AC70" s="277"/>
      <c r="AD70" s="277"/>
      <c r="AE70" s="277"/>
      <c r="AF70" s="277"/>
      <c r="AG70" s="277"/>
      <c r="AH70" s="288">
        <f t="shared" si="34"/>
        <v>0</v>
      </c>
      <c r="AI70" s="289">
        <f t="shared" si="38"/>
        <v>0</v>
      </c>
      <c r="AJ70" s="226"/>
      <c r="AK70" s="277"/>
      <c r="AL70" s="277"/>
      <c r="AM70" s="277"/>
      <c r="AN70" s="277"/>
      <c r="AO70" s="277"/>
      <c r="AP70" s="277"/>
      <c r="AQ70" s="277"/>
      <c r="AR70" s="277"/>
      <c r="AS70" s="277"/>
      <c r="AT70" s="277"/>
      <c r="AU70" s="288">
        <f t="shared" si="35"/>
        <v>0</v>
      </c>
      <c r="AV70" s="289">
        <f t="shared" si="39"/>
        <v>0</v>
      </c>
    </row>
    <row r="71" spans="2:58" hidden="1" outlineLevel="1">
      <c r="B71" s="851"/>
      <c r="C71" s="53"/>
      <c r="D71" s="53"/>
      <c r="E71" s="59"/>
      <c r="F71" s="259"/>
      <c r="G71" s="260">
        <f t="shared" si="29"/>
        <v>0</v>
      </c>
      <c r="H71" s="55"/>
      <c r="I71" s="316"/>
      <c r="J71" s="56"/>
      <c r="K71" s="55"/>
      <c r="L71" s="288">
        <f t="shared" si="30"/>
        <v>0</v>
      </c>
      <c r="M71" s="288">
        <f t="shared" si="31"/>
        <v>0</v>
      </c>
      <c r="N71" s="226"/>
      <c r="O71" s="288">
        <f t="shared" si="32"/>
        <v>0</v>
      </c>
      <c r="P71" s="289">
        <f t="shared" si="36"/>
        <v>0</v>
      </c>
      <c r="Q71" s="226"/>
      <c r="R71" s="277"/>
      <c r="S71" s="277"/>
      <c r="T71" s="277"/>
      <c r="U71" s="288">
        <f t="shared" si="33"/>
        <v>0</v>
      </c>
      <c r="V71" s="289">
        <f t="shared" si="37"/>
        <v>0</v>
      </c>
      <c r="W71" s="226"/>
      <c r="X71" s="277"/>
      <c r="Y71" s="277"/>
      <c r="Z71" s="277"/>
      <c r="AA71" s="277"/>
      <c r="AB71" s="277"/>
      <c r="AC71" s="277"/>
      <c r="AD71" s="277"/>
      <c r="AE71" s="277"/>
      <c r="AF71" s="277"/>
      <c r="AG71" s="277"/>
      <c r="AH71" s="288">
        <f t="shared" si="34"/>
        <v>0</v>
      </c>
      <c r="AI71" s="289">
        <f t="shared" si="38"/>
        <v>0</v>
      </c>
      <c r="AJ71" s="226"/>
      <c r="AK71" s="277"/>
      <c r="AL71" s="277"/>
      <c r="AM71" s="277"/>
      <c r="AN71" s="277"/>
      <c r="AO71" s="277"/>
      <c r="AP71" s="277"/>
      <c r="AQ71" s="277"/>
      <c r="AR71" s="277"/>
      <c r="AS71" s="277"/>
      <c r="AT71" s="277"/>
      <c r="AU71" s="288">
        <f t="shared" si="35"/>
        <v>0</v>
      </c>
      <c r="AV71" s="289">
        <f t="shared" si="39"/>
        <v>0</v>
      </c>
    </row>
    <row r="72" spans="2:58" hidden="1" outlineLevel="1">
      <c r="B72" s="851"/>
      <c r="C72" s="53"/>
      <c r="D72" s="53"/>
      <c r="E72" s="59"/>
      <c r="F72" s="259"/>
      <c r="G72" s="260">
        <f t="shared" si="29"/>
        <v>0</v>
      </c>
      <c r="H72" s="55"/>
      <c r="I72" s="316"/>
      <c r="J72" s="56"/>
      <c r="K72" s="55"/>
      <c r="L72" s="288">
        <f t="shared" si="30"/>
        <v>0</v>
      </c>
      <c r="M72" s="288">
        <f t="shared" si="31"/>
        <v>0</v>
      </c>
      <c r="N72" s="226"/>
      <c r="O72" s="288">
        <f t="shared" si="32"/>
        <v>0</v>
      </c>
      <c r="P72" s="289">
        <f t="shared" si="36"/>
        <v>0</v>
      </c>
      <c r="Q72" s="226"/>
      <c r="R72" s="277"/>
      <c r="S72" s="277"/>
      <c r="T72" s="277"/>
      <c r="U72" s="288">
        <f t="shared" si="33"/>
        <v>0</v>
      </c>
      <c r="V72" s="289">
        <f t="shared" si="37"/>
        <v>0</v>
      </c>
      <c r="W72" s="226"/>
      <c r="X72" s="277"/>
      <c r="Y72" s="277"/>
      <c r="Z72" s="277"/>
      <c r="AA72" s="277"/>
      <c r="AB72" s="277"/>
      <c r="AC72" s="277"/>
      <c r="AD72" s="277"/>
      <c r="AE72" s="277"/>
      <c r="AF72" s="277"/>
      <c r="AG72" s="277"/>
      <c r="AH72" s="288">
        <f t="shared" si="34"/>
        <v>0</v>
      </c>
      <c r="AI72" s="289">
        <f t="shared" si="38"/>
        <v>0</v>
      </c>
      <c r="AJ72" s="226"/>
      <c r="AK72" s="277"/>
      <c r="AL72" s="277"/>
      <c r="AM72" s="277"/>
      <c r="AN72" s="277"/>
      <c r="AO72" s="277"/>
      <c r="AP72" s="277"/>
      <c r="AQ72" s="277"/>
      <c r="AR72" s="277"/>
      <c r="AS72" s="277"/>
      <c r="AT72" s="277"/>
      <c r="AU72" s="288">
        <f t="shared" si="35"/>
        <v>0</v>
      </c>
      <c r="AV72" s="289">
        <f t="shared" si="39"/>
        <v>0</v>
      </c>
    </row>
    <row r="73" spans="2:58">
      <c r="B73" s="851"/>
      <c r="C73" s="53"/>
      <c r="D73" s="53"/>
      <c r="E73" s="250" t="str">
        <f>IF(I12="español","TOTAL MANO DE OBRA","TOTAL LABOR")</f>
        <v>TOTAL MANO DE OBRA</v>
      </c>
      <c r="F73" s="261">
        <f>'2-Cotización'!G22</f>
        <v>0</v>
      </c>
      <c r="G73" s="262">
        <f>SUM(G55:G72)</f>
        <v>0</v>
      </c>
      <c r="H73" s="57"/>
      <c r="I73" s="317"/>
      <c r="J73" s="56"/>
      <c r="K73" s="57"/>
      <c r="L73" s="278"/>
      <c r="M73" s="278"/>
      <c r="N73" s="227"/>
      <c r="O73" s="278"/>
      <c r="P73" s="286">
        <f>SUM(P55:P72)</f>
        <v>0</v>
      </c>
      <c r="Q73" s="227"/>
      <c r="R73" s="52"/>
      <c r="S73" s="52"/>
      <c r="T73" s="52"/>
      <c r="U73" s="25"/>
      <c r="V73" s="240">
        <f>SUM(V55:V72)</f>
        <v>0</v>
      </c>
      <c r="W73" s="227"/>
      <c r="X73" s="52"/>
      <c r="Y73" s="52"/>
      <c r="Z73" s="52"/>
      <c r="AA73" s="52"/>
      <c r="AB73" s="52"/>
      <c r="AC73" s="52"/>
      <c r="AD73" s="52"/>
      <c r="AE73" s="52"/>
      <c r="AF73" s="52"/>
      <c r="AG73" s="52"/>
      <c r="AH73" s="25"/>
      <c r="AI73" s="240">
        <f>SUM(AI55:AI72)</f>
        <v>0</v>
      </c>
      <c r="AJ73" s="227"/>
      <c r="AK73" s="52"/>
      <c r="AL73" s="52"/>
      <c r="AM73" s="52"/>
      <c r="AN73" s="52"/>
      <c r="AO73" s="52"/>
      <c r="AP73" s="52"/>
      <c r="AQ73" s="52"/>
      <c r="AR73" s="52"/>
      <c r="AS73" s="52"/>
      <c r="AT73" s="52"/>
      <c r="AU73" s="25"/>
      <c r="AV73" s="240">
        <f>SUM(AV55:AV72)</f>
        <v>0</v>
      </c>
    </row>
    <row r="74" spans="2:58">
      <c r="B74" s="851"/>
      <c r="C74" s="53"/>
      <c r="D74" s="53"/>
      <c r="E74" s="54"/>
      <c r="F74" s="259"/>
      <c r="G74" s="259"/>
      <c r="H74" s="55"/>
      <c r="I74" s="318"/>
      <c r="J74" s="56"/>
      <c r="K74" s="55"/>
      <c r="L74" s="278"/>
      <c r="M74" s="278"/>
      <c r="N74" s="227"/>
      <c r="O74" s="278"/>
      <c r="P74" s="287"/>
      <c r="Q74" s="227"/>
      <c r="R74" s="52"/>
      <c r="S74" s="52"/>
      <c r="T74" s="52"/>
      <c r="U74" s="25"/>
      <c r="V74" s="29"/>
      <c r="W74" s="227"/>
      <c r="X74" s="52"/>
      <c r="Y74" s="52"/>
      <c r="Z74" s="52"/>
      <c r="AA74" s="52"/>
      <c r="AB74" s="52"/>
      <c r="AC74" s="52"/>
      <c r="AD74" s="52"/>
      <c r="AE74" s="52"/>
      <c r="AF74" s="52"/>
      <c r="AG74" s="52"/>
      <c r="AH74" s="25"/>
      <c r="AI74" s="29"/>
      <c r="AJ74" s="227"/>
      <c r="AK74" s="52"/>
      <c r="AL74" s="52"/>
      <c r="AM74" s="52"/>
      <c r="AN74" s="52"/>
      <c r="AO74" s="52"/>
      <c r="AP74" s="52"/>
      <c r="AQ74" s="52"/>
      <c r="AR74" s="52"/>
      <c r="AS74" s="52"/>
      <c r="AT74" s="52"/>
      <c r="AU74" s="25"/>
      <c r="AV74" s="29"/>
    </row>
    <row r="75" spans="2:58">
      <c r="B75" s="851"/>
      <c r="C75" s="53"/>
      <c r="D75" s="53"/>
      <c r="E75" s="54"/>
      <c r="F75" s="259"/>
      <c r="G75" s="259"/>
      <c r="H75" s="55"/>
      <c r="I75" s="318"/>
      <c r="J75" s="56"/>
      <c r="K75" s="55"/>
      <c r="L75" s="25"/>
      <c r="M75" s="25"/>
      <c r="N75" s="227"/>
      <c r="O75" s="25"/>
      <c r="P75" s="239"/>
      <c r="Q75" s="227"/>
      <c r="R75" s="52"/>
      <c r="S75" s="52"/>
      <c r="T75" s="52"/>
      <c r="U75" s="25"/>
      <c r="V75" s="29"/>
      <c r="W75" s="227"/>
      <c r="X75" s="25"/>
      <c r="Y75" s="53"/>
      <c r="Z75" s="53"/>
      <c r="AA75" s="53"/>
      <c r="AB75" s="53"/>
      <c r="AC75" s="53"/>
      <c r="AD75" s="53"/>
      <c r="AE75" s="53"/>
      <c r="AF75" s="53"/>
      <c r="AG75" s="53"/>
      <c r="AH75" s="25"/>
      <c r="AI75" s="29"/>
      <c r="AJ75" s="227"/>
      <c r="AK75" s="25"/>
      <c r="AL75" s="25"/>
      <c r="AM75" s="53"/>
      <c r="AN75" s="53"/>
      <c r="AO75" s="53"/>
      <c r="AP75" s="53"/>
      <c r="AQ75" s="53"/>
      <c r="AR75" s="53"/>
      <c r="AS75" s="53"/>
      <c r="AT75" s="53"/>
      <c r="AU75" s="25"/>
      <c r="AV75" s="29"/>
    </row>
    <row r="76" spans="2:58" ht="8.25" customHeight="1">
      <c r="B76" s="852"/>
      <c r="C76" s="60"/>
      <c r="D76" s="60"/>
      <c r="E76" s="61"/>
      <c r="F76" s="265"/>
      <c r="G76" s="265"/>
      <c r="I76" s="320"/>
      <c r="J76" s="26"/>
      <c r="L76" s="26"/>
      <c r="M76" s="26"/>
      <c r="N76" s="26"/>
      <c r="O76" s="26"/>
      <c r="P76" s="36"/>
      <c r="Q76" s="26"/>
      <c r="U76" s="26"/>
      <c r="V76" s="36"/>
      <c r="W76" s="26"/>
      <c r="AH76" s="26"/>
      <c r="AI76" s="36"/>
      <c r="AJ76" s="26"/>
      <c r="AU76" s="26"/>
      <c r="AV76" s="36"/>
      <c r="AW76" s="26"/>
      <c r="AX76" s="26"/>
      <c r="AY76" s="26"/>
      <c r="AZ76" s="26"/>
      <c r="BA76" s="26"/>
      <c r="BB76" s="26"/>
      <c r="BC76" s="26"/>
      <c r="BD76" s="26"/>
      <c r="BE76" s="26"/>
      <c r="BF76" s="26"/>
    </row>
    <row r="77" spans="2:58">
      <c r="B77" s="853"/>
      <c r="C77" s="54"/>
      <c r="D77" s="54"/>
      <c r="E77" s="678" t="str">
        <f>IF(I12="español","TOTAL COTIZADO","TOTAL ESTIMATE")</f>
        <v>TOTAL COTIZADO</v>
      </c>
      <c r="F77" s="677">
        <f>'2-Cotización'!G22</f>
        <v>0</v>
      </c>
      <c r="G77" s="677">
        <f>SUM(G16:G75)/2</f>
        <v>0</v>
      </c>
      <c r="I77" s="317"/>
      <c r="J77" s="26"/>
      <c r="L77" s="26"/>
      <c r="M77" s="26"/>
      <c r="N77" s="26"/>
      <c r="O77" s="26"/>
      <c r="P77" s="241">
        <f>SUM(P16:P75)/2</f>
        <v>0</v>
      </c>
      <c r="Q77" s="26"/>
      <c r="U77" s="26"/>
      <c r="V77" s="241">
        <f>SUM(V16:V75)/2</f>
        <v>0</v>
      </c>
      <c r="W77" s="26"/>
      <c r="AH77" s="26"/>
      <c r="AI77" s="241">
        <f>SUM(AI16:AI75)/2</f>
        <v>0</v>
      </c>
      <c r="AJ77" s="26"/>
      <c r="AU77" s="26"/>
      <c r="AV77" s="241">
        <f>SUM(AV16:AV75)/2</f>
        <v>0</v>
      </c>
      <c r="AW77" s="26"/>
      <c r="AX77" s="26"/>
      <c r="AY77" s="26"/>
      <c r="AZ77" s="26"/>
      <c r="BA77" s="26"/>
      <c r="BB77" s="26"/>
      <c r="BC77" s="26"/>
      <c r="BD77" s="26"/>
      <c r="BE77" s="26"/>
      <c r="BF77" s="26"/>
    </row>
    <row r="78" spans="2:58">
      <c r="J78" s="26"/>
      <c r="L78" s="26"/>
      <c r="M78" s="26"/>
      <c r="N78" s="26"/>
      <c r="O78" s="26"/>
      <c r="P78" s="26"/>
      <c r="Q78" s="26"/>
      <c r="U78" s="26"/>
      <c r="V78" s="26"/>
      <c r="W78" s="26"/>
      <c r="AH78" s="26"/>
      <c r="AI78" s="26"/>
      <c r="AJ78" s="26"/>
      <c r="AU78" s="26"/>
      <c r="AV78" s="26"/>
      <c r="AW78" s="26"/>
      <c r="AX78" s="26"/>
      <c r="AY78" s="26"/>
      <c r="AZ78" s="26"/>
      <c r="BA78" s="26"/>
      <c r="BB78" s="26"/>
      <c r="BC78" s="26"/>
      <c r="BD78" s="26"/>
      <c r="BE78" s="26"/>
      <c r="BF78" s="26"/>
    </row>
    <row r="79" spans="2:58">
      <c r="J79" s="26"/>
      <c r="L79" s="26"/>
      <c r="M79" s="26"/>
      <c r="N79" s="26"/>
      <c r="O79" s="26"/>
      <c r="P79" s="26"/>
      <c r="Q79" s="26"/>
      <c r="U79" s="26"/>
      <c r="V79" s="26"/>
      <c r="W79" s="26"/>
      <c r="AH79" s="26"/>
      <c r="AI79" s="26"/>
      <c r="AJ79" s="26"/>
      <c r="AU79" s="26"/>
      <c r="AV79" s="26"/>
      <c r="AW79" s="26"/>
      <c r="AX79" s="26"/>
      <c r="AY79" s="26"/>
      <c r="AZ79" s="26"/>
      <c r="BA79" s="26"/>
      <c r="BB79" s="26"/>
      <c r="BC79" s="26"/>
      <c r="BD79" s="26"/>
      <c r="BE79" s="26"/>
      <c r="BF79" s="26"/>
    </row>
  </sheetData>
  <mergeCells count="33">
    <mergeCell ref="B53:E53"/>
    <mergeCell ref="U9:U10"/>
    <mergeCell ref="S9:S10"/>
    <mergeCell ref="O8:P9"/>
    <mergeCell ref="AK9:AK10"/>
    <mergeCell ref="B12:F12"/>
    <mergeCell ref="L8:M9"/>
    <mergeCell ref="B8:G8"/>
    <mergeCell ref="AK8:AV8"/>
    <mergeCell ref="AH9:AH10"/>
    <mergeCell ref="V9:V10"/>
    <mergeCell ref="T9:T10"/>
    <mergeCell ref="R8:V8"/>
    <mergeCell ref="I8:I9"/>
    <mergeCell ref="O12:P13"/>
    <mergeCell ref="U12:V13"/>
    <mergeCell ref="L12:M13"/>
    <mergeCell ref="R9:R10"/>
    <mergeCell ref="AU12:AV13"/>
    <mergeCell ref="AV9:AV10"/>
    <mergeCell ref="AS9:AS10"/>
    <mergeCell ref="AR9:AR10"/>
    <mergeCell ref="AT9:AT10"/>
    <mergeCell ref="AQ9:AQ10"/>
    <mergeCell ref="AU9:AU10"/>
    <mergeCell ref="X8:AI8"/>
    <mergeCell ref="AH12:AI13"/>
    <mergeCell ref="AI9:AI10"/>
    <mergeCell ref="AP9:AP10"/>
    <mergeCell ref="AM9:AM10"/>
    <mergeCell ref="AO9:AO10"/>
    <mergeCell ref="AN9:AN10"/>
    <mergeCell ref="AL9:AL10"/>
  </mergeCells>
  <phoneticPr fontId="3" type="noConversion"/>
  <conditionalFormatting sqref="M55:M72 M16:M27 M33:M35 M37:M50">
    <cfRule type="cellIs" dxfId="16" priority="13" stopIfTrue="1" operator="notEqual">
      <formula>0</formula>
    </cfRule>
  </conditionalFormatting>
  <conditionalFormatting sqref="G12 G16:G20">
    <cfRule type="cellIs" dxfId="15" priority="14" stopIfTrue="1" operator="equal">
      <formula>0</formula>
    </cfRule>
  </conditionalFormatting>
  <conditionalFormatting sqref="M28:M31">
    <cfRule type="cellIs" dxfId="14" priority="12" stopIfTrue="1" operator="notEqual">
      <formula>0</formula>
    </cfRule>
  </conditionalFormatting>
  <conditionalFormatting sqref="M32">
    <cfRule type="cellIs" dxfId="13" priority="9" stopIfTrue="1" operator="notEqual">
      <formula>0</formula>
    </cfRule>
  </conditionalFormatting>
  <conditionalFormatting sqref="M36">
    <cfRule type="cellIs" dxfId="12" priority="4" stopIfTrue="1" operator="notEqual">
      <formula>0</formula>
    </cfRule>
  </conditionalFormatting>
  <printOptions horizontalCentered="1"/>
  <pageMargins left="0.19685039370078741" right="0.19685039370078741" top="0.39370078740157483" bottom="0.39370078740157483" header="0" footer="0.19685039370078741"/>
  <pageSetup scale="80" fitToHeight="17" orientation="portrait" r:id="rId1"/>
  <headerFooter alignWithMargins="0">
    <oddFooter>&amp;CPágina &amp;P de &amp;N&amp;RFirma Cliente-Client´s Signature: ________________</oddFooter>
  </headerFooter>
  <rowBreaks count="1" manualBreakCount="1">
    <brk id="51" min="1" max="7"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7">
    <tabColor indexed="51"/>
    <pageSetUpPr fitToPage="1"/>
  </sheetPr>
  <dimension ref="A1:N47"/>
  <sheetViews>
    <sheetView showGridLines="0" topLeftCell="B8" zoomScaleNormal="100" zoomScaleSheetLayoutView="100" workbookViewId="0">
      <pane ySplit="2" topLeftCell="A10" activePane="bottomLeft" state="frozen"/>
      <selection activeCell="A28" sqref="A28:K28"/>
      <selection pane="bottomLeft" activeCell="D19" sqref="D19"/>
    </sheetView>
  </sheetViews>
  <sheetFormatPr baseColWidth="10" defaultRowHeight="11.25" outlineLevelCol="1"/>
  <cols>
    <col min="1" max="1" width="29.85546875" style="159" hidden="1" customWidth="1" outlineLevel="1"/>
    <col min="2" max="2" width="19.7109375" style="157" customWidth="1" collapsed="1"/>
    <col min="3" max="5" width="9.7109375" style="158" customWidth="1"/>
    <col min="6" max="6" width="6" style="158" customWidth="1"/>
    <col min="7" max="7" width="9.7109375" style="159" customWidth="1"/>
    <col min="8" max="8" width="6" style="159" customWidth="1"/>
    <col min="9" max="10" width="9.7109375" style="159" customWidth="1"/>
    <col min="11" max="11" width="5.28515625" style="159" bestFit="1" customWidth="1"/>
    <col min="12" max="12" width="21.28515625" style="159" customWidth="1"/>
    <col min="13" max="13" width="12.85546875" style="159" bestFit="1" customWidth="1"/>
    <col min="14" max="16384" width="11.42578125" style="159"/>
  </cols>
  <sheetData>
    <row r="1" spans="1:14" ht="3" customHeight="1"/>
    <row r="2" spans="1:14" s="67" customFormat="1" ht="12.75">
      <c r="B2" s="105"/>
      <c r="D2" s="105"/>
      <c r="E2" s="105"/>
      <c r="F2" s="105"/>
      <c r="G2" s="71"/>
    </row>
    <row r="3" spans="1:14" s="67" customFormat="1" ht="12.75">
      <c r="B3" s="105"/>
      <c r="D3" s="105"/>
      <c r="E3" s="105"/>
      <c r="F3" s="105"/>
      <c r="G3" s="71"/>
    </row>
    <row r="4" spans="1:14" s="67" customFormat="1" ht="12.75">
      <c r="B4" s="485" t="str">
        <f>+'2-Cotización'!A4</f>
        <v>Español</v>
      </c>
      <c r="D4" s="105"/>
      <c r="E4" s="105"/>
      <c r="F4" s="105"/>
      <c r="G4" s="71"/>
    </row>
    <row r="5" spans="1:14" s="67" customFormat="1" ht="12.75">
      <c r="B5" s="105"/>
      <c r="D5" s="105"/>
      <c r="E5" s="105"/>
      <c r="F5" s="105"/>
      <c r="G5" s="71"/>
    </row>
    <row r="6" spans="1:14" s="67" customFormat="1" ht="12.75">
      <c r="B6" s="105"/>
      <c r="D6" s="105"/>
      <c r="E6" s="105"/>
      <c r="F6" s="105"/>
      <c r="G6" s="71"/>
    </row>
    <row r="7" spans="1:14" s="67" customFormat="1" ht="15.75" customHeight="1">
      <c r="B7" s="105"/>
      <c r="D7" s="105"/>
      <c r="E7" s="105"/>
      <c r="F7" s="105"/>
      <c r="G7" s="71"/>
    </row>
    <row r="8" spans="1:14" s="67" customFormat="1" ht="12.75">
      <c r="B8" s="772">
        <f>+'2-Cotización'!B7</f>
        <v>0</v>
      </c>
      <c r="C8" s="773"/>
      <c r="D8" s="773"/>
      <c r="E8" s="773"/>
      <c r="F8" s="773"/>
      <c r="G8" s="773"/>
      <c r="H8" s="773"/>
      <c r="I8" s="773"/>
      <c r="J8" s="773"/>
      <c r="K8" s="774"/>
    </row>
    <row r="9" spans="1:14" s="162" customFormat="1" ht="2.25" customHeight="1">
      <c r="B9" s="160"/>
      <c r="C9" s="160"/>
      <c r="D9" s="160"/>
      <c r="E9" s="160"/>
      <c r="F9" s="160"/>
      <c r="G9" s="161"/>
    </row>
    <row r="10" spans="1:14" s="162" customFormat="1">
      <c r="B10" s="163" t="str">
        <f>IF($B$4="Español","CLIENTE","CLIENT'S INFORMATION")</f>
        <v>CLIENTE</v>
      </c>
      <c r="E10" s="389" t="str">
        <f>IF($B$4="Español","Fecha de Cotización:","Date Prepared")</f>
        <v>Fecha de Cotización:</v>
      </c>
      <c r="H10" s="389" t="str">
        <f>+'2-Cotización'!F22</f>
        <v>Tipo de Moneda:</v>
      </c>
    </row>
    <row r="11" spans="1:14" s="162" customFormat="1">
      <c r="B11" s="392">
        <f>+'2-Cotización'!C10</f>
        <v>0</v>
      </c>
      <c r="E11" s="390">
        <f ca="1">+'2-Cotización'!H5</f>
        <v>43054</v>
      </c>
      <c r="H11" s="162">
        <f>+'2-Cotización'!G22</f>
        <v>0</v>
      </c>
    </row>
    <row r="12" spans="1:14" s="162" customFormat="1">
      <c r="B12" s="164" t="str">
        <f>IF($B$4="Español","INFORMACION DEL EVENTO","EVENT'S INFORMATION")</f>
        <v>INFORMACION DEL EVENTO</v>
      </c>
      <c r="C12" s="392"/>
      <c r="E12" s="389" t="str">
        <f>IF($B$4="Español","REPRESENTANTE DE VENTAS PSAV","PSAV SALES REPRESENTATIVE")</f>
        <v>REPRESENTANTE DE VENTAS PSAV</v>
      </c>
      <c r="G12" s="161"/>
    </row>
    <row r="13" spans="1:14" s="162" customFormat="1">
      <c r="B13" s="392">
        <f>+'2-Cotización'!G10</f>
        <v>0</v>
      </c>
      <c r="C13" s="392"/>
      <c r="E13" s="386">
        <f>+'2-Cotización'!C24</f>
        <v>0</v>
      </c>
      <c r="G13" s="161"/>
    </row>
    <row r="14" spans="1:14" ht="3" customHeight="1"/>
    <row r="15" spans="1:14" ht="12.75">
      <c r="A15" s="620"/>
      <c r="B15" s="769" t="str">
        <f>IF($B$4="Español","CALCULO DEL DESCUENTO","DISCOUNT CALCULATION")</f>
        <v>CALCULO DEL DESCUENTO</v>
      </c>
      <c r="C15" s="770"/>
      <c r="D15" s="770"/>
      <c r="E15" s="770"/>
      <c r="F15" s="770"/>
      <c r="G15" s="770"/>
      <c r="H15" s="770"/>
      <c r="I15" s="770"/>
      <c r="J15" s="770"/>
      <c r="K15" s="771"/>
      <c r="L15" s="620" t="s">
        <v>129</v>
      </c>
      <c r="M15" s="666"/>
      <c r="N15" s="667"/>
    </row>
    <row r="16" spans="1:14" ht="4.5" customHeight="1">
      <c r="B16" s="166"/>
      <c r="C16" s="181"/>
      <c r="D16" s="181"/>
      <c r="E16" s="181"/>
      <c r="F16" s="181"/>
    </row>
    <row r="17" spans="1:14" s="386" customFormat="1" ht="56.25">
      <c r="A17" s="470" t="s">
        <v>18</v>
      </c>
      <c r="B17" s="387" t="str">
        <f>IF($B$4="Español","Categoria","Category")</f>
        <v>Categoria</v>
      </c>
      <c r="C17" s="383" t="str">
        <f>IF($B$4="Español","Venta Equipo PS","Sales Equipment PS")</f>
        <v>Venta Equipo PS</v>
      </c>
      <c r="D17" s="383" t="str">
        <f>IF($B$4="Español","Venta Equipo Externo","External Equipment  Sales")</f>
        <v>Venta Equipo Externo</v>
      </c>
      <c r="E17" s="384" t="str">
        <f>IF($B$4="Español","Total de Venta","Total Sales")</f>
        <v>Total de Venta</v>
      </c>
      <c r="F17" s="385" t="str">
        <f>IF($B$4="Español","% Des. Eqpo PS","% Disc. PS Equipment")</f>
        <v>% Des. Eqpo PS</v>
      </c>
      <c r="G17" s="388" t="str">
        <f>IF($B$4="Español","Total $  Descuento EPS","Total $ Discount")</f>
        <v>Total $  Descuento EPS</v>
      </c>
      <c r="H17" s="385" t="str">
        <f>IF($B$4="Español","% Des. en Equipo Externo","% Disc. External Eq")</f>
        <v>% Des. en Equipo Externo</v>
      </c>
      <c r="I17" s="388" t="str">
        <f>IF($B$4="Español","Total $  Descuento EX","Total $ Discount EE")</f>
        <v>Total $  Descuento EX</v>
      </c>
      <c r="J17" s="388" t="str">
        <f>IF($B$4="Español","Total $  Descuento","Total $ Discount")</f>
        <v>Total $  Descuento</v>
      </c>
      <c r="K17" s="388" t="s">
        <v>694</v>
      </c>
      <c r="L17" s="470" t="s">
        <v>100</v>
      </c>
      <c r="M17" s="470" t="s">
        <v>53</v>
      </c>
      <c r="N17" s="470" t="s">
        <v>96</v>
      </c>
    </row>
    <row r="18" spans="1:14">
      <c r="B18" s="170"/>
      <c r="C18" s="170"/>
      <c r="D18" s="170"/>
      <c r="E18" s="170"/>
      <c r="F18" s="170"/>
      <c r="G18" s="489"/>
      <c r="H18" s="170"/>
      <c r="I18" s="170"/>
      <c r="J18" s="170"/>
    </row>
    <row r="19" spans="1:14">
      <c r="A19" s="449" t="s">
        <v>615</v>
      </c>
      <c r="B19" s="157" t="s">
        <v>615</v>
      </c>
      <c r="C19" s="488">
        <f ca="1">+'4b-Venta-Comisión'!B13+'4b-Venta-Comisión'!C13+'4b-Venta-Comisión'!D13</f>
        <v>0</v>
      </c>
      <c r="D19" s="488">
        <f ca="1">+'4b-Venta-Comisión'!E13</f>
        <v>0</v>
      </c>
      <c r="E19" s="433">
        <f ca="1">+C19+D19</f>
        <v>0</v>
      </c>
      <c r="F19" s="188">
        <v>0</v>
      </c>
      <c r="G19" s="433">
        <f ca="1">C19*F19</f>
        <v>0</v>
      </c>
      <c r="H19" s="315"/>
      <c r="I19" s="488">
        <f t="shared" ref="I19:I33" ca="1" si="0">+H19*D19</f>
        <v>0</v>
      </c>
      <c r="J19" s="187">
        <f t="shared" ref="J19:J33" ca="1" si="1">+G19+I19</f>
        <v>0</v>
      </c>
      <c r="K19" s="449">
        <f ca="1">IF(J19=0,0,+J19/E19)</f>
        <v>0</v>
      </c>
      <c r="L19" s="159" t="str">
        <f t="shared" ref="L19:L33" ca="1" si="2">IF(K19&gt;0,VLOOKUP(K19,$C$40:$F$43,3,3),"No Aplica")</f>
        <v>No Aplica</v>
      </c>
      <c r="M19" s="606"/>
      <c r="N19" s="607"/>
    </row>
    <row r="20" spans="1:14">
      <c r="A20" s="449" t="s">
        <v>622</v>
      </c>
      <c r="B20" s="157" t="s">
        <v>622</v>
      </c>
      <c r="C20" s="488">
        <f ca="1">+'4b-Venta-Comisión'!B14+'4b-Venta-Comisión'!C14+'4b-Venta-Comisión'!D14</f>
        <v>0</v>
      </c>
      <c r="D20" s="488">
        <f ca="1">+'4b-Venta-Comisión'!E14</f>
        <v>0</v>
      </c>
      <c r="E20" s="433">
        <f t="shared" ref="E20:E33" ca="1" si="3">+C20+D20</f>
        <v>0</v>
      </c>
      <c r="F20" s="188">
        <v>0</v>
      </c>
      <c r="G20" s="433">
        <f t="shared" ref="G20:G33" ca="1" si="4">C20*F20</f>
        <v>0</v>
      </c>
      <c r="H20" s="315">
        <v>0</v>
      </c>
      <c r="I20" s="488">
        <f t="shared" ca="1" si="0"/>
        <v>0</v>
      </c>
      <c r="J20" s="187">
        <f t="shared" ca="1" si="1"/>
        <v>0</v>
      </c>
      <c r="K20" s="449">
        <f t="shared" ref="K20:K34" ca="1" si="5">IF(J20=0,0,+J20/E20)</f>
        <v>0</v>
      </c>
      <c r="L20" s="159" t="str">
        <f t="shared" ca="1" si="2"/>
        <v>No Aplica</v>
      </c>
      <c r="M20" s="606"/>
      <c r="N20" s="607"/>
    </row>
    <row r="21" spans="1:14">
      <c r="A21" s="449" t="s">
        <v>849</v>
      </c>
      <c r="B21" s="157" t="str">
        <f>IF($B$4="Español","ACCESORIOS","ACCESSORIES")</f>
        <v>ACCESORIOS</v>
      </c>
      <c r="C21" s="488">
        <f ca="1">+'4b-Venta-Comisión'!B15+'4b-Venta-Comisión'!C15+'4b-Venta-Comisión'!D15</f>
        <v>0</v>
      </c>
      <c r="D21" s="488">
        <f ca="1">+'4b-Venta-Comisión'!E15</f>
        <v>0</v>
      </c>
      <c r="E21" s="433">
        <f t="shared" ca="1" si="3"/>
        <v>0</v>
      </c>
      <c r="F21" s="188">
        <v>0</v>
      </c>
      <c r="G21" s="433">
        <f t="shared" ca="1" si="4"/>
        <v>0</v>
      </c>
      <c r="H21" s="315">
        <v>0</v>
      </c>
      <c r="I21" s="488">
        <f t="shared" ca="1" si="0"/>
        <v>0</v>
      </c>
      <c r="J21" s="187">
        <f t="shared" ca="1" si="1"/>
        <v>0</v>
      </c>
      <c r="K21" s="449">
        <f t="shared" ca="1" si="5"/>
        <v>0</v>
      </c>
      <c r="L21" s="159" t="str">
        <f t="shared" ca="1" si="2"/>
        <v>No Aplica</v>
      </c>
      <c r="M21" s="606"/>
      <c r="N21" s="607"/>
    </row>
    <row r="22" spans="1:14">
      <c r="A22" s="449" t="s">
        <v>661</v>
      </c>
      <c r="B22" s="157" t="str">
        <f>IF($B$4="Español","ILUMINACIÓN","LIGHTING")</f>
        <v>ILUMINACIÓN</v>
      </c>
      <c r="C22" s="488">
        <f ca="1">+'4b-Venta-Comisión'!B16+'4b-Venta-Comisión'!C16+'4b-Venta-Comisión'!D16</f>
        <v>0</v>
      </c>
      <c r="D22" s="488">
        <f ca="1">+'4b-Venta-Comisión'!E16</f>
        <v>0</v>
      </c>
      <c r="E22" s="433">
        <f t="shared" ca="1" si="3"/>
        <v>0</v>
      </c>
      <c r="F22" s="188">
        <v>0</v>
      </c>
      <c r="G22" s="433">
        <f t="shared" ca="1" si="4"/>
        <v>0</v>
      </c>
      <c r="H22" s="315">
        <v>0</v>
      </c>
      <c r="I22" s="488">
        <f t="shared" ca="1" si="0"/>
        <v>0</v>
      </c>
      <c r="J22" s="187">
        <f t="shared" ca="1" si="1"/>
        <v>0</v>
      </c>
      <c r="K22" s="449">
        <f t="shared" ca="1" si="5"/>
        <v>0</v>
      </c>
      <c r="L22" s="159" t="str">
        <f t="shared" ca="1" si="2"/>
        <v>No Aplica</v>
      </c>
      <c r="M22" s="606"/>
      <c r="N22" s="607"/>
    </row>
    <row r="23" spans="1:14">
      <c r="A23" s="449" t="s">
        <v>640</v>
      </c>
      <c r="B23" s="157" t="str">
        <f>IF($B$4="Español","VIDEO PRODUCCIÓN","VIDEO PRODUCTION")</f>
        <v>VIDEO PRODUCCIÓN</v>
      </c>
      <c r="C23" s="488">
        <f ca="1">+'4b-Venta-Comisión'!B17+'4b-Venta-Comisión'!C17+'4b-Venta-Comisión'!D17</f>
        <v>0</v>
      </c>
      <c r="D23" s="488">
        <f ca="1">+'4b-Venta-Comisión'!E17</f>
        <v>0</v>
      </c>
      <c r="E23" s="433">
        <f t="shared" ca="1" si="3"/>
        <v>0</v>
      </c>
      <c r="F23" s="188">
        <v>0</v>
      </c>
      <c r="G23" s="433">
        <f t="shared" ca="1" si="4"/>
        <v>0</v>
      </c>
      <c r="H23" s="315">
        <v>0</v>
      </c>
      <c r="I23" s="488">
        <f t="shared" ca="1" si="0"/>
        <v>0</v>
      </c>
      <c r="J23" s="187">
        <f t="shared" ca="1" si="1"/>
        <v>0</v>
      </c>
      <c r="K23" s="449">
        <f t="shared" ca="1" si="5"/>
        <v>0</v>
      </c>
      <c r="L23" s="159" t="str">
        <f t="shared" ca="1" si="2"/>
        <v>No Aplica</v>
      </c>
      <c r="M23" s="606"/>
      <c r="N23" s="607"/>
    </row>
    <row r="24" spans="1:14">
      <c r="A24" s="449" t="s">
        <v>616</v>
      </c>
      <c r="B24" s="157" t="str">
        <f>IF($B$4="Español","ESCENOGRAFÍA","SCENERY")</f>
        <v>ESCENOGRAFÍA</v>
      </c>
      <c r="C24" s="488">
        <f ca="1">+'4b-Venta-Comisión'!B18+'4b-Venta-Comisión'!C18+'4b-Venta-Comisión'!D18</f>
        <v>0</v>
      </c>
      <c r="D24" s="488">
        <f ca="1">+'4b-Venta-Comisión'!E18</f>
        <v>0</v>
      </c>
      <c r="E24" s="433">
        <f t="shared" ca="1" si="3"/>
        <v>0</v>
      </c>
      <c r="F24" s="188">
        <v>0</v>
      </c>
      <c r="G24" s="433">
        <f t="shared" ca="1" si="4"/>
        <v>0</v>
      </c>
      <c r="H24" s="315">
        <v>0</v>
      </c>
      <c r="I24" s="488">
        <f t="shared" ca="1" si="0"/>
        <v>0</v>
      </c>
      <c r="J24" s="187">
        <f t="shared" ca="1" si="1"/>
        <v>0</v>
      </c>
      <c r="K24" s="449">
        <f t="shared" ca="1" si="5"/>
        <v>0</v>
      </c>
      <c r="L24" s="159" t="str">
        <f t="shared" ca="1" si="2"/>
        <v>No Aplica</v>
      </c>
      <c r="M24" s="606"/>
      <c r="N24" s="607"/>
    </row>
    <row r="25" spans="1:14">
      <c r="A25" s="449" t="s">
        <v>497</v>
      </c>
      <c r="B25" s="157" t="str">
        <f>IF($B$4="Español","COMPUTO","IT")</f>
        <v>COMPUTO</v>
      </c>
      <c r="C25" s="488">
        <f ca="1">+'4b-Venta-Comisión'!B19+'4b-Venta-Comisión'!C19+'4b-Venta-Comisión'!D19</f>
        <v>0</v>
      </c>
      <c r="D25" s="488">
        <f ca="1">+'4b-Venta-Comisión'!E19</f>
        <v>0</v>
      </c>
      <c r="E25" s="433">
        <f t="shared" ca="1" si="3"/>
        <v>0</v>
      </c>
      <c r="F25" s="188"/>
      <c r="G25" s="433">
        <f t="shared" ca="1" si="4"/>
        <v>0</v>
      </c>
      <c r="H25" s="315">
        <v>0</v>
      </c>
      <c r="I25" s="488">
        <f t="shared" ca="1" si="0"/>
        <v>0</v>
      </c>
      <c r="J25" s="187">
        <f t="shared" ca="1" si="1"/>
        <v>0</v>
      </c>
      <c r="K25" s="449">
        <f t="shared" ca="1" si="5"/>
        <v>0</v>
      </c>
      <c r="L25" s="159" t="str">
        <f t="shared" ca="1" si="2"/>
        <v>No Aplica</v>
      </c>
      <c r="M25" s="606"/>
      <c r="N25" s="607"/>
    </row>
    <row r="26" spans="1:14">
      <c r="A26" s="449" t="s">
        <v>974</v>
      </c>
      <c r="B26" s="157" t="str">
        <f>IF($B$4="Español","RIGGING EQUIPO","RIGGING EQUIPMENT")</f>
        <v>RIGGING EQUIPO</v>
      </c>
      <c r="C26" s="488">
        <f ca="1">+'4b-Venta-Comisión'!B20+'4b-Venta-Comisión'!C20+'4b-Venta-Comisión'!D20</f>
        <v>0</v>
      </c>
      <c r="D26" s="488">
        <f ca="1">+'4b-Venta-Comisión'!E20</f>
        <v>0</v>
      </c>
      <c r="E26" s="433">
        <f t="shared" ca="1" si="3"/>
        <v>0</v>
      </c>
      <c r="F26" s="188"/>
      <c r="G26" s="433">
        <f t="shared" ca="1" si="4"/>
        <v>0</v>
      </c>
      <c r="H26" s="315">
        <v>0</v>
      </c>
      <c r="I26" s="488">
        <f t="shared" ca="1" si="0"/>
        <v>0</v>
      </c>
      <c r="J26" s="187">
        <f t="shared" ca="1" si="1"/>
        <v>0</v>
      </c>
      <c r="K26" s="449">
        <f t="shared" ca="1" si="5"/>
        <v>0</v>
      </c>
      <c r="L26" s="159" t="str">
        <f t="shared" ca="1" si="2"/>
        <v>No Aplica</v>
      </c>
      <c r="M26" s="606"/>
      <c r="N26" s="607"/>
    </row>
    <row r="27" spans="1:14">
      <c r="A27" s="449" t="s">
        <v>613</v>
      </c>
      <c r="B27" s="157" t="str">
        <f>IF($B$4="Español","GASTOS","EXPENSES")</f>
        <v>GASTOS</v>
      </c>
      <c r="C27" s="488">
        <f ca="1">+'4b-Venta-Comisión'!B21+'4b-Venta-Comisión'!C21+'4b-Venta-Comisión'!D21</f>
        <v>0</v>
      </c>
      <c r="D27" s="488">
        <f ca="1">+'4b-Venta-Comisión'!E21</f>
        <v>0</v>
      </c>
      <c r="E27" s="433">
        <f t="shared" ca="1" si="3"/>
        <v>0</v>
      </c>
      <c r="F27" s="188"/>
      <c r="G27" s="433">
        <f t="shared" ca="1" si="4"/>
        <v>0</v>
      </c>
      <c r="H27" s="315">
        <v>0</v>
      </c>
      <c r="I27" s="488">
        <f t="shared" ca="1" si="0"/>
        <v>0</v>
      </c>
      <c r="J27" s="187">
        <f t="shared" ca="1" si="1"/>
        <v>0</v>
      </c>
      <c r="K27" s="449">
        <f t="shared" ca="1" si="5"/>
        <v>0</v>
      </c>
      <c r="L27" s="159" t="str">
        <f t="shared" ca="1" si="2"/>
        <v>No Aplica</v>
      </c>
      <c r="M27" s="606"/>
      <c r="N27" s="607"/>
    </row>
    <row r="28" spans="1:14">
      <c r="A28" s="449" t="s">
        <v>513</v>
      </c>
      <c r="B28" s="157" t="str">
        <f>IF($B$4="Español","OTROS","OTHERS")</f>
        <v>OTROS</v>
      </c>
      <c r="C28" s="488">
        <f ca="1">+'4b-Venta-Comisión'!B22+'4b-Venta-Comisión'!C22+'4b-Venta-Comisión'!D22</f>
        <v>0</v>
      </c>
      <c r="D28" s="488">
        <f ca="1">+'4b-Venta-Comisión'!E22</f>
        <v>0</v>
      </c>
      <c r="E28" s="433">
        <f t="shared" ca="1" si="3"/>
        <v>0</v>
      </c>
      <c r="F28" s="188"/>
      <c r="G28" s="433">
        <f t="shared" ca="1" si="4"/>
        <v>0</v>
      </c>
      <c r="H28" s="315">
        <v>0</v>
      </c>
      <c r="I28" s="488">
        <f t="shared" ca="1" si="0"/>
        <v>0</v>
      </c>
      <c r="J28" s="187">
        <f t="shared" ca="1" si="1"/>
        <v>0</v>
      </c>
      <c r="K28" s="449">
        <f t="shared" ca="1" si="5"/>
        <v>0</v>
      </c>
      <c r="L28" s="159" t="str">
        <f t="shared" ca="1" si="2"/>
        <v>No Aplica</v>
      </c>
      <c r="M28" s="606"/>
      <c r="N28" s="607"/>
    </row>
    <row r="29" spans="1:14">
      <c r="A29" s="449" t="s">
        <v>664</v>
      </c>
      <c r="B29" s="236" t="str">
        <f>IF($B$4="Español","OPERADOR","OPERATOR LABOR")</f>
        <v>OPERADOR</v>
      </c>
      <c r="C29" s="488">
        <f ca="1">+'4b-Venta-Comisión'!B23+'4b-Venta-Comisión'!C23+'4b-Venta-Comisión'!D23</f>
        <v>0</v>
      </c>
      <c r="D29" s="488">
        <f ca="1">+'4b-Venta-Comisión'!E23</f>
        <v>0</v>
      </c>
      <c r="E29" s="433">
        <f t="shared" ca="1" si="3"/>
        <v>0</v>
      </c>
      <c r="F29" s="315"/>
      <c r="G29" s="433">
        <f t="shared" ca="1" si="4"/>
        <v>0</v>
      </c>
      <c r="H29" s="315"/>
      <c r="I29" s="488">
        <f t="shared" ca="1" si="0"/>
        <v>0</v>
      </c>
      <c r="J29" s="433">
        <f t="shared" ca="1" si="1"/>
        <v>0</v>
      </c>
      <c r="K29" s="449">
        <f t="shared" ca="1" si="5"/>
        <v>0</v>
      </c>
      <c r="L29" s="159" t="str">
        <f t="shared" ca="1" si="2"/>
        <v>No Aplica</v>
      </c>
      <c r="M29" s="606"/>
      <c r="N29" s="607"/>
    </row>
    <row r="30" spans="1:14">
      <c r="A30" s="449" t="s">
        <v>16</v>
      </c>
      <c r="B30" s="237" t="str">
        <f>IF($B$4="Español","MONTAJE y DESMONTAJE","SET-UP LABOR")</f>
        <v>MONTAJE y DESMONTAJE</v>
      </c>
      <c r="C30" s="488">
        <f ca="1">+'4b-Venta-Comisión'!B24+'4b-Venta-Comisión'!C24+'4b-Venta-Comisión'!D24</f>
        <v>0</v>
      </c>
      <c r="D30" s="488">
        <f ca="1">+'4b-Venta-Comisión'!E24</f>
        <v>0</v>
      </c>
      <c r="E30" s="433">
        <f t="shared" ca="1" si="3"/>
        <v>0</v>
      </c>
      <c r="F30" s="315"/>
      <c r="G30" s="433">
        <f t="shared" ca="1" si="4"/>
        <v>0</v>
      </c>
      <c r="H30" s="315"/>
      <c r="I30" s="488">
        <f t="shared" ca="1" si="0"/>
        <v>0</v>
      </c>
      <c r="J30" s="433">
        <f t="shared" ca="1" si="1"/>
        <v>0</v>
      </c>
      <c r="K30" s="449">
        <f t="shared" ca="1" si="5"/>
        <v>0</v>
      </c>
      <c r="L30" s="159" t="str">
        <f t="shared" ca="1" si="2"/>
        <v>No Aplica</v>
      </c>
      <c r="M30" s="606"/>
      <c r="N30" s="607"/>
    </row>
    <row r="31" spans="1:14">
      <c r="A31" s="449" t="s">
        <v>662</v>
      </c>
      <c r="B31" s="237" t="str">
        <f>IF($B$4="Español","CARGO POR SERVICIO","SERVICES CHARGE")</f>
        <v>CARGO POR SERVICIO</v>
      </c>
      <c r="C31" s="488">
        <f ca="1">+'4b-Venta-Comisión'!B25+'4b-Venta-Comisión'!C25+'4b-Venta-Comisión'!D25</f>
        <v>0</v>
      </c>
      <c r="D31" s="488">
        <f ca="1">+'4b-Venta-Comisión'!E25</f>
        <v>0</v>
      </c>
      <c r="E31" s="433">
        <f t="shared" ca="1" si="3"/>
        <v>0</v>
      </c>
      <c r="F31" s="315"/>
      <c r="G31" s="433">
        <f t="shared" ca="1" si="4"/>
        <v>0</v>
      </c>
      <c r="H31" s="315"/>
      <c r="I31" s="488">
        <f t="shared" ca="1" si="0"/>
        <v>0</v>
      </c>
      <c r="J31" s="433">
        <f t="shared" ca="1" si="1"/>
        <v>0</v>
      </c>
      <c r="K31" s="449">
        <f t="shared" ca="1" si="5"/>
        <v>0</v>
      </c>
      <c r="L31" s="159" t="str">
        <f t="shared" ca="1" si="2"/>
        <v>No Aplica</v>
      </c>
      <c r="M31" s="606"/>
      <c r="N31" s="607"/>
    </row>
    <row r="32" spans="1:14">
      <c r="A32" s="449" t="s">
        <v>17</v>
      </c>
      <c r="B32" s="237" t="str">
        <f>IF($B$4="Español","RIGGING MO","RIGGING LABOR")</f>
        <v>RIGGING MO</v>
      </c>
      <c r="C32" s="488">
        <f ca="1">+'4b-Venta-Comisión'!B26+'4b-Venta-Comisión'!C26+'4b-Venta-Comisión'!D26</f>
        <v>0</v>
      </c>
      <c r="D32" s="488">
        <f ca="1">+'4b-Venta-Comisión'!E26</f>
        <v>0</v>
      </c>
      <c r="E32" s="433">
        <f t="shared" ca="1" si="3"/>
        <v>0</v>
      </c>
      <c r="F32" s="315"/>
      <c r="G32" s="433">
        <f t="shared" ca="1" si="4"/>
        <v>0</v>
      </c>
      <c r="H32" s="315"/>
      <c r="I32" s="488">
        <f t="shared" ca="1" si="0"/>
        <v>0</v>
      </c>
      <c r="J32" s="433">
        <f t="shared" ca="1" si="1"/>
        <v>0</v>
      </c>
      <c r="K32" s="449">
        <f t="shared" ca="1" si="5"/>
        <v>0</v>
      </c>
      <c r="L32" s="159" t="str">
        <f t="shared" ca="1" si="2"/>
        <v>No Aplica</v>
      </c>
      <c r="M32" s="606"/>
      <c r="N32" s="607"/>
    </row>
    <row r="33" spans="1:14" ht="33.75">
      <c r="A33" s="449" t="s">
        <v>870</v>
      </c>
      <c r="B33" s="393" t="str">
        <f>IF($B$4="Español","OUTSIDE LABOR (Interprete, Edecan, DJ, etc.)","OUTSIDE LABOR (Translator, Edecan, DJ,etc.)")</f>
        <v>OUTSIDE LABOR (Interprete, Edecan, DJ, etc.)</v>
      </c>
      <c r="C33" s="488">
        <f ca="1">+'4b-Venta-Comisión'!B27+'4b-Venta-Comisión'!C27+'4b-Venta-Comisión'!D27</f>
        <v>0</v>
      </c>
      <c r="D33" s="488">
        <f ca="1">+'4b-Venta-Comisión'!E27</f>
        <v>0</v>
      </c>
      <c r="E33" s="433">
        <f t="shared" ca="1" si="3"/>
        <v>0</v>
      </c>
      <c r="F33" s="315"/>
      <c r="G33" s="433">
        <f t="shared" ca="1" si="4"/>
        <v>0</v>
      </c>
      <c r="H33" s="315"/>
      <c r="I33" s="488">
        <f t="shared" ca="1" si="0"/>
        <v>0</v>
      </c>
      <c r="J33" s="433">
        <f t="shared" ca="1" si="1"/>
        <v>0</v>
      </c>
      <c r="K33" s="449">
        <f t="shared" ca="1" si="5"/>
        <v>0</v>
      </c>
      <c r="L33" s="159" t="str">
        <f t="shared" ca="1" si="2"/>
        <v>No Aplica</v>
      </c>
      <c r="M33" s="606"/>
      <c r="N33" s="607"/>
    </row>
    <row r="34" spans="1:14" ht="12" thickBot="1">
      <c r="A34" s="449"/>
      <c r="C34" s="175">
        <f ca="1">SUM(C19:C33)</f>
        <v>0</v>
      </c>
      <c r="D34" s="175">
        <f ca="1">SUM(D19:D33)</f>
        <v>0</v>
      </c>
      <c r="E34" s="175">
        <f ca="1">SUM(E19:E33)</f>
        <v>0</v>
      </c>
      <c r="F34" s="192"/>
      <c r="G34" s="391">
        <f ca="1">SUM(G19:G33)</f>
        <v>0</v>
      </c>
      <c r="H34" s="157"/>
      <c r="I34" s="391">
        <f ca="1">SUM(I19:I33)</f>
        <v>0</v>
      </c>
      <c r="J34" s="391">
        <f ca="1">SUM(J19:J33)</f>
        <v>0</v>
      </c>
      <c r="K34" s="449">
        <f t="shared" ca="1" si="5"/>
        <v>0</v>
      </c>
    </row>
    <row r="35" spans="1:14" ht="4.5" customHeight="1" thickTop="1">
      <c r="C35" s="195"/>
      <c r="D35" s="196"/>
      <c r="E35" s="196"/>
      <c r="F35" s="196"/>
    </row>
    <row r="36" spans="1:14" ht="4.5" customHeight="1"/>
    <row r="37" spans="1:14">
      <c r="B37" s="396" t="s">
        <v>954</v>
      </c>
    </row>
    <row r="38" spans="1:14" ht="63" customHeight="1">
      <c r="B38" s="766"/>
      <c r="C38" s="767"/>
      <c r="D38" s="767"/>
      <c r="E38" s="767"/>
      <c r="F38" s="767"/>
      <c r="G38" s="768"/>
    </row>
    <row r="39" spans="1:14" ht="12.75">
      <c r="C39" s="775" t="s">
        <v>0</v>
      </c>
      <c r="D39" s="776"/>
      <c r="E39" s="776"/>
      <c r="F39" s="776"/>
      <c r="G39" s="777"/>
    </row>
    <row r="40" spans="1:14">
      <c r="C40" s="580">
        <v>0.01</v>
      </c>
      <c r="D40" s="580">
        <v>0.1</v>
      </c>
      <c r="E40" s="778" t="s">
        <v>976</v>
      </c>
      <c r="F40" s="779"/>
      <c r="G40" s="780"/>
    </row>
    <row r="41" spans="1:14">
      <c r="C41" s="448">
        <f>+D40+0.01%</f>
        <v>0.10010000000000001</v>
      </c>
      <c r="D41" s="448">
        <v>0.2</v>
      </c>
      <c r="E41" s="778" t="s">
        <v>977</v>
      </c>
      <c r="F41" s="779"/>
      <c r="G41" s="780"/>
    </row>
    <row r="42" spans="1:14">
      <c r="C42" s="448">
        <f>+D41+0.01%</f>
        <v>0.2001</v>
      </c>
      <c r="D42" s="448">
        <v>0.5</v>
      </c>
      <c r="E42" s="778" t="s">
        <v>978</v>
      </c>
      <c r="F42" s="779"/>
      <c r="G42" s="780"/>
    </row>
    <row r="43" spans="1:14">
      <c r="C43" s="448">
        <v>0.51</v>
      </c>
      <c r="D43" s="448">
        <v>1</v>
      </c>
      <c r="E43" s="778" t="s">
        <v>387</v>
      </c>
      <c r="F43" s="779"/>
      <c r="G43" s="780"/>
    </row>
    <row r="44" spans="1:14">
      <c r="B44" s="702" t="s">
        <v>956</v>
      </c>
      <c r="C44" s="702"/>
      <c r="D44" s="702"/>
      <c r="E44" s="702"/>
      <c r="F44" s="702"/>
      <c r="G44" s="702"/>
      <c r="H44" s="702"/>
      <c r="I44" s="702"/>
      <c r="J44" s="702"/>
    </row>
    <row r="46" spans="1:14">
      <c r="B46" s="157" t="s">
        <v>52</v>
      </c>
    </row>
    <row r="47" spans="1:14">
      <c r="B47" s="157" t="s">
        <v>51</v>
      </c>
    </row>
  </sheetData>
  <sheetProtection formatCells="0"/>
  <mergeCells count="9">
    <mergeCell ref="B38:G38"/>
    <mergeCell ref="B15:K15"/>
    <mergeCell ref="B8:K8"/>
    <mergeCell ref="B44:J44"/>
    <mergeCell ref="C39:G39"/>
    <mergeCell ref="E40:G40"/>
    <mergeCell ref="E41:G41"/>
    <mergeCell ref="E42:G42"/>
    <mergeCell ref="E43:G43"/>
  </mergeCells>
  <phoneticPr fontId="3" type="noConversion"/>
  <conditionalFormatting sqref="G29:G33 I29:J33">
    <cfRule type="cellIs" dxfId="11" priority="1" stopIfTrue="1" operator="equal">
      <formula>0</formula>
    </cfRule>
  </conditionalFormatting>
  <conditionalFormatting sqref="F29:F33 H19:H33">
    <cfRule type="cellIs" dxfId="10" priority="2" stopIfTrue="1" operator="equal">
      <formula>0</formula>
    </cfRule>
  </conditionalFormatting>
  <printOptions horizontalCentered="1"/>
  <pageMargins left="0.19685039370078741" right="0.19685039370078741" top="0.39370078740157483" bottom="0.19685039370078741" header="0" footer="0"/>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pageSetUpPr fitToPage="1"/>
  </sheetPr>
  <dimension ref="A1:U76"/>
  <sheetViews>
    <sheetView showGridLines="0" view="pageBreakPreview" zoomScale="85" zoomScaleNormal="100" zoomScaleSheetLayoutView="85" workbookViewId="0">
      <pane xSplit="1" ySplit="7" topLeftCell="B8" activePane="bottomRight" state="frozen"/>
      <selection activeCell="A28" sqref="A28:K28"/>
      <selection pane="topRight" activeCell="A28" sqref="A28:K28"/>
      <selection pane="bottomLeft" activeCell="A28" sqref="A28:K28"/>
      <selection pane="bottomRight" sqref="A1:IV65536"/>
    </sheetView>
  </sheetViews>
  <sheetFormatPr baseColWidth="10" defaultRowHeight="11.25"/>
  <cols>
    <col min="1" max="1" width="21.85546875" style="157" customWidth="1"/>
    <col min="2" max="2" width="12.7109375" style="158" customWidth="1"/>
    <col min="3" max="3" width="12.85546875" style="158" customWidth="1"/>
    <col min="4" max="4" width="11.5703125" style="158" customWidth="1"/>
    <col min="5" max="5" width="11.140625" style="158" customWidth="1"/>
    <col min="6" max="6" width="10.7109375" style="159" customWidth="1"/>
    <col min="7" max="7" width="13.85546875" style="159" customWidth="1"/>
    <col min="8" max="8" width="9.28515625" style="159" customWidth="1"/>
    <col min="9" max="9" width="12.5703125" style="159" bestFit="1" customWidth="1"/>
    <col min="10" max="10" width="11.85546875" style="157" customWidth="1"/>
    <col min="11" max="11" width="12.85546875" style="159" bestFit="1" customWidth="1"/>
    <col min="12" max="13" width="12.7109375" style="159" customWidth="1"/>
    <col min="14" max="14" width="12.5703125" style="159" bestFit="1" customWidth="1"/>
    <col min="15" max="15" width="10.28515625" style="159" customWidth="1"/>
    <col min="16" max="16" width="10.5703125" style="159" bestFit="1" customWidth="1"/>
    <col min="17" max="19" width="12.85546875" style="159" bestFit="1" customWidth="1"/>
    <col min="20" max="16384" width="11.42578125" style="159"/>
  </cols>
  <sheetData>
    <row r="1" spans="1:21" ht="4.5" customHeight="1"/>
    <row r="2" spans="1:21" s="67" customFormat="1" ht="4.5" customHeight="1">
      <c r="A2" s="105"/>
      <c r="C2" s="105"/>
      <c r="D2" s="105"/>
      <c r="E2" s="105"/>
      <c r="F2" s="105"/>
      <c r="G2" s="105"/>
      <c r="H2" s="71"/>
    </row>
    <row r="3" spans="1:21" s="67" customFormat="1" ht="12.75">
      <c r="A3" s="781">
        <f>+'2-Cotización'!B7</f>
        <v>0</v>
      </c>
      <c r="B3" s="782"/>
      <c r="C3" s="782"/>
      <c r="D3" s="782"/>
      <c r="E3" s="782"/>
      <c r="F3" s="782"/>
      <c r="G3" s="782"/>
      <c r="H3" s="782"/>
      <c r="I3" s="782"/>
      <c r="J3" s="783"/>
    </row>
    <row r="4" spans="1:21" s="162" customFormat="1" ht="4.5" customHeight="1">
      <c r="A4" s="160"/>
      <c r="B4" s="160"/>
      <c r="C4" s="160"/>
      <c r="D4" s="160"/>
      <c r="E4" s="160"/>
      <c r="F4" s="160"/>
      <c r="G4" s="160"/>
      <c r="H4" s="161"/>
    </row>
    <row r="5" spans="1:21" s="162" customFormat="1">
      <c r="A5" s="163" t="s">
        <v>532</v>
      </c>
      <c r="C5" s="160"/>
      <c r="F5" s="160"/>
      <c r="G5" s="164" t="s">
        <v>609</v>
      </c>
      <c r="H5" s="161"/>
    </row>
    <row r="6" spans="1:21" s="162" customFormat="1">
      <c r="A6" s="160">
        <f>+'2-Cotización'!C10</f>
        <v>0</v>
      </c>
      <c r="C6" s="160"/>
      <c r="G6" s="160">
        <f>+'2-Cotización'!G10</f>
        <v>0</v>
      </c>
      <c r="H6" s="161"/>
    </row>
    <row r="7" spans="1:21" s="162" customFormat="1">
      <c r="A7" s="160"/>
      <c r="C7" s="160"/>
      <c r="G7" s="160"/>
      <c r="H7" s="161"/>
    </row>
    <row r="8" spans="1:21" s="162" customFormat="1" ht="4.5" customHeight="1">
      <c r="A8" s="165"/>
      <c r="B8" s="160"/>
      <c r="C8" s="160"/>
      <c r="D8" s="160"/>
      <c r="F8" s="160"/>
      <c r="G8" s="160"/>
      <c r="H8" s="161"/>
    </row>
    <row r="9" spans="1:21" ht="12.75">
      <c r="A9" s="541" t="s">
        <v>621</v>
      </c>
      <c r="B9" s="542"/>
      <c r="C9" s="542"/>
      <c r="D9" s="542"/>
      <c r="E9" s="542"/>
      <c r="F9" s="542"/>
      <c r="G9" s="542"/>
      <c r="H9" s="542"/>
      <c r="I9" s="542"/>
      <c r="J9" s="542"/>
    </row>
    <row r="10" spans="1:21" ht="4.5" customHeight="1">
      <c r="A10" s="166"/>
      <c r="B10" s="166"/>
      <c r="C10" s="166"/>
      <c r="D10" s="166"/>
      <c r="E10" s="166"/>
      <c r="F10" s="166"/>
      <c r="G10" s="166"/>
      <c r="H10" s="166"/>
      <c r="I10" s="166"/>
    </row>
    <row r="11" spans="1:21" s="168" customFormat="1" ht="33.75">
      <c r="A11" s="167" t="s">
        <v>536</v>
      </c>
      <c r="B11" s="784" t="s">
        <v>659</v>
      </c>
      <c r="C11" s="785"/>
      <c r="D11" s="786"/>
      <c r="E11" s="167" t="s">
        <v>878</v>
      </c>
      <c r="F11" s="279" t="s">
        <v>624</v>
      </c>
      <c r="G11" s="167" t="s">
        <v>626</v>
      </c>
      <c r="H11" s="167" t="s">
        <v>627</v>
      </c>
      <c r="I11" s="279" t="s">
        <v>625</v>
      </c>
      <c r="J11" s="167" t="s">
        <v>644</v>
      </c>
      <c r="T11" s="169"/>
    </row>
    <row r="12" spans="1:21">
      <c r="B12" s="170" t="s">
        <v>498</v>
      </c>
      <c r="C12" s="170" t="s">
        <v>635</v>
      </c>
      <c r="D12" s="381" t="s">
        <v>949</v>
      </c>
      <c r="E12" s="170"/>
      <c r="F12" s="170"/>
      <c r="G12" s="170"/>
      <c r="H12" s="170"/>
      <c r="I12" s="170"/>
      <c r="J12" s="159"/>
    </row>
    <row r="13" spans="1:21">
      <c r="A13" s="465" t="s">
        <v>615</v>
      </c>
      <c r="B13" s="466">
        <f ca="1">SUMIF('3-Item List'!$I$16:$AV$79,'4b-Venta-Comisión'!A13,'3-Item List'!$P$16:$P$79)</f>
        <v>0</v>
      </c>
      <c r="C13" s="466">
        <f ca="1">SUMIF('3-Item List'!$I$16:$AV$79,'4b-Venta-Comisión'!A13,'3-Item List'!$V$16:$V$79)</f>
        <v>0</v>
      </c>
      <c r="D13" s="466">
        <f ca="1">SUMIF('3-Item List'!$I$16:$AV$79,'4b-Venta-Comisión'!A13,'3-Item List'!$AI$16:$AI$79)</f>
        <v>0</v>
      </c>
      <c r="E13" s="466">
        <f ca="1">SUMIF('3-Item List'!$I$16:$AV$79,'4b-Venta-Comisión'!A13,'3-Item List'!$AV$16:$AV$79)</f>
        <v>0</v>
      </c>
      <c r="F13" s="466">
        <f ca="1">SUM(B13:E13)</f>
        <v>0</v>
      </c>
      <c r="G13" s="22">
        <f ca="1">+'4a-Venta-Des.'!J19</f>
        <v>0</v>
      </c>
      <c r="H13" s="394">
        <f ca="1">IF(G13=0,0,G13/F13)</f>
        <v>0</v>
      </c>
      <c r="I13" s="22">
        <f t="shared" ref="I13:I26" ca="1" si="0">+F13-G13</f>
        <v>0</v>
      </c>
      <c r="J13" s="171">
        <f t="shared" ref="J13:J28" ca="1" si="1">IF(I13=0,0,(I13/$I$28))</f>
        <v>0</v>
      </c>
      <c r="K13" s="172"/>
      <c r="L13" s="172"/>
      <c r="T13" s="173"/>
      <c r="U13" s="174"/>
    </row>
    <row r="14" spans="1:21">
      <c r="A14" s="465" t="s">
        <v>622</v>
      </c>
      <c r="B14" s="466">
        <f ca="1">SUMIF('3-Item List'!$I$16:$AV$79,'4b-Venta-Comisión'!A14,'3-Item List'!$P$16:$P$79)</f>
        <v>0</v>
      </c>
      <c r="C14" s="466">
        <f ca="1">SUMIF('3-Item List'!$I$16:$AV$79,'4b-Venta-Comisión'!A14,'3-Item List'!$V$16:$V$79)</f>
        <v>0</v>
      </c>
      <c r="D14" s="466">
        <f ca="1">SUMIF('3-Item List'!$I$16:$AV$79,'4b-Venta-Comisión'!A14,'3-Item List'!$AI$16:$AI$79)</f>
        <v>0</v>
      </c>
      <c r="E14" s="466">
        <f ca="1">SUMIF('3-Item List'!$I$16:$AV$79,'4b-Venta-Comisión'!A14,'3-Item List'!$AV$16:$AV$79)</f>
        <v>0</v>
      </c>
      <c r="F14" s="466">
        <f t="shared" ref="F14:F26" ca="1" si="2">SUM(B14:E14)</f>
        <v>0</v>
      </c>
      <c r="G14" s="22">
        <f ca="1">+'4a-Venta-Des.'!J20</f>
        <v>0</v>
      </c>
      <c r="H14" s="394">
        <f t="shared" ref="H14:H27" ca="1" si="3">IF(G14=0,0,G14/F14)</f>
        <v>0</v>
      </c>
      <c r="I14" s="22">
        <f t="shared" ca="1" si="0"/>
        <v>0</v>
      </c>
      <c r="J14" s="171">
        <f t="shared" ca="1" si="1"/>
        <v>0</v>
      </c>
      <c r="T14" s="173"/>
    </row>
    <row r="15" spans="1:21">
      <c r="A15" s="465" t="s">
        <v>849</v>
      </c>
      <c r="B15" s="466">
        <f ca="1">SUMIF('3-Item List'!$I$16:$AV$79,'4b-Venta-Comisión'!A15,'3-Item List'!$P$16:$P$79)</f>
        <v>0</v>
      </c>
      <c r="C15" s="466">
        <f ca="1">SUMIF('3-Item List'!$I$16:$AV$79,'4b-Venta-Comisión'!A15,'3-Item List'!$V$16:$V$79)</f>
        <v>0</v>
      </c>
      <c r="D15" s="466">
        <f ca="1">SUMIF('3-Item List'!$I$16:$AV$79,'4b-Venta-Comisión'!A15,'3-Item List'!$AI$16:$AI$79)</f>
        <v>0</v>
      </c>
      <c r="E15" s="466">
        <f ca="1">SUMIF('3-Item List'!$I$16:$AV$79,'4b-Venta-Comisión'!A15,'3-Item List'!$AV$16:$AV$79)</f>
        <v>0</v>
      </c>
      <c r="F15" s="466">
        <f ca="1">SUM(B15:E15)</f>
        <v>0</v>
      </c>
      <c r="G15" s="22">
        <f ca="1">+'4a-Venta-Des.'!J21</f>
        <v>0</v>
      </c>
      <c r="H15" s="394">
        <f t="shared" ca="1" si="3"/>
        <v>0</v>
      </c>
      <c r="I15" s="22">
        <f ca="1">+F15-G15</f>
        <v>0</v>
      </c>
      <c r="J15" s="171">
        <f t="shared" ca="1" si="1"/>
        <v>0</v>
      </c>
      <c r="T15" s="173"/>
    </row>
    <row r="16" spans="1:21">
      <c r="A16" s="465" t="s">
        <v>661</v>
      </c>
      <c r="B16" s="466">
        <f ca="1">SUMIF('3-Item List'!$I$16:$AV$79,'4b-Venta-Comisión'!A16,'3-Item List'!$P$16:$P$79)</f>
        <v>0</v>
      </c>
      <c r="C16" s="466">
        <f ca="1">SUMIF('3-Item List'!$I$16:$AV$79,'4b-Venta-Comisión'!A16,'3-Item List'!$V$16:$V$79)</f>
        <v>0</v>
      </c>
      <c r="D16" s="466">
        <f ca="1">SUMIF('3-Item List'!$I$16:$AV$79,'4b-Venta-Comisión'!A16,'3-Item List'!$AI$16:$AI$79)</f>
        <v>0</v>
      </c>
      <c r="E16" s="466">
        <f ca="1">SUMIF('3-Item List'!$I$16:$AV$79,'4b-Venta-Comisión'!A16,'3-Item List'!$AV$16:$AV$79)</f>
        <v>0</v>
      </c>
      <c r="F16" s="466">
        <f t="shared" ca="1" si="2"/>
        <v>0</v>
      </c>
      <c r="G16" s="22">
        <f ca="1">+'4a-Venta-Des.'!J22</f>
        <v>0</v>
      </c>
      <c r="H16" s="394">
        <f t="shared" ca="1" si="3"/>
        <v>0</v>
      </c>
      <c r="I16" s="22">
        <f t="shared" ca="1" si="0"/>
        <v>0</v>
      </c>
      <c r="J16" s="171">
        <f t="shared" ca="1" si="1"/>
        <v>0</v>
      </c>
    </row>
    <row r="17" spans="1:17">
      <c r="A17" s="465" t="s">
        <v>640</v>
      </c>
      <c r="B17" s="466">
        <f ca="1">SUMIF('3-Item List'!$I$16:$AV$79,'4b-Venta-Comisión'!A17,'3-Item List'!$P$16:$P$79)</f>
        <v>0</v>
      </c>
      <c r="C17" s="466">
        <f ca="1">SUMIF('3-Item List'!$I$16:$AV$79,'4b-Venta-Comisión'!A17,'3-Item List'!$V$16:$V$79)</f>
        <v>0</v>
      </c>
      <c r="D17" s="466">
        <f ca="1">SUMIF('3-Item List'!$I$16:$AV$79,'4b-Venta-Comisión'!A17,'3-Item List'!$AI$16:$AI$79)</f>
        <v>0</v>
      </c>
      <c r="E17" s="466">
        <f ca="1">SUMIF('3-Item List'!$I$16:$AV$79,'4b-Venta-Comisión'!A17,'3-Item List'!$AV$16:$AV$79)</f>
        <v>0</v>
      </c>
      <c r="F17" s="466">
        <f t="shared" ca="1" si="2"/>
        <v>0</v>
      </c>
      <c r="G17" s="22">
        <f ca="1">+'4a-Venta-Des.'!J23</f>
        <v>0</v>
      </c>
      <c r="H17" s="394">
        <f t="shared" ca="1" si="3"/>
        <v>0</v>
      </c>
      <c r="I17" s="22">
        <f ca="1">+F17-G17</f>
        <v>0</v>
      </c>
      <c r="J17" s="171">
        <f t="shared" ca="1" si="1"/>
        <v>0</v>
      </c>
    </row>
    <row r="18" spans="1:17">
      <c r="A18" s="465" t="s">
        <v>616</v>
      </c>
      <c r="B18" s="466">
        <f ca="1">SUMIF('3-Item List'!$I$16:$AV$79,'4b-Venta-Comisión'!A18,'3-Item List'!$P$16:$P$79)</f>
        <v>0</v>
      </c>
      <c r="C18" s="466">
        <f ca="1">SUMIF('3-Item List'!$I$16:$AV$79,'4b-Venta-Comisión'!A18,'3-Item List'!$V$16:$V$79)</f>
        <v>0</v>
      </c>
      <c r="D18" s="466">
        <f ca="1">SUMIF('3-Item List'!$I$16:$AV$79,'4b-Venta-Comisión'!A18,'3-Item List'!$AI$16:$AI$79)</f>
        <v>0</v>
      </c>
      <c r="E18" s="466">
        <f ca="1">SUMIF('3-Item List'!$I$16:$AV$79,'4b-Venta-Comisión'!A18,'3-Item List'!$AV$16:$AV$79)</f>
        <v>0</v>
      </c>
      <c r="F18" s="466">
        <f t="shared" ca="1" si="2"/>
        <v>0</v>
      </c>
      <c r="G18" s="22">
        <f ca="1">+'4a-Venta-Des.'!J24</f>
        <v>0</v>
      </c>
      <c r="H18" s="394">
        <f t="shared" ca="1" si="3"/>
        <v>0</v>
      </c>
      <c r="I18" s="22">
        <f t="shared" ca="1" si="0"/>
        <v>0</v>
      </c>
      <c r="J18" s="171">
        <f t="shared" ca="1" si="1"/>
        <v>0</v>
      </c>
    </row>
    <row r="19" spans="1:17">
      <c r="A19" s="465" t="s">
        <v>497</v>
      </c>
      <c r="B19" s="466">
        <f ca="1">SUMIF('3-Item List'!$I$16:$AV$79,'4b-Venta-Comisión'!A19,'3-Item List'!$P$16:$P$79)</f>
        <v>0</v>
      </c>
      <c r="C19" s="466">
        <f ca="1">SUMIF('3-Item List'!$I$16:$AV$79,'4b-Venta-Comisión'!A19,'3-Item List'!$V$16:$V$79)</f>
        <v>0</v>
      </c>
      <c r="D19" s="466">
        <f ca="1">SUMIF('3-Item List'!$I$16:$AV$79,'4b-Venta-Comisión'!A19,'3-Item List'!$AI$16:$AI$79)</f>
        <v>0</v>
      </c>
      <c r="E19" s="466">
        <f ca="1">SUMIF('3-Item List'!$I$16:$AV$79,'4b-Venta-Comisión'!A19,'3-Item List'!$AV$16:$AV$79)</f>
        <v>0</v>
      </c>
      <c r="F19" s="466">
        <f ca="1">SUM(B19:E19)</f>
        <v>0</v>
      </c>
      <c r="G19" s="22">
        <f ca="1">+'4a-Venta-Des.'!J25</f>
        <v>0</v>
      </c>
      <c r="H19" s="394">
        <f ca="1">IF(G19=0,0,G19/F19)</f>
        <v>0</v>
      </c>
      <c r="I19" s="22">
        <f ca="1">+F19-G19</f>
        <v>0</v>
      </c>
      <c r="J19" s="171">
        <f t="shared" ca="1" si="1"/>
        <v>0</v>
      </c>
    </row>
    <row r="20" spans="1:17">
      <c r="A20" s="467" t="s">
        <v>974</v>
      </c>
      <c r="B20" s="466">
        <f ca="1">SUMIF('3-Item List'!$I$16:$AV$79,'4b-Venta-Comisión'!A20,'3-Item List'!$P$16:$P$79)</f>
        <v>0</v>
      </c>
      <c r="C20" s="466">
        <f ca="1">SUMIF('3-Item List'!$I$16:$AV$79,'4b-Venta-Comisión'!A20,'3-Item List'!$V$16:$V$79)</f>
        <v>0</v>
      </c>
      <c r="D20" s="466">
        <f ca="1">SUMIF('3-Item List'!$I$16:$AV$79,'4b-Venta-Comisión'!A20,'3-Item List'!$AI$16:$AI$79)</f>
        <v>0</v>
      </c>
      <c r="E20" s="466">
        <f ca="1">SUMIF('3-Item List'!$I$16:$AV$79,'4b-Venta-Comisión'!A20,'3-Item List'!$AV$16:$AV$79)</f>
        <v>0</v>
      </c>
      <c r="F20" s="466">
        <f ca="1">SUM(B20:E20)</f>
        <v>0</v>
      </c>
      <c r="G20" s="22">
        <f ca="1">+'4a-Venta-Des.'!J26</f>
        <v>0</v>
      </c>
      <c r="H20" s="394">
        <f t="shared" ca="1" si="3"/>
        <v>0</v>
      </c>
      <c r="I20" s="22">
        <f ca="1">+F20-G20</f>
        <v>0</v>
      </c>
      <c r="J20" s="171">
        <f t="shared" ca="1" si="1"/>
        <v>0</v>
      </c>
    </row>
    <row r="21" spans="1:17">
      <c r="A21" s="465" t="s">
        <v>613</v>
      </c>
      <c r="B21" s="466">
        <f ca="1">SUMIF('3-Item List'!$I$16:$AV$79,'4b-Venta-Comisión'!A21,'3-Item List'!$P$16:$P$79)</f>
        <v>0</v>
      </c>
      <c r="C21" s="466">
        <f ca="1">SUMIF('3-Item List'!$I$16:$AV$79,'4b-Venta-Comisión'!A21,'3-Item List'!$V$16:$V$79)</f>
        <v>0</v>
      </c>
      <c r="D21" s="466">
        <f ca="1">SUMIF('3-Item List'!$I$16:$AV$79,'4b-Venta-Comisión'!A21,'3-Item List'!$AI$16:$AI$79)</f>
        <v>0</v>
      </c>
      <c r="E21" s="466">
        <f ca="1">SUMIF('3-Item List'!$I$16:$AV$79,'4b-Venta-Comisión'!A21,'3-Item List'!$AV$16:$AV$79)</f>
        <v>0</v>
      </c>
      <c r="F21" s="466">
        <f ca="1">SUM(B21:E21)</f>
        <v>0</v>
      </c>
      <c r="G21" s="22">
        <f ca="1">+'4a-Venta-Des.'!J27</f>
        <v>0</v>
      </c>
      <c r="H21" s="394">
        <f t="shared" ca="1" si="3"/>
        <v>0</v>
      </c>
      <c r="I21" s="22">
        <f ca="1">+F21-G21</f>
        <v>0</v>
      </c>
      <c r="J21" s="171">
        <f t="shared" ca="1" si="1"/>
        <v>0</v>
      </c>
    </row>
    <row r="22" spans="1:17">
      <c r="A22" s="465" t="s">
        <v>513</v>
      </c>
      <c r="B22" s="466">
        <f ca="1">SUMIF('3-Item List'!$I$16:$AV$79,'4b-Venta-Comisión'!A22,'3-Item List'!$P$16:$P$79)</f>
        <v>0</v>
      </c>
      <c r="C22" s="466">
        <f ca="1">SUMIF('3-Item List'!$I$16:$AV$79,'4b-Venta-Comisión'!A22,'3-Item List'!$V$16:$V$79)</f>
        <v>0</v>
      </c>
      <c r="D22" s="466">
        <f ca="1">SUMIF('3-Item List'!$I$16:$AV$79,'4b-Venta-Comisión'!A22,'3-Item List'!$AI$16:$AI$79)</f>
        <v>0</v>
      </c>
      <c r="E22" s="466">
        <f ca="1">SUMIF('3-Item List'!$I$16:$AV$79,'4b-Venta-Comisión'!A22,'3-Item List'!$AV$16:$AV$79)</f>
        <v>0</v>
      </c>
      <c r="F22" s="466">
        <f ca="1">SUM(B22:E22)</f>
        <v>0</v>
      </c>
      <c r="G22" s="22">
        <f ca="1">+'4a-Venta-Des.'!J28</f>
        <v>0</v>
      </c>
      <c r="H22" s="394">
        <f t="shared" ca="1" si="3"/>
        <v>0</v>
      </c>
      <c r="I22" s="22">
        <f ca="1">+F22-G22</f>
        <v>0</v>
      </c>
      <c r="J22" s="171">
        <f t="shared" ca="1" si="1"/>
        <v>0</v>
      </c>
    </row>
    <row r="23" spans="1:17">
      <c r="A23" s="468" t="s">
        <v>664</v>
      </c>
      <c r="B23" s="466">
        <f ca="1">SUMIF('3-Item List'!$I$16:$AV$79,'4b-Venta-Comisión'!A23,'3-Item List'!$P$16:$P$79)</f>
        <v>0</v>
      </c>
      <c r="C23" s="466">
        <f ca="1">SUMIF('3-Item List'!$I$16:$AV$79,'4b-Venta-Comisión'!A23,'3-Item List'!$V$16:$V$79)</f>
        <v>0</v>
      </c>
      <c r="D23" s="466">
        <f ca="1">SUMIF('3-Item List'!$I$16:$AV$79,'4b-Venta-Comisión'!A23,'3-Item List'!$AI$16:$AI$79)</f>
        <v>0</v>
      </c>
      <c r="E23" s="466">
        <f ca="1">SUMIF('3-Item List'!$I$16:$AV$79,'4b-Venta-Comisión'!A23,'3-Item List'!$AV$16:$AV$79)</f>
        <v>0</v>
      </c>
      <c r="F23" s="466">
        <f t="shared" ca="1" si="2"/>
        <v>0</v>
      </c>
      <c r="G23" s="22">
        <f ca="1">+'4a-Venta-Des.'!J29</f>
        <v>0</v>
      </c>
      <c r="H23" s="394">
        <f t="shared" ca="1" si="3"/>
        <v>0</v>
      </c>
      <c r="I23" s="22">
        <f t="shared" ca="1" si="0"/>
        <v>0</v>
      </c>
      <c r="J23" s="171">
        <f t="shared" ca="1" si="1"/>
        <v>0</v>
      </c>
    </row>
    <row r="24" spans="1:17">
      <c r="A24" s="469" t="s">
        <v>663</v>
      </c>
      <c r="B24" s="466">
        <f ca="1">SUMIF('3-Item List'!$I$16:$AV$79,'4b-Venta-Comisión'!A24,'3-Item List'!$P$16:$P$79)</f>
        <v>0</v>
      </c>
      <c r="C24" s="466">
        <f ca="1">SUMIF('3-Item List'!$I$16:$AV$79,'4b-Venta-Comisión'!A24,'3-Item List'!$V$16:$V$79)</f>
        <v>0</v>
      </c>
      <c r="D24" s="466">
        <f ca="1">SUMIF('3-Item List'!$I$16:$AV$79,'4b-Venta-Comisión'!A24,'3-Item List'!$AI$16:$AI$79)</f>
        <v>0</v>
      </c>
      <c r="E24" s="466">
        <f ca="1">SUMIF('3-Item List'!$I$16:$AV$79,'4b-Venta-Comisión'!A24,'3-Item List'!$AV$16:$AV$79)</f>
        <v>0</v>
      </c>
      <c r="F24" s="466">
        <f t="shared" ca="1" si="2"/>
        <v>0</v>
      </c>
      <c r="G24" s="22">
        <f ca="1">+'4a-Venta-Des.'!J30</f>
        <v>0</v>
      </c>
      <c r="H24" s="394">
        <f t="shared" ca="1" si="3"/>
        <v>0</v>
      </c>
      <c r="I24" s="22">
        <f t="shared" ca="1" si="0"/>
        <v>0</v>
      </c>
      <c r="J24" s="171">
        <f t="shared" ca="1" si="1"/>
        <v>0</v>
      </c>
    </row>
    <row r="25" spans="1:17">
      <c r="A25" s="469" t="s">
        <v>662</v>
      </c>
      <c r="B25" s="466">
        <f ca="1">SUMIF('3-Item List'!$I$16:$AV$79,'4b-Venta-Comisión'!A25,'3-Item List'!$P$16:$P$79)</f>
        <v>0</v>
      </c>
      <c r="C25" s="466">
        <f ca="1">SUMIF('3-Item List'!$I$16:$AV$79,'4b-Venta-Comisión'!A25,'3-Item List'!$V$16:$V$79)</f>
        <v>0</v>
      </c>
      <c r="D25" s="466">
        <f ca="1">SUMIF('3-Item List'!$I$16:$AV$79,'4b-Venta-Comisión'!A25,'3-Item List'!$AI$16:$AI$79)</f>
        <v>0</v>
      </c>
      <c r="E25" s="466">
        <f ca="1">SUMIF('3-Item List'!$I$16:$AV$79,'4b-Venta-Comisión'!A25,'3-Item List'!$AV$16:$AV$79)</f>
        <v>0</v>
      </c>
      <c r="F25" s="466">
        <f t="shared" ca="1" si="2"/>
        <v>0</v>
      </c>
      <c r="G25" s="22">
        <f ca="1">+'4a-Venta-Des.'!J31</f>
        <v>0</v>
      </c>
      <c r="H25" s="394">
        <f t="shared" ca="1" si="3"/>
        <v>0</v>
      </c>
      <c r="I25" s="22">
        <f t="shared" ca="1" si="0"/>
        <v>0</v>
      </c>
      <c r="J25" s="171">
        <f t="shared" ca="1" si="1"/>
        <v>0</v>
      </c>
    </row>
    <row r="26" spans="1:17">
      <c r="A26" s="469" t="s">
        <v>137</v>
      </c>
      <c r="B26" s="466">
        <f ca="1">SUMIF('3-Item List'!$I$16:$AV$79,'4b-Venta-Comisión'!A26,'3-Item List'!$P$16:$P$79)</f>
        <v>0</v>
      </c>
      <c r="C26" s="466">
        <f ca="1">SUMIF('3-Item List'!$I$16:$AV$79,'4b-Venta-Comisión'!A26,'3-Item List'!$V$16:$V$79)</f>
        <v>0</v>
      </c>
      <c r="D26" s="466">
        <f ca="1">SUMIF('3-Item List'!$I$16:$AV$79,'4b-Venta-Comisión'!A26,'3-Item List'!$AI$16:$AI$79)</f>
        <v>0</v>
      </c>
      <c r="E26" s="466">
        <f ca="1">SUMIF('3-Item List'!$I$16:$AV$79,'4b-Venta-Comisión'!A26,'3-Item List'!$AV$16:$AV$79)</f>
        <v>0</v>
      </c>
      <c r="F26" s="466">
        <f t="shared" ca="1" si="2"/>
        <v>0</v>
      </c>
      <c r="G26" s="22">
        <f ca="1">+'4a-Venta-Des.'!J32</f>
        <v>0</v>
      </c>
      <c r="H26" s="394">
        <f t="shared" ca="1" si="3"/>
        <v>0</v>
      </c>
      <c r="I26" s="22">
        <f t="shared" ca="1" si="0"/>
        <v>0</v>
      </c>
      <c r="J26" s="171">
        <f t="shared" ca="1" si="1"/>
        <v>0</v>
      </c>
    </row>
    <row r="27" spans="1:17">
      <c r="A27" s="238" t="s">
        <v>870</v>
      </c>
      <c r="B27" s="22">
        <f ca="1">SUMIF('3-Item List'!$I$16:$AV$79,'4b-Venta-Comisión'!A27,'3-Item List'!$P$16:$P$79)</f>
        <v>0</v>
      </c>
      <c r="C27" s="22">
        <f ca="1">SUMIF('3-Item List'!$I$16:$AV$79,'4b-Venta-Comisión'!A27,'3-Item List'!$V$16:$V$79)</f>
        <v>0</v>
      </c>
      <c r="D27" s="23">
        <f ca="1">SUMIF('3-Item List'!$I$16:$AV$79,'4b-Venta-Comisión'!A27,'3-Item List'!$AI$16:$AI$79)</f>
        <v>0</v>
      </c>
      <c r="E27" s="22">
        <f ca="1">SUMIF('3-Item List'!$I$16:$AV$79,'4b-Venta-Comisión'!A27,'3-Item List'!$AV$16:$AV$79)</f>
        <v>0</v>
      </c>
      <c r="F27" s="22">
        <f ca="1">SUM(B27:E27)</f>
        <v>0</v>
      </c>
      <c r="G27" s="22">
        <f ca="1">+'4a-Venta-Des.'!J33</f>
        <v>0</v>
      </c>
      <c r="H27" s="394">
        <f t="shared" ca="1" si="3"/>
        <v>0</v>
      </c>
      <c r="I27" s="22">
        <f ca="1">+F27-G27</f>
        <v>0</v>
      </c>
      <c r="J27" s="171">
        <f t="shared" ca="1" si="1"/>
        <v>0</v>
      </c>
    </row>
    <row r="28" spans="1:17" ht="12" thickBot="1">
      <c r="B28" s="175">
        <f t="shared" ref="B28:G28" ca="1" si="4">SUM(B13:B27)</f>
        <v>0</v>
      </c>
      <c r="C28" s="175">
        <f t="shared" ca="1" si="4"/>
        <v>0</v>
      </c>
      <c r="D28" s="175">
        <f t="shared" ca="1" si="4"/>
        <v>0</v>
      </c>
      <c r="E28" s="175">
        <f t="shared" ca="1" si="4"/>
        <v>0</v>
      </c>
      <c r="F28" s="176">
        <f t="shared" ca="1" si="4"/>
        <v>0</v>
      </c>
      <c r="G28" s="176">
        <f t="shared" ca="1" si="4"/>
        <v>0</v>
      </c>
      <c r="H28" s="395">
        <f ca="1">IF(G28=0,0,(G28/F28))</f>
        <v>0</v>
      </c>
      <c r="I28" s="176">
        <f ca="1">SUM(I13:I27)</f>
        <v>0</v>
      </c>
      <c r="J28" s="171">
        <f t="shared" ca="1" si="1"/>
        <v>0</v>
      </c>
    </row>
    <row r="29" spans="1:17" ht="14.25" thickTop="1">
      <c r="B29" s="177" t="str">
        <f ca="1">IF(F28-'3-Item List'!G77=0,"OK","Esta pendiente de asignar en la columna ¨I¨ la CATEGORIA.")</f>
        <v>OK</v>
      </c>
      <c r="C29" s="251"/>
      <c r="D29" s="251"/>
      <c r="E29" s="251"/>
      <c r="F29" s="252"/>
      <c r="G29" s="251"/>
      <c r="H29" s="158"/>
      <c r="I29" s="177" t="str">
        <f ca="1">IF(I28-'2-Cotización'!G33=0,"OK","No cuandra importe entre Item List y Cotización")</f>
        <v>OK</v>
      </c>
      <c r="J29" s="159"/>
    </row>
    <row r="30" spans="1:17" ht="4.5" customHeight="1">
      <c r="A30" s="178"/>
      <c r="B30" s="179"/>
      <c r="C30" s="179"/>
      <c r="D30" s="179"/>
      <c r="E30" s="179"/>
      <c r="F30" s="180"/>
      <c r="G30" s="180"/>
      <c r="H30" s="180"/>
      <c r="I30" s="180"/>
      <c r="J30" s="180"/>
      <c r="K30" s="180"/>
      <c r="L30" s="180"/>
      <c r="M30" s="180"/>
      <c r="N30" s="180"/>
      <c r="O30" s="180"/>
      <c r="P30" s="180"/>
      <c r="Q30" s="180"/>
    </row>
    <row r="31" spans="1:17" ht="4.5" customHeight="1"/>
    <row r="32" spans="1:17" ht="13.5" thickBot="1">
      <c r="A32" s="541" t="s">
        <v>620</v>
      </c>
      <c r="B32" s="542"/>
      <c r="C32" s="542"/>
      <c r="D32" s="542"/>
      <c r="E32" s="542"/>
      <c r="F32" s="542"/>
      <c r="G32" s="542"/>
      <c r="H32" s="542"/>
      <c r="I32" s="542"/>
      <c r="J32" s="542"/>
      <c r="K32" s="542"/>
      <c r="L32" s="542"/>
      <c r="M32" s="542"/>
      <c r="N32" s="542"/>
      <c r="O32" s="542"/>
      <c r="P32" s="542"/>
      <c r="Q32" s="542"/>
    </row>
    <row r="33" spans="1:17" ht="13.5" thickTop="1">
      <c r="A33" s="477" t="s">
        <v>104</v>
      </c>
      <c r="B33" s="599" t="s">
        <v>506</v>
      </c>
      <c r="C33" s="181"/>
      <c r="D33" s="181"/>
      <c r="E33" s="181"/>
      <c r="F33" s="181"/>
      <c r="G33" s="181"/>
    </row>
    <row r="34" spans="1:17" ht="45">
      <c r="A34" s="167" t="s">
        <v>502</v>
      </c>
      <c r="B34" s="182" t="s">
        <v>947</v>
      </c>
      <c r="C34" s="167" t="s">
        <v>878</v>
      </c>
      <c r="D34" s="183" t="s">
        <v>948</v>
      </c>
      <c r="E34" s="184" t="s">
        <v>705</v>
      </c>
      <c r="F34" s="184" t="s">
        <v>945</v>
      </c>
      <c r="G34" s="183" t="s">
        <v>942</v>
      </c>
      <c r="H34" s="183" t="s">
        <v>706</v>
      </c>
      <c r="I34" s="279" t="s">
        <v>943</v>
      </c>
      <c r="J34" s="183" t="s">
        <v>950</v>
      </c>
      <c r="K34" s="184" t="s">
        <v>944</v>
      </c>
      <c r="L34" s="184" t="s">
        <v>946</v>
      </c>
      <c r="M34" s="279" t="s">
        <v>951</v>
      </c>
      <c r="N34" s="279" t="s">
        <v>646</v>
      </c>
      <c r="O34" s="182" t="s">
        <v>721</v>
      </c>
      <c r="P34" s="182" t="s">
        <v>707</v>
      </c>
      <c r="Q34" s="183" t="s">
        <v>645</v>
      </c>
    </row>
    <row r="35" spans="1:17">
      <c r="A35" s="600"/>
      <c r="B35" s="592"/>
      <c r="C35" s="593"/>
      <c r="D35" s="592"/>
      <c r="E35" s="593"/>
      <c r="F35" s="592"/>
      <c r="G35" s="593"/>
      <c r="H35" s="592"/>
      <c r="I35" s="593"/>
      <c r="J35" s="592"/>
      <c r="K35" s="593"/>
      <c r="L35" s="592"/>
      <c r="M35" s="593"/>
      <c r="N35" s="592"/>
      <c r="O35" s="608"/>
      <c r="P35" s="609"/>
      <c r="Q35" s="610"/>
    </row>
    <row r="36" spans="1:17">
      <c r="A36" s="185" t="s">
        <v>615</v>
      </c>
      <c r="B36" s="589">
        <f t="shared" ref="B36:B50" ca="1" si="5">(B13+C13+D13)*(1-H13)</f>
        <v>0</v>
      </c>
      <c r="C36" s="589">
        <f t="shared" ref="C36:C50" ca="1" si="6">E13*(1-H13)</f>
        <v>0</v>
      </c>
      <c r="D36" s="590">
        <f ca="1">SUM(B36:C36)</f>
        <v>0</v>
      </c>
      <c r="E36" s="591">
        <f>IF($B$33="SI",VLOOKUP('4a-Venta-Des.'!$K19,'8-Condicionantes'!$U$2:$W$11,3,3),0%)</f>
        <v>0</v>
      </c>
      <c r="F36" s="379"/>
      <c r="G36" s="188"/>
      <c r="H36" s="380">
        <f>IF($B$33="si",E36+G36,F36+G36)</f>
        <v>0</v>
      </c>
      <c r="I36" s="187">
        <f t="shared" ref="I36:I50" ca="1" si="7">B36*H36</f>
        <v>0</v>
      </c>
      <c r="J36" s="379" t="s">
        <v>506</v>
      </c>
      <c r="K36" s="379" t="s">
        <v>506</v>
      </c>
      <c r="L36" s="188"/>
      <c r="M36" s="186">
        <f t="shared" ref="M36:M50" si="8">IF(K36="si",C36*L36,IF(J36="si",C36*H36,IF(J36="NO",0,IF(K36="NO",0))))</f>
        <v>0</v>
      </c>
      <c r="N36" s="601">
        <f t="shared" ref="N36:N50" ca="1" si="9">+I36+M36</f>
        <v>0</v>
      </c>
      <c r="O36" s="189"/>
      <c r="P36" s="190"/>
      <c r="Q36" s="191"/>
    </row>
    <row r="37" spans="1:17">
      <c r="A37" s="185" t="s">
        <v>622</v>
      </c>
      <c r="B37" s="589">
        <f t="shared" ca="1" si="5"/>
        <v>0</v>
      </c>
      <c r="C37" s="589">
        <f t="shared" ca="1" si="6"/>
        <v>0</v>
      </c>
      <c r="D37" s="590">
        <f t="shared" ref="D37:D49" ca="1" si="10">SUM(B37:C37)</f>
        <v>0</v>
      </c>
      <c r="E37" s="591">
        <f>IF($B$33="SI",VLOOKUP('4a-Venta-Des.'!$K20,'8-Condicionantes'!$U$2:$W$11,3,3),0%)</f>
        <v>0</v>
      </c>
      <c r="F37" s="379"/>
      <c r="G37" s="188"/>
      <c r="H37" s="380">
        <f t="shared" ref="H37:H50" si="11">IF($B$33="si",E37+G37,F37+G37)</f>
        <v>0</v>
      </c>
      <c r="I37" s="187">
        <f t="shared" ca="1" si="7"/>
        <v>0</v>
      </c>
      <c r="J37" s="379" t="str">
        <f>+$J$36</f>
        <v>NO</v>
      </c>
      <c r="K37" s="379" t="str">
        <f>+K36</f>
        <v>NO</v>
      </c>
      <c r="L37" s="188"/>
      <c r="M37" s="186">
        <f t="shared" si="8"/>
        <v>0</v>
      </c>
      <c r="N37" s="601">
        <f t="shared" ca="1" si="9"/>
        <v>0</v>
      </c>
      <c r="O37" s="189"/>
      <c r="P37" s="190"/>
      <c r="Q37" s="191"/>
    </row>
    <row r="38" spans="1:17">
      <c r="A38" s="185" t="s">
        <v>849</v>
      </c>
      <c r="B38" s="589">
        <f t="shared" ca="1" si="5"/>
        <v>0</v>
      </c>
      <c r="C38" s="589">
        <f t="shared" ca="1" si="6"/>
        <v>0</v>
      </c>
      <c r="D38" s="590">
        <f ca="1">SUM(B38:C38)</f>
        <v>0</v>
      </c>
      <c r="E38" s="591">
        <f>IF($B$33="SI",VLOOKUP('4a-Venta-Des.'!$K21,'8-Condicionantes'!$U$2:$W$11,3,3),0%)</f>
        <v>0</v>
      </c>
      <c r="F38" s="379"/>
      <c r="G38" s="188"/>
      <c r="H38" s="380">
        <f t="shared" si="11"/>
        <v>0</v>
      </c>
      <c r="I38" s="187">
        <f t="shared" ca="1" si="7"/>
        <v>0</v>
      </c>
      <c r="J38" s="379" t="str">
        <f>+$J$36</f>
        <v>NO</v>
      </c>
      <c r="K38" s="379" t="str">
        <f>+K37</f>
        <v>NO</v>
      </c>
      <c r="L38" s="188"/>
      <c r="M38" s="186">
        <f t="shared" si="8"/>
        <v>0</v>
      </c>
      <c r="N38" s="601">
        <f t="shared" ca="1" si="9"/>
        <v>0</v>
      </c>
      <c r="O38" s="189"/>
      <c r="P38" s="190"/>
      <c r="Q38" s="191"/>
    </row>
    <row r="39" spans="1:17">
      <c r="A39" s="185" t="s">
        <v>661</v>
      </c>
      <c r="B39" s="589">
        <f t="shared" ca="1" si="5"/>
        <v>0</v>
      </c>
      <c r="C39" s="589">
        <f t="shared" ca="1" si="6"/>
        <v>0</v>
      </c>
      <c r="D39" s="590">
        <f t="shared" ca="1" si="10"/>
        <v>0</v>
      </c>
      <c r="E39" s="591">
        <f>IF($B$33="SI",VLOOKUP('4a-Venta-Des.'!$K22,'8-Condicionantes'!$U$2:$W$11,3,3),0%)</f>
        <v>0</v>
      </c>
      <c r="F39" s="379"/>
      <c r="G39" s="188"/>
      <c r="H39" s="380">
        <f t="shared" si="11"/>
        <v>0</v>
      </c>
      <c r="I39" s="187">
        <f t="shared" ca="1" si="7"/>
        <v>0</v>
      </c>
      <c r="J39" s="379" t="str">
        <f>+$J$36</f>
        <v>NO</v>
      </c>
      <c r="K39" s="379" t="str">
        <f>+K38</f>
        <v>NO</v>
      </c>
      <c r="L39" s="188"/>
      <c r="M39" s="186">
        <f t="shared" si="8"/>
        <v>0</v>
      </c>
      <c r="N39" s="601">
        <f t="shared" ca="1" si="9"/>
        <v>0</v>
      </c>
      <c r="O39" s="189"/>
      <c r="P39" s="190"/>
      <c r="Q39" s="191"/>
    </row>
    <row r="40" spans="1:17">
      <c r="A40" s="185" t="s">
        <v>640</v>
      </c>
      <c r="B40" s="589">
        <f t="shared" ca="1" si="5"/>
        <v>0</v>
      </c>
      <c r="C40" s="589">
        <f t="shared" ca="1" si="6"/>
        <v>0</v>
      </c>
      <c r="D40" s="590">
        <f t="shared" ca="1" si="10"/>
        <v>0</v>
      </c>
      <c r="E40" s="591">
        <f>IF($B$33="SI",VLOOKUP('4a-Venta-Des.'!$K23,'8-Condicionantes'!$U$2:$W$11,3,3),0%)</f>
        <v>0</v>
      </c>
      <c r="F40" s="379"/>
      <c r="G40" s="188"/>
      <c r="H40" s="380">
        <f t="shared" si="11"/>
        <v>0</v>
      </c>
      <c r="I40" s="187">
        <f t="shared" ca="1" si="7"/>
        <v>0</v>
      </c>
      <c r="J40" s="188" t="s">
        <v>505</v>
      </c>
      <c r="K40" s="188" t="s">
        <v>506</v>
      </c>
      <c r="L40" s="188"/>
      <c r="M40" s="186">
        <f t="shared" ca="1" si="8"/>
        <v>0</v>
      </c>
      <c r="N40" s="601">
        <f t="shared" ca="1" si="9"/>
        <v>0</v>
      </c>
      <c r="O40" s="189"/>
      <c r="P40" s="190"/>
      <c r="Q40" s="191"/>
    </row>
    <row r="41" spans="1:17">
      <c r="A41" s="185" t="s">
        <v>616</v>
      </c>
      <c r="B41" s="589">
        <f t="shared" ca="1" si="5"/>
        <v>0</v>
      </c>
      <c r="C41" s="589">
        <f t="shared" ca="1" si="6"/>
        <v>0</v>
      </c>
      <c r="D41" s="590">
        <f t="shared" ca="1" si="10"/>
        <v>0</v>
      </c>
      <c r="E41" s="591">
        <f>IF($B$33="SI",VLOOKUP('4a-Venta-Des.'!$K24,'8-Condicionantes'!$U$2:$W$11,3,3),0%)</f>
        <v>0</v>
      </c>
      <c r="F41" s="379"/>
      <c r="G41" s="188"/>
      <c r="H41" s="380">
        <f t="shared" si="11"/>
        <v>0</v>
      </c>
      <c r="I41" s="187">
        <f t="shared" ca="1" si="7"/>
        <v>0</v>
      </c>
      <c r="J41" s="188" t="s">
        <v>505</v>
      </c>
      <c r="K41" s="188" t="s">
        <v>506</v>
      </c>
      <c r="L41" s="188"/>
      <c r="M41" s="186">
        <f t="shared" ca="1" si="8"/>
        <v>0</v>
      </c>
      <c r="N41" s="601">
        <f t="shared" ca="1" si="9"/>
        <v>0</v>
      </c>
      <c r="O41" s="189"/>
      <c r="P41" s="190"/>
      <c r="Q41" s="191"/>
    </row>
    <row r="42" spans="1:17">
      <c r="A42" s="185" t="s">
        <v>497</v>
      </c>
      <c r="B42" s="589">
        <f t="shared" ca="1" si="5"/>
        <v>0</v>
      </c>
      <c r="C42" s="589">
        <f t="shared" ca="1" si="6"/>
        <v>0</v>
      </c>
      <c r="D42" s="590">
        <f ca="1">SUM(B42:C42)</f>
        <v>0</v>
      </c>
      <c r="E42" s="591">
        <f>IF($B$33="SI",VLOOKUP('4a-Venta-Des.'!$K25,'8-Condicionantes'!$U$2:$W$11,3,3),0%)</f>
        <v>0</v>
      </c>
      <c r="F42" s="379"/>
      <c r="G42" s="188"/>
      <c r="H42" s="380">
        <f t="shared" si="11"/>
        <v>0</v>
      </c>
      <c r="I42" s="187">
        <f t="shared" ca="1" si="7"/>
        <v>0</v>
      </c>
      <c r="J42" s="188" t="s">
        <v>505</v>
      </c>
      <c r="K42" s="188" t="s">
        <v>506</v>
      </c>
      <c r="L42" s="188"/>
      <c r="M42" s="186">
        <f t="shared" ca="1" si="8"/>
        <v>0</v>
      </c>
      <c r="N42" s="601">
        <f ca="1">+I42+M42</f>
        <v>0</v>
      </c>
      <c r="O42" s="189"/>
      <c r="P42" s="190"/>
      <c r="Q42" s="191"/>
    </row>
    <row r="43" spans="1:17">
      <c r="A43" s="602" t="s">
        <v>974</v>
      </c>
      <c r="B43" s="589">
        <f t="shared" ca="1" si="5"/>
        <v>0</v>
      </c>
      <c r="C43" s="589">
        <f t="shared" ca="1" si="6"/>
        <v>0</v>
      </c>
      <c r="D43" s="590">
        <f ca="1">SUM(B43:C43)</f>
        <v>0</v>
      </c>
      <c r="E43" s="591">
        <f>IF($B$33="SI",VLOOKUP('4a-Venta-Des.'!$K26,'8-Condicionantes'!$U$2:$W$11,3,3),0%)</f>
        <v>0</v>
      </c>
      <c r="F43" s="379"/>
      <c r="G43" s="188"/>
      <c r="H43" s="380">
        <f t="shared" si="11"/>
        <v>0</v>
      </c>
      <c r="I43" s="187">
        <f t="shared" ca="1" si="7"/>
        <v>0</v>
      </c>
      <c r="J43" s="188" t="s">
        <v>505</v>
      </c>
      <c r="K43" s="188" t="s">
        <v>506</v>
      </c>
      <c r="L43" s="188"/>
      <c r="M43" s="186">
        <f t="shared" ca="1" si="8"/>
        <v>0</v>
      </c>
      <c r="N43" s="601">
        <f ca="1">+I43+M43</f>
        <v>0</v>
      </c>
      <c r="O43" s="189"/>
      <c r="P43" s="190"/>
      <c r="Q43" s="191"/>
    </row>
    <row r="44" spans="1:17">
      <c r="A44" s="185" t="s">
        <v>613</v>
      </c>
      <c r="B44" s="589">
        <f t="shared" ca="1" si="5"/>
        <v>0</v>
      </c>
      <c r="C44" s="589">
        <f t="shared" ca="1" si="6"/>
        <v>0</v>
      </c>
      <c r="D44" s="590">
        <f ca="1">SUM(B44:C44)</f>
        <v>0</v>
      </c>
      <c r="E44" s="591">
        <v>0</v>
      </c>
      <c r="F44" s="379"/>
      <c r="G44" s="188"/>
      <c r="H44" s="380">
        <f t="shared" si="11"/>
        <v>0</v>
      </c>
      <c r="I44" s="187">
        <f t="shared" ca="1" si="7"/>
        <v>0</v>
      </c>
      <c r="J44" s="188" t="s">
        <v>505</v>
      </c>
      <c r="K44" s="188" t="s">
        <v>506</v>
      </c>
      <c r="L44" s="188"/>
      <c r="M44" s="186">
        <f t="shared" ca="1" si="8"/>
        <v>0</v>
      </c>
      <c r="N44" s="601">
        <f t="shared" ca="1" si="9"/>
        <v>0</v>
      </c>
      <c r="O44" s="189"/>
      <c r="P44" s="190"/>
      <c r="Q44" s="191"/>
    </row>
    <row r="45" spans="1:17">
      <c r="A45" s="185" t="s">
        <v>513</v>
      </c>
      <c r="B45" s="589">
        <f t="shared" ca="1" si="5"/>
        <v>0</v>
      </c>
      <c r="C45" s="589">
        <f t="shared" ca="1" si="6"/>
        <v>0</v>
      </c>
      <c r="D45" s="590">
        <f ca="1">SUM(B45:C45)</f>
        <v>0</v>
      </c>
      <c r="E45" s="591">
        <f>IF($B$33="SI",VLOOKUP('4a-Venta-Des.'!$K28,'8-Condicionantes'!$U$2:$W$11,3,3),0%)</f>
        <v>0</v>
      </c>
      <c r="F45" s="379"/>
      <c r="G45" s="188"/>
      <c r="H45" s="380">
        <f t="shared" si="11"/>
        <v>0</v>
      </c>
      <c r="I45" s="187">
        <f t="shared" ca="1" si="7"/>
        <v>0</v>
      </c>
      <c r="J45" s="188" t="s">
        <v>505</v>
      </c>
      <c r="K45" s="188" t="s">
        <v>506</v>
      </c>
      <c r="L45" s="188"/>
      <c r="M45" s="186">
        <f t="shared" ca="1" si="8"/>
        <v>0</v>
      </c>
      <c r="N45" s="601">
        <f t="shared" ca="1" si="9"/>
        <v>0</v>
      </c>
      <c r="O45" s="189"/>
      <c r="P45" s="190"/>
      <c r="Q45" s="191"/>
    </row>
    <row r="46" spans="1:17">
      <c r="A46" s="236" t="s">
        <v>664</v>
      </c>
      <c r="B46" s="589">
        <f t="shared" ca="1" si="5"/>
        <v>0</v>
      </c>
      <c r="C46" s="589">
        <f t="shared" ca="1" si="6"/>
        <v>0</v>
      </c>
      <c r="D46" s="590">
        <f t="shared" ca="1" si="10"/>
        <v>0</v>
      </c>
      <c r="E46" s="591">
        <f>IF($B$33="SI",VLOOKUP('4a-Venta-Des.'!$K29,'8-Condicionantes'!$U$2:$W$11,3,3),0%)</f>
        <v>0</v>
      </c>
      <c r="F46" s="379"/>
      <c r="G46" s="188"/>
      <c r="H46" s="380">
        <f t="shared" si="11"/>
        <v>0</v>
      </c>
      <c r="I46" s="187">
        <f t="shared" ca="1" si="7"/>
        <v>0</v>
      </c>
      <c r="J46" s="315" t="s">
        <v>505</v>
      </c>
      <c r="K46" s="315" t="s">
        <v>506</v>
      </c>
      <c r="L46" s="188"/>
      <c r="M46" s="186">
        <f t="shared" ca="1" si="8"/>
        <v>0</v>
      </c>
      <c r="N46" s="601">
        <f t="shared" ca="1" si="9"/>
        <v>0</v>
      </c>
      <c r="O46" s="189"/>
      <c r="P46" s="190"/>
      <c r="Q46" s="191"/>
    </row>
    <row r="47" spans="1:17">
      <c r="A47" s="237" t="s">
        <v>663</v>
      </c>
      <c r="B47" s="589">
        <f t="shared" ca="1" si="5"/>
        <v>0</v>
      </c>
      <c r="C47" s="589">
        <f t="shared" ca="1" si="6"/>
        <v>0</v>
      </c>
      <c r="D47" s="590">
        <f t="shared" ca="1" si="10"/>
        <v>0</v>
      </c>
      <c r="E47" s="591">
        <f>IF($B$33="SI",VLOOKUP('4a-Venta-Des.'!$K30,'8-Condicionantes'!$U$2:$W$11,3,3),0%)</f>
        <v>0</v>
      </c>
      <c r="F47" s="379"/>
      <c r="G47" s="188"/>
      <c r="H47" s="380">
        <f t="shared" si="11"/>
        <v>0</v>
      </c>
      <c r="I47" s="187">
        <f t="shared" ca="1" si="7"/>
        <v>0</v>
      </c>
      <c r="J47" s="315" t="str">
        <f>+$J$46</f>
        <v>SI</v>
      </c>
      <c r="K47" s="315" t="str">
        <f>+$K$46</f>
        <v>NO</v>
      </c>
      <c r="L47" s="188"/>
      <c r="M47" s="186">
        <f t="shared" ca="1" si="8"/>
        <v>0</v>
      </c>
      <c r="N47" s="601">
        <f t="shared" ca="1" si="9"/>
        <v>0</v>
      </c>
      <c r="O47" s="189"/>
      <c r="P47" s="190"/>
      <c r="Q47" s="191"/>
    </row>
    <row r="48" spans="1:17">
      <c r="A48" s="237" t="s">
        <v>662</v>
      </c>
      <c r="B48" s="589">
        <f t="shared" ca="1" si="5"/>
        <v>0</v>
      </c>
      <c r="C48" s="589">
        <f t="shared" ca="1" si="6"/>
        <v>0</v>
      </c>
      <c r="D48" s="590">
        <f t="shared" ca="1" si="10"/>
        <v>0</v>
      </c>
      <c r="E48" s="591">
        <f>IF($B$33="SI",VLOOKUP('4a-Venta-Des.'!$K31,'8-Condicionantes'!$U$2:$W$11,3,3),0%)</f>
        <v>0</v>
      </c>
      <c r="F48" s="379"/>
      <c r="G48" s="188"/>
      <c r="H48" s="380">
        <f t="shared" si="11"/>
        <v>0</v>
      </c>
      <c r="I48" s="187">
        <f t="shared" ca="1" si="7"/>
        <v>0</v>
      </c>
      <c r="J48" s="315" t="str">
        <f>+$J$46</f>
        <v>SI</v>
      </c>
      <c r="K48" s="315" t="str">
        <f>+$K$46</f>
        <v>NO</v>
      </c>
      <c r="L48" s="188"/>
      <c r="M48" s="186">
        <f t="shared" ca="1" si="8"/>
        <v>0</v>
      </c>
      <c r="N48" s="601">
        <f t="shared" ca="1" si="9"/>
        <v>0</v>
      </c>
      <c r="O48" s="189"/>
      <c r="P48" s="190"/>
      <c r="Q48" s="191"/>
    </row>
    <row r="49" spans="1:17">
      <c r="A49" s="237" t="s">
        <v>137</v>
      </c>
      <c r="B49" s="589">
        <f t="shared" ca="1" si="5"/>
        <v>0</v>
      </c>
      <c r="C49" s="589">
        <f t="shared" ca="1" si="6"/>
        <v>0</v>
      </c>
      <c r="D49" s="590">
        <f t="shared" ca="1" si="10"/>
        <v>0</v>
      </c>
      <c r="E49" s="591">
        <f>IF($B$33="SI",VLOOKUP('4a-Venta-Des.'!$K32,'8-Condicionantes'!$U$2:$W$11,3,3),0%)</f>
        <v>0</v>
      </c>
      <c r="F49" s="379"/>
      <c r="G49" s="188"/>
      <c r="H49" s="380">
        <f t="shared" si="11"/>
        <v>0</v>
      </c>
      <c r="I49" s="187">
        <f t="shared" ca="1" si="7"/>
        <v>0</v>
      </c>
      <c r="J49" s="315" t="str">
        <f>+$J$46</f>
        <v>SI</v>
      </c>
      <c r="K49" s="315" t="str">
        <f>+$K$46</f>
        <v>NO</v>
      </c>
      <c r="L49" s="188"/>
      <c r="M49" s="186">
        <f t="shared" ca="1" si="8"/>
        <v>0</v>
      </c>
      <c r="N49" s="601">
        <f t="shared" ca="1" si="9"/>
        <v>0</v>
      </c>
      <c r="O49" s="189"/>
      <c r="P49" s="190"/>
      <c r="Q49" s="191"/>
    </row>
    <row r="50" spans="1:17">
      <c r="A50" s="238" t="s">
        <v>870</v>
      </c>
      <c r="B50" s="589">
        <f t="shared" ca="1" si="5"/>
        <v>0</v>
      </c>
      <c r="C50" s="589">
        <f t="shared" ca="1" si="6"/>
        <v>0</v>
      </c>
      <c r="D50" s="590">
        <f ca="1">SUM(B50:C50)</f>
        <v>0</v>
      </c>
      <c r="E50" s="611">
        <f>IF($B$33="SI",VLOOKUP('4a-Venta-Des.'!$K33,'8-Condicionantes'!$U$2:$W$11,3,3),0%)</f>
        <v>0</v>
      </c>
      <c r="F50" s="612"/>
      <c r="G50" s="613"/>
      <c r="H50" s="596">
        <f t="shared" si="11"/>
        <v>0</v>
      </c>
      <c r="I50" s="614">
        <f t="shared" ca="1" si="7"/>
        <v>0</v>
      </c>
      <c r="J50" s="615" t="str">
        <f>+$J$46</f>
        <v>SI</v>
      </c>
      <c r="K50" s="615" t="str">
        <f>+$K$46</f>
        <v>NO</v>
      </c>
      <c r="L50" s="613"/>
      <c r="M50" s="616">
        <f t="shared" ca="1" si="8"/>
        <v>0</v>
      </c>
      <c r="N50" s="617">
        <f t="shared" ca="1" si="9"/>
        <v>0</v>
      </c>
      <c r="O50" s="189"/>
      <c r="P50" s="190"/>
      <c r="Q50" s="191"/>
    </row>
    <row r="51" spans="1:17">
      <c r="A51" s="603"/>
      <c r="B51" s="595">
        <f ca="1">SUM(B36:B50)</f>
        <v>0</v>
      </c>
      <c r="C51" s="595">
        <f ca="1">SUM(C36:C50)</f>
        <v>0</v>
      </c>
      <c r="D51" s="595">
        <f ca="1">SUM(D36:D50)</f>
        <v>0</v>
      </c>
      <c r="E51" s="596"/>
      <c r="F51" s="597">
        <f>SUM(G36:G50)</f>
        <v>0</v>
      </c>
      <c r="G51" s="596"/>
      <c r="H51" s="193"/>
      <c r="I51" s="598">
        <f ca="1">SUM(I36:I50)</f>
        <v>0</v>
      </c>
      <c r="J51" s="598"/>
      <c r="K51" s="594"/>
      <c r="L51" s="193"/>
      <c r="M51" s="598">
        <f ca="1">SUM(M36:M50)</f>
        <v>0</v>
      </c>
      <c r="N51" s="604">
        <f ca="1">SUM(N36:N50)</f>
        <v>0</v>
      </c>
      <c r="O51" s="605">
        <f ca="1">IF(N51=0,0,+N51/D51)</f>
        <v>0</v>
      </c>
      <c r="P51" s="193"/>
      <c r="Q51" s="194"/>
    </row>
    <row r="52" spans="1:17" ht="6" customHeight="1">
      <c r="B52" s="195"/>
      <c r="C52" s="196"/>
      <c r="D52" s="196"/>
      <c r="E52" s="196"/>
    </row>
    <row r="53" spans="1:17" ht="4.5" customHeight="1">
      <c r="A53" s="178"/>
      <c r="B53" s="179"/>
      <c r="C53" s="179"/>
      <c r="D53" s="179"/>
      <c r="E53" s="179"/>
      <c r="F53" s="180"/>
      <c r="G53" s="180"/>
      <c r="H53" s="180"/>
      <c r="I53" s="180"/>
    </row>
    <row r="54" spans="1:17" ht="4.5" customHeight="1">
      <c r="B54" s="196"/>
      <c r="C54" s="196"/>
      <c r="D54" s="196"/>
      <c r="E54" s="196"/>
    </row>
    <row r="55" spans="1:17" ht="12.75">
      <c r="A55" s="543" t="s">
        <v>103</v>
      </c>
      <c r="B55" s="544"/>
      <c r="C55" s="544"/>
      <c r="D55" s="544"/>
      <c r="E55" s="544"/>
      <c r="F55" s="544"/>
      <c r="G55" s="544"/>
      <c r="H55" s="544"/>
      <c r="I55" s="545"/>
    </row>
    <row r="56" spans="1:17" ht="4.5" customHeight="1">
      <c r="A56" s="166"/>
      <c r="B56" s="166"/>
      <c r="C56" s="166"/>
      <c r="D56" s="166"/>
      <c r="E56" s="166"/>
      <c r="F56" s="166"/>
      <c r="G56" s="166"/>
      <c r="H56" s="166"/>
      <c r="I56" s="166"/>
    </row>
    <row r="57" spans="1:17" ht="22.5">
      <c r="A57" s="197" t="s">
        <v>502</v>
      </c>
      <c r="B57" s="183" t="s">
        <v>628</v>
      </c>
      <c r="C57" s="183" t="s">
        <v>600</v>
      </c>
      <c r="D57" s="183" t="s">
        <v>504</v>
      </c>
      <c r="E57" s="183" t="s">
        <v>623</v>
      </c>
      <c r="F57" s="157"/>
      <c r="J57" s="159"/>
    </row>
    <row r="58" spans="1:17">
      <c r="B58" s="157"/>
      <c r="C58" s="170"/>
      <c r="D58" s="170"/>
      <c r="E58" s="170"/>
      <c r="F58" s="157"/>
      <c r="J58" s="159"/>
    </row>
    <row r="59" spans="1:17">
      <c r="A59" s="157" t="s">
        <v>615</v>
      </c>
      <c r="B59" s="22">
        <f t="shared" ref="B59:B65" ca="1" si="12">+I13</f>
        <v>0</v>
      </c>
      <c r="C59" s="188"/>
      <c r="D59" s="198" t="s">
        <v>506</v>
      </c>
      <c r="E59" s="22">
        <f t="shared" ref="E59:E73" ca="1" si="13">IF(D59="SI",B59*C59,(B59-E13)*C59)</f>
        <v>0</v>
      </c>
      <c r="F59" s="157"/>
      <c r="J59" s="159"/>
    </row>
    <row r="60" spans="1:17">
      <c r="A60" s="157" t="s">
        <v>622</v>
      </c>
      <c r="B60" s="22">
        <f t="shared" ca="1" si="12"/>
        <v>0</v>
      </c>
      <c r="C60" s="188"/>
      <c r="D60" s="198" t="str">
        <f>+$D$59</f>
        <v>NO</v>
      </c>
      <c r="E60" s="22">
        <f t="shared" ca="1" si="13"/>
        <v>0</v>
      </c>
      <c r="F60" s="157"/>
      <c r="J60" s="159"/>
    </row>
    <row r="61" spans="1:17">
      <c r="A61" s="157" t="s">
        <v>849</v>
      </c>
      <c r="B61" s="22">
        <f t="shared" ca="1" si="12"/>
        <v>0</v>
      </c>
      <c r="C61" s="188"/>
      <c r="D61" s="198" t="str">
        <f>+$D$59</f>
        <v>NO</v>
      </c>
      <c r="E61" s="22">
        <f t="shared" ca="1" si="13"/>
        <v>0</v>
      </c>
      <c r="F61" s="157"/>
      <c r="J61" s="159"/>
    </row>
    <row r="62" spans="1:17">
      <c r="A62" s="157" t="s">
        <v>661</v>
      </c>
      <c r="B62" s="22">
        <f t="shared" ca="1" si="12"/>
        <v>0</v>
      </c>
      <c r="C62" s="188"/>
      <c r="D62" s="198" t="str">
        <f>+$D$59</f>
        <v>NO</v>
      </c>
      <c r="E62" s="22">
        <f t="shared" ca="1" si="13"/>
        <v>0</v>
      </c>
      <c r="F62" s="157"/>
      <c r="J62" s="159"/>
    </row>
    <row r="63" spans="1:17">
      <c r="A63" s="157" t="s">
        <v>640</v>
      </c>
      <c r="B63" s="22">
        <f t="shared" ca="1" si="12"/>
        <v>0</v>
      </c>
      <c r="C63" s="188"/>
      <c r="D63" s="198" t="s">
        <v>506</v>
      </c>
      <c r="E63" s="22">
        <f t="shared" ca="1" si="13"/>
        <v>0</v>
      </c>
      <c r="F63" s="157"/>
      <c r="J63" s="159"/>
    </row>
    <row r="64" spans="1:17">
      <c r="A64" s="157" t="s">
        <v>616</v>
      </c>
      <c r="B64" s="22">
        <f t="shared" ca="1" si="12"/>
        <v>0</v>
      </c>
      <c r="C64" s="188"/>
      <c r="D64" s="198" t="s">
        <v>506</v>
      </c>
      <c r="E64" s="22">
        <f t="shared" ca="1" si="13"/>
        <v>0</v>
      </c>
      <c r="F64" s="157"/>
      <c r="J64" s="159"/>
    </row>
    <row r="65" spans="1:10">
      <c r="A65" s="157" t="s">
        <v>497</v>
      </c>
      <c r="B65" s="22">
        <f t="shared" ca="1" si="12"/>
        <v>0</v>
      </c>
      <c r="C65" s="188"/>
      <c r="D65" s="198" t="s">
        <v>506</v>
      </c>
      <c r="E65" s="22">
        <f t="shared" ca="1" si="13"/>
        <v>0</v>
      </c>
      <c r="F65" s="157"/>
      <c r="J65" s="159"/>
    </row>
    <row r="66" spans="1:10">
      <c r="A66" s="309" t="s">
        <v>974</v>
      </c>
      <c r="B66" s="22">
        <f t="shared" ref="B66:B73" ca="1" si="14">+I20</f>
        <v>0</v>
      </c>
      <c r="C66" s="188"/>
      <c r="D66" s="198" t="s">
        <v>506</v>
      </c>
      <c r="E66" s="22">
        <f t="shared" ca="1" si="13"/>
        <v>0</v>
      </c>
      <c r="F66" s="157"/>
      <c r="J66" s="159"/>
    </row>
    <row r="67" spans="1:10">
      <c r="A67" s="157" t="s">
        <v>613</v>
      </c>
      <c r="B67" s="22">
        <f t="shared" ca="1" si="14"/>
        <v>0</v>
      </c>
      <c r="C67" s="188"/>
      <c r="D67" s="198" t="s">
        <v>506</v>
      </c>
      <c r="E67" s="22">
        <f t="shared" ca="1" si="13"/>
        <v>0</v>
      </c>
      <c r="F67" s="157"/>
      <c r="J67" s="159"/>
    </row>
    <row r="68" spans="1:10">
      <c r="A68" s="157" t="s">
        <v>513</v>
      </c>
      <c r="B68" s="22">
        <f t="shared" ca="1" si="14"/>
        <v>0</v>
      </c>
      <c r="C68" s="188"/>
      <c r="D68" s="198" t="s">
        <v>506</v>
      </c>
      <c r="E68" s="22">
        <f t="shared" ca="1" si="13"/>
        <v>0</v>
      </c>
      <c r="F68" s="157"/>
      <c r="J68" s="159"/>
    </row>
    <row r="69" spans="1:10">
      <c r="A69" s="236" t="s">
        <v>664</v>
      </c>
      <c r="B69" s="22">
        <f t="shared" ca="1" si="14"/>
        <v>0</v>
      </c>
      <c r="C69" s="188"/>
      <c r="D69" s="198" t="s">
        <v>506</v>
      </c>
      <c r="E69" s="22">
        <f t="shared" ca="1" si="13"/>
        <v>0</v>
      </c>
      <c r="F69" s="157"/>
      <c r="J69" s="159"/>
    </row>
    <row r="70" spans="1:10">
      <c r="A70" s="237" t="s">
        <v>663</v>
      </c>
      <c r="B70" s="22">
        <f t="shared" ca="1" si="14"/>
        <v>0</v>
      </c>
      <c r="C70" s="188"/>
      <c r="D70" s="198" t="s">
        <v>506</v>
      </c>
      <c r="E70" s="22">
        <f t="shared" ca="1" si="13"/>
        <v>0</v>
      </c>
      <c r="F70" s="157"/>
      <c r="J70" s="159"/>
    </row>
    <row r="71" spans="1:10">
      <c r="A71" s="237" t="s">
        <v>662</v>
      </c>
      <c r="B71" s="22">
        <f t="shared" ca="1" si="14"/>
        <v>0</v>
      </c>
      <c r="C71" s="188"/>
      <c r="D71" s="198" t="s">
        <v>506</v>
      </c>
      <c r="E71" s="22">
        <f t="shared" ca="1" si="13"/>
        <v>0</v>
      </c>
      <c r="F71" s="157"/>
      <c r="J71" s="159"/>
    </row>
    <row r="72" spans="1:10">
      <c r="A72" s="237" t="s">
        <v>137</v>
      </c>
      <c r="B72" s="22">
        <f t="shared" ca="1" si="14"/>
        <v>0</v>
      </c>
      <c r="C72" s="188"/>
      <c r="D72" s="198" t="s">
        <v>506</v>
      </c>
      <c r="E72" s="22">
        <f t="shared" ca="1" si="13"/>
        <v>0</v>
      </c>
      <c r="F72" s="157"/>
      <c r="J72" s="159"/>
    </row>
    <row r="73" spans="1:10">
      <c r="A73" s="238" t="s">
        <v>870</v>
      </c>
      <c r="B73" s="22">
        <f t="shared" ca="1" si="14"/>
        <v>0</v>
      </c>
      <c r="C73" s="188"/>
      <c r="D73" s="198" t="s">
        <v>506</v>
      </c>
      <c r="E73" s="22">
        <f t="shared" ca="1" si="13"/>
        <v>0</v>
      </c>
      <c r="F73" s="157"/>
      <c r="J73" s="159"/>
    </row>
    <row r="74" spans="1:10" ht="12" thickBot="1">
      <c r="B74" s="175">
        <f ca="1">SUM(B59:B73)</f>
        <v>0</v>
      </c>
      <c r="C74" s="192"/>
      <c r="D74" s="192"/>
      <c r="E74" s="176">
        <f ca="1">SUM(E59:E73)</f>
        <v>0</v>
      </c>
      <c r="F74" s="157"/>
      <c r="J74" s="159"/>
    </row>
    <row r="75" spans="1:10" ht="4.5" customHeight="1" thickTop="1">
      <c r="A75" s="276"/>
      <c r="B75" s="159"/>
      <c r="C75" s="159"/>
      <c r="D75" s="159"/>
      <c r="E75" s="159"/>
      <c r="H75" s="157"/>
      <c r="J75" s="159"/>
    </row>
    <row r="76" spans="1:10" ht="6" customHeight="1">
      <c r="A76" s="178"/>
      <c r="B76" s="199"/>
      <c r="C76" s="199"/>
      <c r="D76" s="199"/>
      <c r="E76" s="199"/>
      <c r="F76" s="199"/>
      <c r="G76" s="199"/>
      <c r="H76" s="199"/>
      <c r="I76" s="199"/>
    </row>
  </sheetData>
  <mergeCells count="2">
    <mergeCell ref="A3:J3"/>
    <mergeCell ref="B11:D11"/>
  </mergeCells>
  <phoneticPr fontId="3" type="noConversion"/>
  <conditionalFormatting sqref="F51">
    <cfRule type="cellIs" dxfId="9" priority="1" stopIfTrue="1" operator="equal">
      <formula>0</formula>
    </cfRule>
  </conditionalFormatting>
  <printOptions horizontalCentered="1"/>
  <pageMargins left="0" right="0" top="0.19685039370078741" bottom="0.19685039370078741" header="0" footer="0"/>
  <pageSetup scale="65" fitToHeight="2" orientation="landscape" r:id="rId1"/>
  <headerFooter alignWithMargins="0"/>
  <rowBreaks count="1" manualBreakCount="1">
    <brk id="5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5">
    <pageSetUpPr fitToPage="1"/>
  </sheetPr>
  <dimension ref="A2:Y92"/>
  <sheetViews>
    <sheetView showGridLines="0" zoomScale="70" zoomScaleNormal="70" zoomScaleSheetLayoutView="115" workbookViewId="0">
      <pane xSplit="6" ySplit="11" topLeftCell="G54" activePane="bottomRight" state="frozen"/>
      <selection activeCell="A28" sqref="A28:K28"/>
      <selection pane="topRight" activeCell="A28" sqref="A28:K28"/>
      <selection pane="bottomLeft" activeCell="A28" sqref="A28:K28"/>
      <selection pane="bottomRight" sqref="A1:IV65536"/>
    </sheetView>
  </sheetViews>
  <sheetFormatPr baseColWidth="10" defaultColWidth="9.140625" defaultRowHeight="12.75"/>
  <cols>
    <col min="1" max="1" width="11.85546875" style="218" customWidth="1"/>
    <col min="2" max="2" width="12.7109375" style="218" customWidth="1"/>
    <col min="3" max="3" width="18.140625" style="218" customWidth="1"/>
    <col min="4" max="4" width="35.5703125" style="213" customWidth="1"/>
    <col min="5" max="6" width="15.7109375" style="213" customWidth="1"/>
    <col min="7" max="8" width="9.7109375" style="213" customWidth="1"/>
    <col min="9" max="9" width="6.42578125" style="213" bestFit="1" customWidth="1"/>
    <col min="10" max="11" width="12.7109375" style="213" customWidth="1"/>
    <col min="12" max="12" width="7.7109375" style="213" customWidth="1"/>
    <col min="13" max="13" width="6.28515625" style="213" customWidth="1"/>
    <col min="14" max="15" width="12.7109375" style="213" customWidth="1"/>
    <col min="16" max="16" width="10.42578125" style="213" bestFit="1" customWidth="1"/>
    <col min="17" max="17" width="10.42578125" style="213" customWidth="1"/>
    <col min="18" max="18" width="12.28515625" style="213" bestFit="1" customWidth="1"/>
    <col min="19" max="20" width="12.7109375" style="213" customWidth="1"/>
    <col min="21" max="21" width="7.85546875" style="213" bestFit="1" customWidth="1"/>
    <col min="22" max="22" width="19.140625" style="213" customWidth="1"/>
    <col min="23" max="24" width="10.7109375" style="213" customWidth="1"/>
    <col min="25" max="16384" width="9.140625" style="213"/>
  </cols>
  <sheetData>
    <row r="2" spans="1:25" s="159" customFormat="1" ht="4.5" customHeight="1">
      <c r="A2" s="157"/>
      <c r="B2" s="158"/>
      <c r="C2" s="158"/>
      <c r="D2" s="158"/>
      <c r="J2" s="157"/>
    </row>
    <row r="3" spans="1:25" s="67" customFormat="1" ht="4.5" customHeight="1">
      <c r="A3" s="105"/>
      <c r="C3" s="105"/>
      <c r="D3" s="105"/>
      <c r="E3" s="105"/>
      <c r="F3" s="105"/>
      <c r="G3" s="71"/>
      <c r="H3" s="71"/>
    </row>
    <row r="4" spans="1:25" s="67" customFormat="1">
      <c r="A4" s="782">
        <f>+'2-Cotización'!B7</f>
        <v>0</v>
      </c>
      <c r="B4" s="782"/>
      <c r="C4" s="782"/>
      <c r="D4" s="782"/>
      <c r="E4" s="782"/>
      <c r="F4" s="782"/>
      <c r="G4" s="782"/>
      <c r="H4" s="782"/>
      <c r="I4" s="782"/>
      <c r="J4" s="782"/>
      <c r="K4" s="782"/>
      <c r="L4" s="782"/>
      <c r="M4" s="782"/>
      <c r="N4" s="782"/>
      <c r="O4" s="782"/>
      <c r="P4" s="782"/>
      <c r="Q4" s="782"/>
      <c r="R4" s="782"/>
      <c r="S4" s="782"/>
      <c r="T4" s="782"/>
      <c r="U4" s="782"/>
    </row>
    <row r="5" spans="1:25" s="162" customFormat="1" ht="4.5" customHeight="1">
      <c r="A5" s="160"/>
      <c r="B5" s="160"/>
      <c r="C5" s="160"/>
      <c r="D5" s="160"/>
      <c r="E5" s="160"/>
      <c r="F5" s="160"/>
      <c r="G5" s="161"/>
      <c r="H5" s="161"/>
    </row>
    <row r="6" spans="1:25" s="162" customFormat="1" ht="11.25">
      <c r="A6" s="163" t="s">
        <v>532</v>
      </c>
      <c r="C6" s="160"/>
      <c r="D6" s="164" t="s">
        <v>609</v>
      </c>
      <c r="E6" s="160"/>
      <c r="G6" s="161"/>
      <c r="H6" s="161"/>
    </row>
    <row r="7" spans="1:25" s="162" customFormat="1" ht="11.25">
      <c r="A7" s="160">
        <f>+'2-Cotización'!C10</f>
        <v>0</v>
      </c>
      <c r="C7" s="160"/>
      <c r="D7" s="160">
        <f>+'2-Cotización'!G10</f>
        <v>0</v>
      </c>
      <c r="G7" s="161"/>
      <c r="H7" s="161"/>
    </row>
    <row r="8" spans="1:25" s="162" customFormat="1" ht="11.25">
      <c r="A8" s="797"/>
      <c r="B8" s="797"/>
      <c r="C8" s="797"/>
      <c r="D8" s="797"/>
      <c r="E8" s="793" t="str">
        <f ca="1">+C73</f>
        <v/>
      </c>
      <c r="F8" s="794"/>
      <c r="G8" s="161"/>
      <c r="H8" s="161"/>
    </row>
    <row r="9" spans="1:25" s="162" customFormat="1" ht="11.25">
      <c r="A9" s="797" t="str">
        <f>+C80</f>
        <v/>
      </c>
      <c r="B9" s="797"/>
      <c r="C9" s="797"/>
      <c r="D9" s="797"/>
      <c r="E9" s="795"/>
      <c r="F9" s="796"/>
      <c r="G9" s="161"/>
      <c r="H9" s="161"/>
    </row>
    <row r="10" spans="1:25" s="201" customFormat="1" ht="25.5" customHeight="1">
      <c r="A10" s="200" t="s">
        <v>606</v>
      </c>
      <c r="D10" s="304">
        <f>'2-Cotización'!G22</f>
        <v>0</v>
      </c>
      <c r="E10" s="801" t="s">
        <v>874</v>
      </c>
      <c r="F10" s="802"/>
      <c r="G10" s="202"/>
      <c r="H10" s="202"/>
      <c r="I10" s="798" t="s">
        <v>603</v>
      </c>
      <c r="J10" s="799"/>
      <c r="K10" s="800"/>
      <c r="L10" s="798" t="s">
        <v>650</v>
      </c>
      <c r="M10" s="799"/>
      <c r="N10" s="799"/>
      <c r="O10" s="800"/>
      <c r="P10" s="798" t="s">
        <v>607</v>
      </c>
      <c r="Q10" s="799"/>
      <c r="R10" s="799"/>
      <c r="S10" s="799"/>
      <c r="T10" s="800"/>
      <c r="V10" s="787" t="s">
        <v>97</v>
      </c>
      <c r="W10" s="788"/>
      <c r="X10" s="789"/>
      <c r="Y10" s="162"/>
    </row>
    <row r="11" spans="1:25" s="204" customFormat="1" ht="56.25">
      <c r="A11" s="203" t="s">
        <v>502</v>
      </c>
      <c r="B11" s="203" t="s">
        <v>99</v>
      </c>
      <c r="C11" s="203" t="s">
        <v>98</v>
      </c>
      <c r="D11" s="444" t="s">
        <v>975</v>
      </c>
      <c r="E11" s="290" t="s">
        <v>856</v>
      </c>
      <c r="F11" s="290" t="s">
        <v>494</v>
      </c>
      <c r="G11" s="291" t="s">
        <v>972</v>
      </c>
      <c r="H11" s="203" t="s">
        <v>857</v>
      </c>
      <c r="I11" s="203" t="s">
        <v>593</v>
      </c>
      <c r="J11" s="203" t="s">
        <v>626</v>
      </c>
      <c r="K11" s="203" t="s">
        <v>500</v>
      </c>
      <c r="L11" s="203" t="s">
        <v>605</v>
      </c>
      <c r="M11" s="203" t="s">
        <v>593</v>
      </c>
      <c r="N11" s="203" t="s">
        <v>604</v>
      </c>
      <c r="O11" s="203" t="s">
        <v>648</v>
      </c>
      <c r="P11" s="203" t="s">
        <v>973</v>
      </c>
      <c r="Q11" s="184" t="s">
        <v>718</v>
      </c>
      <c r="R11" s="203" t="s">
        <v>593</v>
      </c>
      <c r="S11" s="203" t="s">
        <v>604</v>
      </c>
      <c r="T11" s="203" t="s">
        <v>649</v>
      </c>
      <c r="U11" s="203" t="s">
        <v>101</v>
      </c>
      <c r="V11" s="470" t="s">
        <v>100</v>
      </c>
      <c r="W11" s="470" t="s">
        <v>53</v>
      </c>
      <c r="X11" s="470" t="s">
        <v>96</v>
      </c>
    </row>
    <row r="12" spans="1:25">
      <c r="A12" s="205"/>
      <c r="B12" s="206"/>
      <c r="C12" s="443" t="str">
        <f>+'3-Item List'!$AK$9</f>
        <v>RC-01</v>
      </c>
      <c r="D12" s="207"/>
      <c r="E12" s="472"/>
      <c r="F12" s="473"/>
      <c r="G12" s="24">
        <f>IF(E12&gt;0,((F12-E12)/F12),0)</f>
        <v>0</v>
      </c>
      <c r="H12" s="24">
        <f>IF(E12&gt;0,(F12/E12),0)</f>
        <v>0</v>
      </c>
      <c r="I12" s="24">
        <f>IF(E12&gt;0,VLOOKUP(A12,'4a-Venta-Des.'!$A$19:$H$33,8,0),0)</f>
        <v>0</v>
      </c>
      <c r="J12" s="208">
        <f t="shared" ref="J12:J43" si="0">+I12*F12</f>
        <v>0</v>
      </c>
      <c r="K12" s="209">
        <f t="shared" ref="K12:K43" si="1">F12-J12-E12</f>
        <v>0</v>
      </c>
      <c r="L12" s="210">
        <f>IF(E12&gt;0,(VLOOKUP(A12,'4b-Venta-Comisión'!$A$59:$E$73,4,0)),0)</f>
        <v>0</v>
      </c>
      <c r="M12" s="24">
        <f>IF(L12="SI",VLOOKUP(A12,'4b-Venta-Comisión'!$A$59:$E$73,3,0),0)</f>
        <v>0</v>
      </c>
      <c r="N12" s="208">
        <f t="shared" ref="N12:N43" si="2">+M12*F12</f>
        <v>0</v>
      </c>
      <c r="O12" s="209">
        <f>+K12-N12</f>
        <v>0</v>
      </c>
      <c r="P12" s="210" t="str">
        <f>IF(E12&gt;0,(VLOOKUP(A12,'4b-Venta-Comisión'!$A$36:$L$50,10,0)),"NO")</f>
        <v>NO</v>
      </c>
      <c r="Q12" s="210" t="str">
        <f>IF(E12&gt;0,(VLOOKUP(A12,'4b-Venta-Comisión'!$A$36:$L$50,11,0)),"NO")</f>
        <v>NO</v>
      </c>
      <c r="R12" s="24">
        <f>IF(P12="NO",0,IF(Q12="si",VLOOKUP(A12,'4b-Venta-Comisión'!$A$36:$L$50,12,0),IF(P12="SI",VLOOKUP(A12,'4b-Venta-Comisión'!$A$36:$L$50,8,0))))</f>
        <v>0</v>
      </c>
      <c r="S12" s="208">
        <f t="shared" ref="S12:S43" si="3">+R12*(F12-J12)</f>
        <v>0</v>
      </c>
      <c r="T12" s="209">
        <f>+O12-S12</f>
        <v>0</v>
      </c>
      <c r="U12" s="211">
        <f t="shared" ref="U12:U43" si="4">IF(T12=0,0,(T12/F12))</f>
        <v>0</v>
      </c>
      <c r="V12" s="159" t="str">
        <f>IF(U12&lt;&gt;0,VLOOKUP(U12,$B$86:$E$89,3,3),"OK")</f>
        <v>OK</v>
      </c>
      <c r="W12" s="471">
        <v>40004</v>
      </c>
      <c r="X12" s="159" t="s">
        <v>52</v>
      </c>
    </row>
    <row r="13" spans="1:25">
      <c r="A13" s="205"/>
      <c r="B13" s="206"/>
      <c r="C13" s="443" t="str">
        <f>+'3-Item List'!$AL$9</f>
        <v>RC-02</v>
      </c>
      <c r="D13" s="207"/>
      <c r="E13" s="472"/>
      <c r="F13" s="473"/>
      <c r="G13" s="24">
        <f>IF(E13&gt;0,((F13-E13)/F13),0)</f>
        <v>0</v>
      </c>
      <c r="H13" s="24">
        <f>IF(E13&gt;0,(F13/E13),0)</f>
        <v>0</v>
      </c>
      <c r="I13" s="24">
        <f>IF(E13&gt;0,VLOOKUP(A13,'4a-Venta-Des.'!$A$19:$H$33,8,0),0)</f>
        <v>0</v>
      </c>
      <c r="J13" s="208">
        <f t="shared" si="0"/>
        <v>0</v>
      </c>
      <c r="K13" s="209">
        <f t="shared" si="1"/>
        <v>0</v>
      </c>
      <c r="L13" s="210">
        <f>IF(E13&gt;0,(VLOOKUP(A13,'4b-Venta-Comisión'!$A$59:$E$73,4,0)),0)</f>
        <v>0</v>
      </c>
      <c r="M13" s="24">
        <f>IF(L13="SI",VLOOKUP(A13,'4b-Venta-Comisión'!$A$59:$E$73,3,0),0)</f>
        <v>0</v>
      </c>
      <c r="N13" s="208">
        <f t="shared" si="2"/>
        <v>0</v>
      </c>
      <c r="O13" s="209">
        <f>+K13-N13</f>
        <v>0</v>
      </c>
      <c r="P13" s="210" t="str">
        <f>IF(E13&gt;0,(VLOOKUP(A13,'4b-Venta-Comisión'!$A$36:$L$50,10,0)),"NO")</f>
        <v>NO</v>
      </c>
      <c r="Q13" s="210" t="str">
        <f>IF(E13&gt;0,(VLOOKUP(A13,'4b-Venta-Comisión'!$A$36:$L$50,11,0)),"NO")</f>
        <v>NO</v>
      </c>
      <c r="R13" s="24">
        <f>IF(P13="NO",0,IF(Q13="si",VLOOKUP(A13,'4b-Venta-Comisión'!$A$36:$L$50,12,0),IF(P13="SI",VLOOKUP(A13,'4b-Venta-Comisión'!$A$36:$L$50,8,0))))</f>
        <v>0</v>
      </c>
      <c r="S13" s="208">
        <f t="shared" si="3"/>
        <v>0</v>
      </c>
      <c r="T13" s="209">
        <f t="shared" ref="T13:T69" si="5">+O13-S13</f>
        <v>0</v>
      </c>
      <c r="U13" s="211">
        <f t="shared" si="4"/>
        <v>0</v>
      </c>
      <c r="V13" s="159" t="str">
        <f t="shared" ref="V13:V69" si="6">IF(U13&lt;&gt;0,VLOOKUP(U13,$B$86:$E$89,3,3),"OK")</f>
        <v>OK</v>
      </c>
      <c r="W13" s="471">
        <v>40005</v>
      </c>
      <c r="X13" s="159" t="s">
        <v>52</v>
      </c>
    </row>
    <row r="14" spans="1:25">
      <c r="A14" s="205"/>
      <c r="B14" s="206"/>
      <c r="C14" s="443" t="str">
        <f>+'3-Item List'!$AM$9</f>
        <v>RC-03</v>
      </c>
      <c r="D14" s="207"/>
      <c r="E14" s="472"/>
      <c r="F14" s="473"/>
      <c r="G14" s="24">
        <f>IF(E14&gt;0,((F14-E14)/F14),0)</f>
        <v>0</v>
      </c>
      <c r="H14" s="24">
        <f t="shared" ref="H14:H69" si="7">IF(E14&gt;0,(F14/E14),0)</f>
        <v>0</v>
      </c>
      <c r="I14" s="24">
        <f>IF(E14&gt;0,VLOOKUP(A14,'4a-Venta-Des.'!$A$19:$H$33,8,0),0)</f>
        <v>0</v>
      </c>
      <c r="J14" s="208">
        <f t="shared" si="0"/>
        <v>0</v>
      </c>
      <c r="K14" s="209">
        <f t="shared" si="1"/>
        <v>0</v>
      </c>
      <c r="L14" s="210">
        <f>IF(E14&gt;0,(VLOOKUP(A14,'4b-Venta-Comisión'!$A$59:$E$73,4,0)),0)</f>
        <v>0</v>
      </c>
      <c r="M14" s="24">
        <f>IF(L14="SI",VLOOKUP(A14,'4b-Venta-Comisión'!$A$59:$E$73,3,0),0)</f>
        <v>0</v>
      </c>
      <c r="N14" s="208">
        <f t="shared" si="2"/>
        <v>0</v>
      </c>
      <c r="O14" s="209">
        <f>+K14-N14</f>
        <v>0</v>
      </c>
      <c r="P14" s="210" t="str">
        <f>IF(E14&gt;0,(VLOOKUP(A14,'4b-Venta-Comisión'!$A$36:$L$50,10,0)),"NO")</f>
        <v>NO</v>
      </c>
      <c r="Q14" s="210" t="str">
        <f>IF(E14&gt;0,(VLOOKUP(A14,'4b-Venta-Comisión'!$A$36:$L$50,11,0)),"NO")</f>
        <v>NO</v>
      </c>
      <c r="R14" s="24">
        <f>IF(P14="NO",0,IF(Q14="si",VLOOKUP(A14,'4b-Venta-Comisión'!$A$36:$L$50,12,0),IF(P14="SI",VLOOKUP(A14,'4b-Venta-Comisión'!$A$36:$L$50,8,0))))</f>
        <v>0</v>
      </c>
      <c r="S14" s="208">
        <f t="shared" si="3"/>
        <v>0</v>
      </c>
      <c r="T14" s="209">
        <f t="shared" si="5"/>
        <v>0</v>
      </c>
      <c r="U14" s="211">
        <f t="shared" si="4"/>
        <v>0</v>
      </c>
      <c r="V14" s="159" t="str">
        <f t="shared" si="6"/>
        <v>OK</v>
      </c>
      <c r="W14" s="471">
        <v>40006</v>
      </c>
      <c r="X14" s="159" t="s">
        <v>52</v>
      </c>
    </row>
    <row r="15" spans="1:25">
      <c r="A15" s="205"/>
      <c r="B15" s="206"/>
      <c r="C15" s="443" t="str">
        <f>+'3-Item List'!$AN$9</f>
        <v>RC-04</v>
      </c>
      <c r="D15" s="207"/>
      <c r="E15" s="472"/>
      <c r="F15" s="473"/>
      <c r="G15" s="24">
        <f t="shared" ref="G15:G69" si="8">IF(E15&gt;0,((F15-E15)/F15),0)</f>
        <v>0</v>
      </c>
      <c r="H15" s="24">
        <f t="shared" si="7"/>
        <v>0</v>
      </c>
      <c r="I15" s="24">
        <f>IF(E15&gt;0,VLOOKUP(A15,'4a-Venta-Des.'!$A$19:$H$33,8,0),0)</f>
        <v>0</v>
      </c>
      <c r="J15" s="208">
        <f t="shared" si="0"/>
        <v>0</v>
      </c>
      <c r="K15" s="209">
        <f t="shared" si="1"/>
        <v>0</v>
      </c>
      <c r="L15" s="210">
        <f>IF(E15&gt;0,(VLOOKUP(A15,'4b-Venta-Comisión'!$A$59:$E$73,4,0)),0)</f>
        <v>0</v>
      </c>
      <c r="M15" s="24">
        <f>IF(L15="SI",VLOOKUP(A15,'4b-Venta-Comisión'!$A$59:$E$73,3,0),0)</f>
        <v>0</v>
      </c>
      <c r="N15" s="208">
        <f t="shared" si="2"/>
        <v>0</v>
      </c>
      <c r="O15" s="209">
        <f t="shared" ref="O15:O28" si="9">+K15-N15</f>
        <v>0</v>
      </c>
      <c r="P15" s="210" t="str">
        <f>IF(E15&gt;0,(VLOOKUP(A15,'4b-Venta-Comisión'!$A$36:$L$50,10,0)),"NO")</f>
        <v>NO</v>
      </c>
      <c r="Q15" s="210" t="str">
        <f>IF(E15&gt;0,(VLOOKUP(A15,'4b-Venta-Comisión'!$A$36:$L$50,11,0)),"NO")</f>
        <v>NO</v>
      </c>
      <c r="R15" s="24">
        <f>IF(P15="NO",0,IF(Q15="si",VLOOKUP(A15,'4b-Venta-Comisión'!$A$36:$L$50,12,0),IF(P15="SI",VLOOKUP(A15,'4b-Venta-Comisión'!$A$36:$L$50,8,0))))</f>
        <v>0</v>
      </c>
      <c r="S15" s="208">
        <f t="shared" si="3"/>
        <v>0</v>
      </c>
      <c r="T15" s="209">
        <f t="shared" si="5"/>
        <v>0</v>
      </c>
      <c r="U15" s="211">
        <f t="shared" si="4"/>
        <v>0</v>
      </c>
      <c r="V15" s="159" t="str">
        <f t="shared" si="6"/>
        <v>OK</v>
      </c>
      <c r="W15" s="471">
        <v>40007</v>
      </c>
      <c r="X15" s="159" t="s">
        <v>52</v>
      </c>
    </row>
    <row r="16" spans="1:25">
      <c r="A16" s="205"/>
      <c r="B16" s="206"/>
      <c r="C16" s="443" t="str">
        <f>+'3-Item List'!$AO$9</f>
        <v>RC-05</v>
      </c>
      <c r="D16" s="207"/>
      <c r="E16" s="472"/>
      <c r="F16" s="473"/>
      <c r="G16" s="24">
        <f t="shared" si="8"/>
        <v>0</v>
      </c>
      <c r="H16" s="24">
        <f t="shared" si="7"/>
        <v>0</v>
      </c>
      <c r="I16" s="24">
        <f>IF(E16&gt;0,VLOOKUP(A16,'4a-Venta-Des.'!$A$19:$H$33,8,0),0)</f>
        <v>0</v>
      </c>
      <c r="J16" s="208">
        <f t="shared" si="0"/>
        <v>0</v>
      </c>
      <c r="K16" s="209">
        <f t="shared" si="1"/>
        <v>0</v>
      </c>
      <c r="L16" s="210">
        <f>IF(E16&gt;0,(VLOOKUP(A16,'4b-Venta-Comisión'!$A$59:$E$73,4,0)),0)</f>
        <v>0</v>
      </c>
      <c r="M16" s="24">
        <f>IF(L16="SI",VLOOKUP(A16,'4b-Venta-Comisión'!$A$59:$E$73,3,0),0)</f>
        <v>0</v>
      </c>
      <c r="N16" s="208">
        <f t="shared" si="2"/>
        <v>0</v>
      </c>
      <c r="O16" s="209">
        <f t="shared" si="9"/>
        <v>0</v>
      </c>
      <c r="P16" s="210" t="str">
        <f>IF(E16&gt;0,(VLOOKUP(A16,'4b-Venta-Comisión'!$A$36:$L$50,10,0)),"NO")</f>
        <v>NO</v>
      </c>
      <c r="Q16" s="210" t="str">
        <f>IF(E16&gt;0,(VLOOKUP(A16,'4b-Venta-Comisión'!$A$36:$L$50,11,0)),"NO")</f>
        <v>NO</v>
      </c>
      <c r="R16" s="24">
        <f>IF(P16="NO",0,IF(Q16="si",VLOOKUP(A16,'4b-Venta-Comisión'!$A$36:$L$50,12,0),IF(P16="SI",VLOOKUP(A16,'4b-Venta-Comisión'!$A$36:$L$50,8,0))))</f>
        <v>0</v>
      </c>
      <c r="S16" s="208">
        <f t="shared" si="3"/>
        <v>0</v>
      </c>
      <c r="T16" s="209">
        <f t="shared" si="5"/>
        <v>0</v>
      </c>
      <c r="U16" s="211">
        <f t="shared" si="4"/>
        <v>0</v>
      </c>
      <c r="V16" s="159" t="str">
        <f t="shared" si="6"/>
        <v>OK</v>
      </c>
      <c r="W16" s="471">
        <v>40008</v>
      </c>
      <c r="X16" s="159" t="s">
        <v>52</v>
      </c>
    </row>
    <row r="17" spans="1:24">
      <c r="A17" s="205"/>
      <c r="B17" s="206"/>
      <c r="C17" s="443" t="str">
        <f>+'3-Item List'!$AP$9</f>
        <v>RC-06</v>
      </c>
      <c r="D17" s="207"/>
      <c r="E17" s="472"/>
      <c r="F17" s="473"/>
      <c r="G17" s="24">
        <f t="shared" si="8"/>
        <v>0</v>
      </c>
      <c r="H17" s="24">
        <f t="shared" si="7"/>
        <v>0</v>
      </c>
      <c r="I17" s="24">
        <f>IF(E17&gt;0,VLOOKUP(A17,'4a-Venta-Des.'!$A$19:$H$33,8,0),0)</f>
        <v>0</v>
      </c>
      <c r="J17" s="208">
        <f t="shared" si="0"/>
        <v>0</v>
      </c>
      <c r="K17" s="209">
        <f t="shared" si="1"/>
        <v>0</v>
      </c>
      <c r="L17" s="210">
        <f>IF(E17&gt;0,(VLOOKUP(A17,'4b-Venta-Comisión'!$A$59:$E$73,4,0)),0)</f>
        <v>0</v>
      </c>
      <c r="M17" s="24">
        <f>IF(L17="SI",VLOOKUP(A17,'4b-Venta-Comisión'!$A$59:$E$73,3,0),0)</f>
        <v>0</v>
      </c>
      <c r="N17" s="208">
        <f t="shared" si="2"/>
        <v>0</v>
      </c>
      <c r="O17" s="209">
        <f t="shared" si="9"/>
        <v>0</v>
      </c>
      <c r="P17" s="210" t="str">
        <f>IF(E17&gt;0,(VLOOKUP(A17,'4b-Venta-Comisión'!$A$36:$L$50,10,0)),"NO")</f>
        <v>NO</v>
      </c>
      <c r="Q17" s="210" t="str">
        <f>IF(E17&gt;0,(VLOOKUP(A17,'4b-Venta-Comisión'!$A$36:$L$50,11,0)),"NO")</f>
        <v>NO</v>
      </c>
      <c r="R17" s="24">
        <f>IF(P17="NO",0,IF(Q17="si",VLOOKUP(A17,'4b-Venta-Comisión'!$A$36:$L$50,12,0),IF(P17="SI",VLOOKUP(A17,'4b-Venta-Comisión'!$A$36:$L$50,8,0))))</f>
        <v>0</v>
      </c>
      <c r="S17" s="208">
        <f t="shared" si="3"/>
        <v>0</v>
      </c>
      <c r="T17" s="209">
        <f t="shared" si="5"/>
        <v>0</v>
      </c>
      <c r="U17" s="211">
        <f t="shared" si="4"/>
        <v>0</v>
      </c>
      <c r="V17" s="159" t="str">
        <f t="shared" si="6"/>
        <v>OK</v>
      </c>
      <c r="W17" s="471">
        <v>40009</v>
      </c>
      <c r="X17" s="159" t="s">
        <v>52</v>
      </c>
    </row>
    <row r="18" spans="1:24">
      <c r="A18" s="205"/>
      <c r="B18" s="206"/>
      <c r="C18" s="443" t="str">
        <f>+'3-Item List'!$AQ$9</f>
        <v>RC-07</v>
      </c>
      <c r="D18" s="207"/>
      <c r="E18" s="472"/>
      <c r="F18" s="473"/>
      <c r="G18" s="24">
        <f t="shared" si="8"/>
        <v>0</v>
      </c>
      <c r="H18" s="24">
        <f t="shared" si="7"/>
        <v>0</v>
      </c>
      <c r="I18" s="24">
        <f>IF(E18&gt;0,VLOOKUP(A18,'4a-Venta-Des.'!$A$19:$H$33,8,0),0)</f>
        <v>0</v>
      </c>
      <c r="J18" s="208">
        <f t="shared" si="0"/>
        <v>0</v>
      </c>
      <c r="K18" s="209">
        <f t="shared" si="1"/>
        <v>0</v>
      </c>
      <c r="L18" s="210">
        <f>IF(E18&gt;0,(VLOOKUP(A18,'4b-Venta-Comisión'!$A$59:$E$73,4,0)),0)</f>
        <v>0</v>
      </c>
      <c r="M18" s="24">
        <f>IF(L18="SI",VLOOKUP(A18,'4b-Venta-Comisión'!$A$59:$E$73,3,0),0)</f>
        <v>0</v>
      </c>
      <c r="N18" s="208">
        <f t="shared" si="2"/>
        <v>0</v>
      </c>
      <c r="O18" s="209">
        <f t="shared" si="9"/>
        <v>0</v>
      </c>
      <c r="P18" s="210" t="str">
        <f>IF(E18&gt;0,(VLOOKUP(A18,'4b-Venta-Comisión'!$A$36:$L$50,10,0)),"NO")</f>
        <v>NO</v>
      </c>
      <c r="Q18" s="210" t="str">
        <f>IF(E18&gt;0,(VLOOKUP(A18,'4b-Venta-Comisión'!$A$36:$L$50,11,0)),"NO")</f>
        <v>NO</v>
      </c>
      <c r="R18" s="24">
        <f>IF(P18="NO",0,IF(Q18="si",VLOOKUP(A18,'4b-Venta-Comisión'!$A$36:$L$50,12,0),IF(P18="SI",VLOOKUP(A18,'4b-Venta-Comisión'!$A$36:$L$50,8,0))))</f>
        <v>0</v>
      </c>
      <c r="S18" s="208">
        <f t="shared" si="3"/>
        <v>0</v>
      </c>
      <c r="T18" s="209">
        <f t="shared" si="5"/>
        <v>0</v>
      </c>
      <c r="U18" s="211">
        <f t="shared" si="4"/>
        <v>0</v>
      </c>
      <c r="V18" s="159" t="str">
        <f t="shared" si="6"/>
        <v>OK</v>
      </c>
      <c r="W18" s="471">
        <v>40010</v>
      </c>
      <c r="X18" s="159" t="s">
        <v>52</v>
      </c>
    </row>
    <row r="19" spans="1:24">
      <c r="A19" s="205"/>
      <c r="B19" s="206"/>
      <c r="C19" s="443" t="str">
        <f>+'3-Item List'!$AR$9</f>
        <v>RC-08</v>
      </c>
      <c r="D19" s="207"/>
      <c r="E19" s="472"/>
      <c r="F19" s="473"/>
      <c r="G19" s="24">
        <f t="shared" si="8"/>
        <v>0</v>
      </c>
      <c r="H19" s="24">
        <f t="shared" si="7"/>
        <v>0</v>
      </c>
      <c r="I19" s="24">
        <f>IF(E19&gt;0,VLOOKUP(A19,'4a-Venta-Des.'!$A$19:$H$33,8,0),0)</f>
        <v>0</v>
      </c>
      <c r="J19" s="208">
        <f t="shared" si="0"/>
        <v>0</v>
      </c>
      <c r="K19" s="209">
        <f t="shared" si="1"/>
        <v>0</v>
      </c>
      <c r="L19" s="210">
        <f>IF(E19&gt;0,(VLOOKUP(A19,'4b-Venta-Comisión'!$A$59:$E$73,4,0)),0)</f>
        <v>0</v>
      </c>
      <c r="M19" s="24">
        <f>IF(L19="SI",VLOOKUP(A19,'4b-Venta-Comisión'!$A$59:$E$73,3,0),0)</f>
        <v>0</v>
      </c>
      <c r="N19" s="208">
        <f t="shared" si="2"/>
        <v>0</v>
      </c>
      <c r="O19" s="209">
        <f t="shared" si="9"/>
        <v>0</v>
      </c>
      <c r="P19" s="210" t="str">
        <f>IF(E19&gt;0,(VLOOKUP(A19,'4b-Venta-Comisión'!$A$36:$L$50,10,0)),"NO")</f>
        <v>NO</v>
      </c>
      <c r="Q19" s="210" t="str">
        <f>IF(E19&gt;0,(VLOOKUP(A19,'4b-Venta-Comisión'!$A$36:$L$50,11,0)),"NO")</f>
        <v>NO</v>
      </c>
      <c r="R19" s="24">
        <f>IF(P19="NO",0,IF(Q19="si",VLOOKUP(A19,'4b-Venta-Comisión'!$A$36:$L$50,12,0),IF(P19="SI",VLOOKUP(A19,'4b-Venta-Comisión'!$A$36:$L$50,8,0))))</f>
        <v>0</v>
      </c>
      <c r="S19" s="208">
        <f t="shared" si="3"/>
        <v>0</v>
      </c>
      <c r="T19" s="209">
        <f t="shared" si="5"/>
        <v>0</v>
      </c>
      <c r="U19" s="211">
        <f t="shared" si="4"/>
        <v>0</v>
      </c>
      <c r="V19" s="159" t="str">
        <f t="shared" si="6"/>
        <v>OK</v>
      </c>
      <c r="W19" s="471">
        <v>40011</v>
      </c>
      <c r="X19" s="159" t="s">
        <v>52</v>
      </c>
    </row>
    <row r="20" spans="1:24">
      <c r="A20" s="205"/>
      <c r="B20" s="206"/>
      <c r="C20" s="443" t="str">
        <f>+'3-Item List'!$AS$9</f>
        <v>RC-09</v>
      </c>
      <c r="D20" s="207"/>
      <c r="E20" s="472"/>
      <c r="F20" s="473"/>
      <c r="G20" s="24">
        <f t="shared" si="8"/>
        <v>0</v>
      </c>
      <c r="H20" s="24">
        <f t="shared" si="7"/>
        <v>0</v>
      </c>
      <c r="I20" s="24">
        <f>IF(E20&gt;0,VLOOKUP(A20,'4a-Venta-Des.'!$A$19:$H$33,8,0),0)</f>
        <v>0</v>
      </c>
      <c r="J20" s="208">
        <f t="shared" si="0"/>
        <v>0</v>
      </c>
      <c r="K20" s="209">
        <f t="shared" si="1"/>
        <v>0</v>
      </c>
      <c r="L20" s="210">
        <f>IF(E20&gt;0,(VLOOKUP(A20,'4b-Venta-Comisión'!$A$59:$E$73,4,0)),0)</f>
        <v>0</v>
      </c>
      <c r="M20" s="24">
        <f>IF(L20="SI",VLOOKUP(A20,'4b-Venta-Comisión'!$A$59:$E$73,3,0),0)</f>
        <v>0</v>
      </c>
      <c r="N20" s="208">
        <f t="shared" si="2"/>
        <v>0</v>
      </c>
      <c r="O20" s="209">
        <f t="shared" si="9"/>
        <v>0</v>
      </c>
      <c r="P20" s="210" t="str">
        <f>IF(E20&gt;0,(VLOOKUP(A20,'4b-Venta-Comisión'!$A$36:$L$50,10,0)),"NO")</f>
        <v>NO</v>
      </c>
      <c r="Q20" s="210" t="str">
        <f>IF(E20&gt;0,(VLOOKUP(A20,'4b-Venta-Comisión'!$A$36:$L$50,11,0)),"NO")</f>
        <v>NO</v>
      </c>
      <c r="R20" s="24">
        <f>IF(P20="NO",0,IF(Q20="si",VLOOKUP(A20,'4b-Venta-Comisión'!$A$36:$L$50,12,0),IF(P20="SI",VLOOKUP(A20,'4b-Venta-Comisión'!$A$36:$L$50,8,0))))</f>
        <v>0</v>
      </c>
      <c r="S20" s="208">
        <f t="shared" si="3"/>
        <v>0</v>
      </c>
      <c r="T20" s="209">
        <f t="shared" si="5"/>
        <v>0</v>
      </c>
      <c r="U20" s="211">
        <f t="shared" si="4"/>
        <v>0</v>
      </c>
      <c r="V20" s="159" t="str">
        <f t="shared" si="6"/>
        <v>OK</v>
      </c>
      <c r="W20" s="471">
        <v>40012</v>
      </c>
      <c r="X20" s="159" t="s">
        <v>52</v>
      </c>
    </row>
    <row r="21" spans="1:24">
      <c r="A21" s="205"/>
      <c r="B21" s="206"/>
      <c r="C21" s="443" t="str">
        <f>+'3-Item List'!$AT$9</f>
        <v>RC-10</v>
      </c>
      <c r="D21" s="207"/>
      <c r="E21" s="472"/>
      <c r="F21" s="473"/>
      <c r="G21" s="24">
        <f t="shared" si="8"/>
        <v>0</v>
      </c>
      <c r="H21" s="24">
        <f t="shared" si="7"/>
        <v>0</v>
      </c>
      <c r="I21" s="24">
        <f>IF(E21&gt;0,VLOOKUP(A21,'4a-Venta-Des.'!$A$19:$H$33,8,0),0)</f>
        <v>0</v>
      </c>
      <c r="J21" s="208">
        <f t="shared" si="0"/>
        <v>0</v>
      </c>
      <c r="K21" s="209">
        <f t="shared" si="1"/>
        <v>0</v>
      </c>
      <c r="L21" s="210">
        <f>IF(E21&gt;0,(VLOOKUP(A21,'4b-Venta-Comisión'!$A$59:$E$73,4,0)),0)</f>
        <v>0</v>
      </c>
      <c r="M21" s="24">
        <f>IF(L21="SI",VLOOKUP(A21,'4b-Venta-Comisión'!$A$59:$E$73,3,0),0)</f>
        <v>0</v>
      </c>
      <c r="N21" s="208">
        <f t="shared" si="2"/>
        <v>0</v>
      </c>
      <c r="O21" s="209">
        <f t="shared" si="9"/>
        <v>0</v>
      </c>
      <c r="P21" s="210" t="str">
        <f>IF(E21&gt;0,(VLOOKUP(A21,'4b-Venta-Comisión'!$A$36:$L$50,10,0)),"NO")</f>
        <v>NO</v>
      </c>
      <c r="Q21" s="210" t="str">
        <f>IF(E21&gt;0,(VLOOKUP(A21,'4b-Venta-Comisión'!$A$36:$L$50,11,0)),"NO")</f>
        <v>NO</v>
      </c>
      <c r="R21" s="24">
        <f>IF(P21="NO",0,IF(Q21="si",VLOOKUP(A21,'4b-Venta-Comisión'!$A$36:$L$50,12,0),IF(P21="SI",VLOOKUP(A21,'4b-Venta-Comisión'!$A$36:$L$50,8,0))))</f>
        <v>0</v>
      </c>
      <c r="S21" s="208">
        <f t="shared" si="3"/>
        <v>0</v>
      </c>
      <c r="T21" s="209">
        <f t="shared" si="5"/>
        <v>0</v>
      </c>
      <c r="U21" s="211">
        <f t="shared" si="4"/>
        <v>0</v>
      </c>
      <c r="V21" s="159" t="str">
        <f t="shared" si="6"/>
        <v>OK</v>
      </c>
      <c r="W21" s="471">
        <v>40013</v>
      </c>
      <c r="X21" s="159" t="s">
        <v>52</v>
      </c>
    </row>
    <row r="22" spans="1:24">
      <c r="A22" s="205"/>
      <c r="B22" s="206"/>
      <c r="C22" s="205"/>
      <c r="D22" s="207"/>
      <c r="E22" s="472"/>
      <c r="F22" s="473"/>
      <c r="G22" s="24">
        <f t="shared" si="8"/>
        <v>0</v>
      </c>
      <c r="H22" s="24">
        <f t="shared" si="7"/>
        <v>0</v>
      </c>
      <c r="I22" s="24">
        <f>IF(E22&gt;0,VLOOKUP(A22,'4a-Venta-Des.'!$A$19:$H$33,8,0),0)</f>
        <v>0</v>
      </c>
      <c r="J22" s="208">
        <f t="shared" si="0"/>
        <v>0</v>
      </c>
      <c r="K22" s="209">
        <f t="shared" si="1"/>
        <v>0</v>
      </c>
      <c r="L22" s="210">
        <f>IF(E22&gt;0,(VLOOKUP(A22,'4b-Venta-Comisión'!$A$59:$E$73,4,0)),0)</f>
        <v>0</v>
      </c>
      <c r="M22" s="24">
        <f>IF(L22="SI",VLOOKUP(A22,'4b-Venta-Comisión'!$A$59:$E$73,3,0),0)</f>
        <v>0</v>
      </c>
      <c r="N22" s="208">
        <f t="shared" si="2"/>
        <v>0</v>
      </c>
      <c r="O22" s="209">
        <f t="shared" si="9"/>
        <v>0</v>
      </c>
      <c r="P22" s="210" t="str">
        <f>IF(E22&gt;0,(VLOOKUP(A22,'4b-Venta-Comisión'!$A$36:$L$50,10,0)),"NO")</f>
        <v>NO</v>
      </c>
      <c r="Q22" s="210" t="str">
        <f>IF(E22&gt;0,(VLOOKUP(A22,'4b-Venta-Comisión'!$A$36:$L$50,11,0)),"NO")</f>
        <v>NO</v>
      </c>
      <c r="R22" s="24">
        <f>IF(P22="NO",0,IF(Q22="si",VLOOKUP(A22,'4b-Venta-Comisión'!$A$36:$L$50,12,0),IF(P22="SI",VLOOKUP(A22,'4b-Venta-Comisión'!$A$36:$L$50,8,0))))</f>
        <v>0</v>
      </c>
      <c r="S22" s="208">
        <f t="shared" si="3"/>
        <v>0</v>
      </c>
      <c r="T22" s="209">
        <f t="shared" si="5"/>
        <v>0</v>
      </c>
      <c r="U22" s="211">
        <f t="shared" si="4"/>
        <v>0</v>
      </c>
      <c r="V22" s="159" t="str">
        <f t="shared" si="6"/>
        <v>OK</v>
      </c>
      <c r="W22" s="471">
        <v>40014</v>
      </c>
      <c r="X22" s="159" t="s">
        <v>52</v>
      </c>
    </row>
    <row r="23" spans="1:24">
      <c r="A23" s="205"/>
      <c r="B23" s="206"/>
      <c r="C23" s="205"/>
      <c r="D23" s="207"/>
      <c r="E23" s="472"/>
      <c r="F23" s="473"/>
      <c r="G23" s="24">
        <f t="shared" si="8"/>
        <v>0</v>
      </c>
      <c r="H23" s="24">
        <f t="shared" si="7"/>
        <v>0</v>
      </c>
      <c r="I23" s="24">
        <f>IF(E23&gt;0,VLOOKUP(A23,'4a-Venta-Des.'!$A$19:$H$33,8,0),0)</f>
        <v>0</v>
      </c>
      <c r="J23" s="208">
        <f t="shared" si="0"/>
        <v>0</v>
      </c>
      <c r="K23" s="209">
        <f t="shared" si="1"/>
        <v>0</v>
      </c>
      <c r="L23" s="210">
        <f>IF(E23&gt;0,(VLOOKUP(A23,'4b-Venta-Comisión'!$A$59:$E$73,4,0)),0)</f>
        <v>0</v>
      </c>
      <c r="M23" s="24">
        <f>IF(L23="SI",VLOOKUP(A23,'4b-Venta-Comisión'!$A$59:$E$73,3,0),0)</f>
        <v>0</v>
      </c>
      <c r="N23" s="208">
        <f t="shared" si="2"/>
        <v>0</v>
      </c>
      <c r="O23" s="209">
        <f t="shared" si="9"/>
        <v>0</v>
      </c>
      <c r="P23" s="210" t="str">
        <f>IF(E23&gt;0,(VLOOKUP(A23,'4b-Venta-Comisión'!$A$36:$L$50,10,0)),"NO")</f>
        <v>NO</v>
      </c>
      <c r="Q23" s="210" t="str">
        <f>IF(E23&gt;0,(VLOOKUP(A23,'4b-Venta-Comisión'!$A$36:$L$50,11,0)),"NO")</f>
        <v>NO</v>
      </c>
      <c r="R23" s="24">
        <f>IF(P23="NO",0,IF(Q23="si",VLOOKUP(A23,'4b-Venta-Comisión'!$A$36:$L$50,12,0),IF(P23="SI",VLOOKUP(A23,'4b-Venta-Comisión'!$A$36:$L$50,8,0))))</f>
        <v>0</v>
      </c>
      <c r="S23" s="208">
        <f t="shared" si="3"/>
        <v>0</v>
      </c>
      <c r="T23" s="209">
        <f t="shared" si="5"/>
        <v>0</v>
      </c>
      <c r="U23" s="211">
        <f t="shared" si="4"/>
        <v>0</v>
      </c>
      <c r="V23" s="159" t="str">
        <f t="shared" si="6"/>
        <v>OK</v>
      </c>
      <c r="W23" s="471">
        <v>40015</v>
      </c>
      <c r="X23" s="159" t="s">
        <v>52</v>
      </c>
    </row>
    <row r="24" spans="1:24">
      <c r="A24" s="205"/>
      <c r="B24" s="206"/>
      <c r="C24" s="205"/>
      <c r="D24" s="214"/>
      <c r="E24" s="472"/>
      <c r="F24" s="473"/>
      <c r="G24" s="24">
        <f t="shared" si="8"/>
        <v>0</v>
      </c>
      <c r="H24" s="24">
        <f t="shared" si="7"/>
        <v>0</v>
      </c>
      <c r="I24" s="24">
        <f>IF(E24&gt;0,VLOOKUP(A24,'4a-Venta-Des.'!$A$19:$H$33,8,0),0)</f>
        <v>0</v>
      </c>
      <c r="J24" s="208">
        <f t="shared" si="0"/>
        <v>0</v>
      </c>
      <c r="K24" s="209">
        <f t="shared" si="1"/>
        <v>0</v>
      </c>
      <c r="L24" s="210">
        <f>IF(E24&gt;0,(VLOOKUP(A24,'4b-Venta-Comisión'!$A$59:$E$73,4,0)),0)</f>
        <v>0</v>
      </c>
      <c r="M24" s="24">
        <f>IF(L24="SI",VLOOKUP(A24,'4b-Venta-Comisión'!$A$59:$E$73,3,0),0)</f>
        <v>0</v>
      </c>
      <c r="N24" s="208">
        <f t="shared" si="2"/>
        <v>0</v>
      </c>
      <c r="O24" s="209">
        <f t="shared" si="9"/>
        <v>0</v>
      </c>
      <c r="P24" s="210" t="str">
        <f>IF(E24&gt;0,(VLOOKUP(A24,'4b-Venta-Comisión'!$A$36:$L$50,10,0)),"NO")</f>
        <v>NO</v>
      </c>
      <c r="Q24" s="210" t="str">
        <f>IF(E24&gt;0,(VLOOKUP(A24,'4b-Venta-Comisión'!$A$36:$L$50,11,0)),"NO")</f>
        <v>NO</v>
      </c>
      <c r="R24" s="24">
        <f>IF(P24="NO",0,IF(Q24="si",VLOOKUP(A24,'4b-Venta-Comisión'!$A$36:$L$50,12,0),IF(P24="SI",VLOOKUP(A24,'4b-Venta-Comisión'!$A$36:$L$50,8,0))))</f>
        <v>0</v>
      </c>
      <c r="S24" s="208">
        <f t="shared" si="3"/>
        <v>0</v>
      </c>
      <c r="T24" s="209">
        <f t="shared" si="5"/>
        <v>0</v>
      </c>
      <c r="U24" s="211">
        <f t="shared" si="4"/>
        <v>0</v>
      </c>
      <c r="V24" s="159" t="str">
        <f t="shared" si="6"/>
        <v>OK</v>
      </c>
      <c r="W24" s="471">
        <v>40016</v>
      </c>
      <c r="X24" s="159" t="s">
        <v>52</v>
      </c>
    </row>
    <row r="25" spans="1:24">
      <c r="A25" s="205"/>
      <c r="B25" s="206"/>
      <c r="C25" s="205"/>
      <c r="D25" s="214"/>
      <c r="E25" s="472"/>
      <c r="F25" s="473"/>
      <c r="G25" s="24">
        <f t="shared" si="8"/>
        <v>0</v>
      </c>
      <c r="H25" s="24">
        <f t="shared" si="7"/>
        <v>0</v>
      </c>
      <c r="I25" s="24">
        <f>IF(E25&gt;0,VLOOKUP(A25,'4a-Venta-Des.'!$A$19:$H$33,8,0),0)</f>
        <v>0</v>
      </c>
      <c r="J25" s="208">
        <f t="shared" si="0"/>
        <v>0</v>
      </c>
      <c r="K25" s="209">
        <f t="shared" si="1"/>
        <v>0</v>
      </c>
      <c r="L25" s="210">
        <f>IF(E25&gt;0,(VLOOKUP(A25,'4b-Venta-Comisión'!$A$59:$E$73,4,0)),0)</f>
        <v>0</v>
      </c>
      <c r="M25" s="24">
        <f>IF(L25="SI",VLOOKUP(A25,'4b-Venta-Comisión'!$A$59:$E$73,3,0),0)</f>
        <v>0</v>
      </c>
      <c r="N25" s="208">
        <f t="shared" si="2"/>
        <v>0</v>
      </c>
      <c r="O25" s="209">
        <f t="shared" si="9"/>
        <v>0</v>
      </c>
      <c r="P25" s="210" t="str">
        <f>IF(E25&gt;0,(VLOOKUP(A25,'4b-Venta-Comisión'!$A$36:$L$50,10,0)),"NO")</f>
        <v>NO</v>
      </c>
      <c r="Q25" s="210" t="str">
        <f>IF(E25&gt;0,(VLOOKUP(A25,'4b-Venta-Comisión'!$A$36:$L$50,11,0)),"NO")</f>
        <v>NO</v>
      </c>
      <c r="R25" s="24">
        <f>IF(P25="NO",0,IF(Q25="si",VLOOKUP(A25,'4b-Venta-Comisión'!$A$36:$L$50,12,0),IF(P25="SI",VLOOKUP(A25,'4b-Venta-Comisión'!$A$36:$L$50,8,0))))</f>
        <v>0</v>
      </c>
      <c r="S25" s="208">
        <f t="shared" si="3"/>
        <v>0</v>
      </c>
      <c r="T25" s="209">
        <f t="shared" si="5"/>
        <v>0</v>
      </c>
      <c r="U25" s="211">
        <f t="shared" si="4"/>
        <v>0</v>
      </c>
      <c r="V25" s="159" t="str">
        <f t="shared" si="6"/>
        <v>OK</v>
      </c>
      <c r="W25" s="471">
        <v>40017</v>
      </c>
      <c r="X25" s="159" t="s">
        <v>52</v>
      </c>
    </row>
    <row r="26" spans="1:24">
      <c r="A26" s="205"/>
      <c r="B26" s="206"/>
      <c r="C26" s="205"/>
      <c r="D26" s="214"/>
      <c r="E26" s="472"/>
      <c r="F26" s="473"/>
      <c r="G26" s="24">
        <f t="shared" si="8"/>
        <v>0</v>
      </c>
      <c r="H26" s="24">
        <f t="shared" si="7"/>
        <v>0</v>
      </c>
      <c r="I26" s="24">
        <f>IF(E26&gt;0,VLOOKUP(A26,'4a-Venta-Des.'!$A$19:$H$33,8,0),0)</f>
        <v>0</v>
      </c>
      <c r="J26" s="208">
        <f t="shared" si="0"/>
        <v>0</v>
      </c>
      <c r="K26" s="209">
        <f t="shared" si="1"/>
        <v>0</v>
      </c>
      <c r="L26" s="210">
        <f>IF(E26&gt;0,(VLOOKUP(A26,'4b-Venta-Comisión'!$A$59:$E$73,4,0)),0)</f>
        <v>0</v>
      </c>
      <c r="M26" s="24">
        <f>IF(L26="SI",VLOOKUP(A26,'4b-Venta-Comisión'!$A$59:$E$73,3,0),0)</f>
        <v>0</v>
      </c>
      <c r="N26" s="208">
        <f t="shared" si="2"/>
        <v>0</v>
      </c>
      <c r="O26" s="209">
        <f t="shared" si="9"/>
        <v>0</v>
      </c>
      <c r="P26" s="210" t="str">
        <f>IF(E26&gt;0,(VLOOKUP(A26,'4b-Venta-Comisión'!$A$36:$L$50,10,0)),"NO")</f>
        <v>NO</v>
      </c>
      <c r="Q26" s="210" t="str">
        <f>IF(E26&gt;0,(VLOOKUP(A26,'4b-Venta-Comisión'!$A$36:$L$50,11,0)),"NO")</f>
        <v>NO</v>
      </c>
      <c r="R26" s="24">
        <f>IF(P26="NO",0,IF(Q26="si",VLOOKUP(A26,'4b-Venta-Comisión'!$A$36:$L$50,12,0),IF(P26="SI",VLOOKUP(A26,'4b-Venta-Comisión'!$A$36:$L$50,8,0))))</f>
        <v>0</v>
      </c>
      <c r="S26" s="208">
        <f t="shared" si="3"/>
        <v>0</v>
      </c>
      <c r="T26" s="209">
        <f t="shared" si="5"/>
        <v>0</v>
      </c>
      <c r="U26" s="211">
        <f t="shared" si="4"/>
        <v>0</v>
      </c>
      <c r="V26" s="159" t="str">
        <f t="shared" si="6"/>
        <v>OK</v>
      </c>
      <c r="W26" s="471">
        <v>40018</v>
      </c>
      <c r="X26" s="159" t="s">
        <v>52</v>
      </c>
    </row>
    <row r="27" spans="1:24">
      <c r="A27" s="205"/>
      <c r="B27" s="206"/>
      <c r="C27" s="205"/>
      <c r="D27" s="214"/>
      <c r="E27" s="472"/>
      <c r="F27" s="473"/>
      <c r="G27" s="24">
        <f t="shared" si="8"/>
        <v>0</v>
      </c>
      <c r="H27" s="24">
        <f t="shared" si="7"/>
        <v>0</v>
      </c>
      <c r="I27" s="24">
        <f>IF(E27&gt;0,VLOOKUP(A27,'4a-Venta-Des.'!$A$19:$H$33,8,0),0)</f>
        <v>0</v>
      </c>
      <c r="J27" s="208">
        <f t="shared" si="0"/>
        <v>0</v>
      </c>
      <c r="K27" s="209">
        <f t="shared" si="1"/>
        <v>0</v>
      </c>
      <c r="L27" s="210">
        <f>IF(E27&gt;0,(VLOOKUP(A27,'4b-Venta-Comisión'!$A$59:$E$73,4,0)),0)</f>
        <v>0</v>
      </c>
      <c r="M27" s="24">
        <f>IF(L27="SI",VLOOKUP(A27,'4b-Venta-Comisión'!$A$59:$E$73,3,0),0)</f>
        <v>0</v>
      </c>
      <c r="N27" s="208">
        <f t="shared" si="2"/>
        <v>0</v>
      </c>
      <c r="O27" s="209">
        <f t="shared" si="9"/>
        <v>0</v>
      </c>
      <c r="P27" s="210" t="str">
        <f>IF(E27&gt;0,(VLOOKUP(A27,'4b-Venta-Comisión'!$A$36:$L$50,10,0)),"NO")</f>
        <v>NO</v>
      </c>
      <c r="Q27" s="210" t="str">
        <f>IF(E27&gt;0,(VLOOKUP(A27,'4b-Venta-Comisión'!$A$36:$L$50,11,0)),"NO")</f>
        <v>NO</v>
      </c>
      <c r="R27" s="24">
        <f>IF(P27="NO",0,IF(Q27="si",VLOOKUP(A27,'4b-Venta-Comisión'!$A$36:$L$50,12,0),IF(P27="SI",VLOOKUP(A27,'4b-Venta-Comisión'!$A$36:$L$50,8,0))))</f>
        <v>0</v>
      </c>
      <c r="S27" s="208">
        <f t="shared" si="3"/>
        <v>0</v>
      </c>
      <c r="T27" s="209">
        <f t="shared" si="5"/>
        <v>0</v>
      </c>
      <c r="U27" s="211">
        <f t="shared" si="4"/>
        <v>0</v>
      </c>
      <c r="V27" s="159" t="str">
        <f t="shared" si="6"/>
        <v>OK</v>
      </c>
      <c r="W27" s="471">
        <v>40019</v>
      </c>
      <c r="X27" s="159" t="s">
        <v>52</v>
      </c>
    </row>
    <row r="28" spans="1:24">
      <c r="A28" s="205"/>
      <c r="B28" s="206"/>
      <c r="C28" s="205"/>
      <c r="D28" s="214"/>
      <c r="E28" s="472"/>
      <c r="F28" s="473"/>
      <c r="G28" s="24">
        <f t="shared" si="8"/>
        <v>0</v>
      </c>
      <c r="H28" s="24">
        <f t="shared" si="7"/>
        <v>0</v>
      </c>
      <c r="I28" s="24">
        <f>IF(E28&gt;0,VLOOKUP(A28,'4a-Venta-Des.'!$A$19:$H$33,8,0),0)</f>
        <v>0</v>
      </c>
      <c r="J28" s="208">
        <f t="shared" si="0"/>
        <v>0</v>
      </c>
      <c r="K28" s="209">
        <f t="shared" si="1"/>
        <v>0</v>
      </c>
      <c r="L28" s="210">
        <f>IF(E28&gt;0,(VLOOKUP(A28,'4b-Venta-Comisión'!$A$59:$E$73,4,0)),0)</f>
        <v>0</v>
      </c>
      <c r="M28" s="24">
        <f>IF(L28="SI",VLOOKUP(A28,'4b-Venta-Comisión'!$A$59:$E$73,3,0),0)</f>
        <v>0</v>
      </c>
      <c r="N28" s="208">
        <f t="shared" si="2"/>
        <v>0</v>
      </c>
      <c r="O28" s="209">
        <f t="shared" si="9"/>
        <v>0</v>
      </c>
      <c r="P28" s="210" t="str">
        <f>IF(E28&gt;0,(VLOOKUP(A28,'4b-Venta-Comisión'!$A$36:$L$50,10,0)),"NO")</f>
        <v>NO</v>
      </c>
      <c r="Q28" s="210" t="str">
        <f>IF(E28&gt;0,(VLOOKUP(A28,'4b-Venta-Comisión'!$A$36:$L$50,11,0)),"NO")</f>
        <v>NO</v>
      </c>
      <c r="R28" s="24">
        <f>IF(P28="NO",0,IF(Q28="si",VLOOKUP(A28,'4b-Venta-Comisión'!$A$36:$L$50,12,0),IF(P28="SI",VLOOKUP(A28,'4b-Venta-Comisión'!$A$36:$L$50,8,0))))</f>
        <v>0</v>
      </c>
      <c r="S28" s="208">
        <f t="shared" si="3"/>
        <v>0</v>
      </c>
      <c r="T28" s="209">
        <f t="shared" si="5"/>
        <v>0</v>
      </c>
      <c r="U28" s="211">
        <f t="shared" si="4"/>
        <v>0</v>
      </c>
      <c r="V28" s="159" t="str">
        <f t="shared" si="6"/>
        <v>OK</v>
      </c>
      <c r="W28" s="471">
        <v>40020</v>
      </c>
      <c r="X28" s="159" t="s">
        <v>52</v>
      </c>
    </row>
    <row r="29" spans="1:24">
      <c r="A29" s="205"/>
      <c r="B29" s="206"/>
      <c r="C29" s="205"/>
      <c r="D29" s="214"/>
      <c r="E29" s="472"/>
      <c r="F29" s="473"/>
      <c r="G29" s="24">
        <f t="shared" si="8"/>
        <v>0</v>
      </c>
      <c r="H29" s="24">
        <f t="shared" si="7"/>
        <v>0</v>
      </c>
      <c r="I29" s="24">
        <f>IF(E29&gt;0,VLOOKUP(A29,'4a-Venta-Des.'!$A$19:$H$33,8,0),0)</f>
        <v>0</v>
      </c>
      <c r="J29" s="208">
        <f t="shared" si="0"/>
        <v>0</v>
      </c>
      <c r="K29" s="209">
        <f t="shared" si="1"/>
        <v>0</v>
      </c>
      <c r="L29" s="210">
        <f>IF(E29&gt;0,(VLOOKUP(A29,'4b-Venta-Comisión'!$A$59:$E$73,4,0)),0)</f>
        <v>0</v>
      </c>
      <c r="M29" s="24">
        <f>IF(L29="SI",VLOOKUP(A29,'4b-Venta-Comisión'!$A$59:$E$73,3,0),0)</f>
        <v>0</v>
      </c>
      <c r="N29" s="208">
        <f t="shared" si="2"/>
        <v>0</v>
      </c>
      <c r="O29" s="209">
        <f t="shared" ref="O29:O48" si="10">+K29-N29</f>
        <v>0</v>
      </c>
      <c r="P29" s="210" t="str">
        <f>IF(E29&gt;0,(VLOOKUP(A29,'4b-Venta-Comisión'!$A$36:$L$50,10,0)),"NO")</f>
        <v>NO</v>
      </c>
      <c r="Q29" s="210" t="str">
        <f>IF(E29&gt;0,(VLOOKUP(A29,'4b-Venta-Comisión'!$A$36:$L$50,11,0)),"NO")</f>
        <v>NO</v>
      </c>
      <c r="R29" s="24">
        <f>IF(P29="NO",0,IF(Q29="si",VLOOKUP(A29,'4b-Venta-Comisión'!$A$36:$L$50,12,0),IF(P29="SI",VLOOKUP(A29,'4b-Venta-Comisión'!$A$36:$L$50,8,0))))</f>
        <v>0</v>
      </c>
      <c r="S29" s="208">
        <f t="shared" si="3"/>
        <v>0</v>
      </c>
      <c r="T29" s="209">
        <f t="shared" si="5"/>
        <v>0</v>
      </c>
      <c r="U29" s="211">
        <f t="shared" si="4"/>
        <v>0</v>
      </c>
      <c r="V29" s="159" t="str">
        <f t="shared" si="6"/>
        <v>OK</v>
      </c>
      <c r="W29" s="471">
        <v>40021</v>
      </c>
      <c r="X29" s="159" t="s">
        <v>52</v>
      </c>
    </row>
    <row r="30" spans="1:24">
      <c r="A30" s="205"/>
      <c r="B30" s="206"/>
      <c r="C30" s="205"/>
      <c r="D30" s="214"/>
      <c r="E30" s="472"/>
      <c r="F30" s="473"/>
      <c r="G30" s="24">
        <f t="shared" si="8"/>
        <v>0</v>
      </c>
      <c r="H30" s="24">
        <f t="shared" si="7"/>
        <v>0</v>
      </c>
      <c r="I30" s="24">
        <f>IF(E30&gt;0,VLOOKUP(A30,'4a-Venta-Des.'!$A$19:$H$33,8,0),0)</f>
        <v>0</v>
      </c>
      <c r="J30" s="208">
        <f t="shared" si="0"/>
        <v>0</v>
      </c>
      <c r="K30" s="209">
        <f t="shared" si="1"/>
        <v>0</v>
      </c>
      <c r="L30" s="210">
        <f>IF(E30&gt;0,(VLOOKUP(A30,'4b-Venta-Comisión'!$A$59:$E$73,4,0)),0)</f>
        <v>0</v>
      </c>
      <c r="M30" s="24">
        <f>IF(L30="SI",VLOOKUP(A30,'4b-Venta-Comisión'!$A$59:$E$73,3,0),0)</f>
        <v>0</v>
      </c>
      <c r="N30" s="208">
        <f t="shared" si="2"/>
        <v>0</v>
      </c>
      <c r="O30" s="209">
        <f t="shared" si="10"/>
        <v>0</v>
      </c>
      <c r="P30" s="210" t="str">
        <f>IF(E30&gt;0,(VLOOKUP(A30,'4b-Venta-Comisión'!$A$36:$L$50,10,0)),"NO")</f>
        <v>NO</v>
      </c>
      <c r="Q30" s="210" t="str">
        <f>IF(E30&gt;0,(VLOOKUP(A30,'4b-Venta-Comisión'!$A$36:$L$50,11,0)),"NO")</f>
        <v>NO</v>
      </c>
      <c r="R30" s="24">
        <f>IF(P30="NO",0,IF(Q30="si",VLOOKUP(A30,'4b-Venta-Comisión'!$A$36:$L$50,12,0),IF(P30="SI",VLOOKUP(A30,'4b-Venta-Comisión'!$A$36:$L$50,8,0))))</f>
        <v>0</v>
      </c>
      <c r="S30" s="208">
        <f t="shared" si="3"/>
        <v>0</v>
      </c>
      <c r="T30" s="209">
        <f t="shared" si="5"/>
        <v>0</v>
      </c>
      <c r="U30" s="211">
        <f t="shared" si="4"/>
        <v>0</v>
      </c>
      <c r="V30" s="159" t="str">
        <f t="shared" si="6"/>
        <v>OK</v>
      </c>
      <c r="W30" s="471">
        <v>40022</v>
      </c>
      <c r="X30" s="159" t="s">
        <v>52</v>
      </c>
    </row>
    <row r="31" spans="1:24">
      <c r="A31" s="205"/>
      <c r="B31" s="206"/>
      <c r="C31" s="205"/>
      <c r="D31" s="214"/>
      <c r="E31" s="472"/>
      <c r="F31" s="473"/>
      <c r="G31" s="24">
        <f t="shared" si="8"/>
        <v>0</v>
      </c>
      <c r="H31" s="24">
        <f t="shared" si="7"/>
        <v>0</v>
      </c>
      <c r="I31" s="24">
        <f>IF(E31&gt;0,VLOOKUP(A31,'4a-Venta-Des.'!$A$19:$H$33,8,0),0)</f>
        <v>0</v>
      </c>
      <c r="J31" s="208">
        <f t="shared" si="0"/>
        <v>0</v>
      </c>
      <c r="K31" s="209">
        <f t="shared" si="1"/>
        <v>0</v>
      </c>
      <c r="L31" s="210">
        <f>IF(E31&gt;0,(VLOOKUP(A31,'4b-Venta-Comisión'!$A$59:$E$73,4,0)),0)</f>
        <v>0</v>
      </c>
      <c r="M31" s="24">
        <f>IF(L31="SI",VLOOKUP(A31,'4b-Venta-Comisión'!$A$59:$E$73,3,0),0)</f>
        <v>0</v>
      </c>
      <c r="N31" s="208">
        <f t="shared" si="2"/>
        <v>0</v>
      </c>
      <c r="O31" s="209">
        <f t="shared" si="10"/>
        <v>0</v>
      </c>
      <c r="P31" s="210" t="str">
        <f>IF(E31&gt;0,(VLOOKUP(A31,'4b-Venta-Comisión'!$A$36:$L$50,10,0)),"NO")</f>
        <v>NO</v>
      </c>
      <c r="Q31" s="210" t="str">
        <f>IF(E31&gt;0,(VLOOKUP(A31,'4b-Venta-Comisión'!$A$36:$L$50,11,0)),"NO")</f>
        <v>NO</v>
      </c>
      <c r="R31" s="24">
        <f>IF(P31="NO",0,IF(Q31="si",VLOOKUP(A31,'4b-Venta-Comisión'!$A$36:$L$50,12,0),IF(P31="SI",VLOOKUP(A31,'4b-Venta-Comisión'!$A$36:$L$50,8,0))))</f>
        <v>0</v>
      </c>
      <c r="S31" s="208">
        <f t="shared" si="3"/>
        <v>0</v>
      </c>
      <c r="T31" s="209">
        <f t="shared" si="5"/>
        <v>0</v>
      </c>
      <c r="U31" s="211">
        <f t="shared" si="4"/>
        <v>0</v>
      </c>
      <c r="V31" s="159" t="str">
        <f t="shared" si="6"/>
        <v>OK</v>
      </c>
      <c r="W31" s="471">
        <v>40023</v>
      </c>
      <c r="X31" s="159" t="s">
        <v>52</v>
      </c>
    </row>
    <row r="32" spans="1:24">
      <c r="A32" s="205"/>
      <c r="B32" s="206"/>
      <c r="C32" s="205"/>
      <c r="D32" s="214"/>
      <c r="E32" s="472"/>
      <c r="F32" s="473"/>
      <c r="G32" s="24">
        <f t="shared" si="8"/>
        <v>0</v>
      </c>
      <c r="H32" s="24">
        <f t="shared" si="7"/>
        <v>0</v>
      </c>
      <c r="I32" s="24">
        <f>IF(E32&gt;0,VLOOKUP(A32,'4a-Venta-Des.'!$A$19:$H$33,8,0),0)</f>
        <v>0</v>
      </c>
      <c r="J32" s="208">
        <f t="shared" si="0"/>
        <v>0</v>
      </c>
      <c r="K32" s="209">
        <f t="shared" si="1"/>
        <v>0</v>
      </c>
      <c r="L32" s="210">
        <f>IF(E32&gt;0,(VLOOKUP(A32,'4b-Venta-Comisión'!$A$59:$E$73,4,0)),0)</f>
        <v>0</v>
      </c>
      <c r="M32" s="24">
        <f>IF(L32="SI",VLOOKUP(A32,'4b-Venta-Comisión'!$A$59:$E$73,3,0),0)</f>
        <v>0</v>
      </c>
      <c r="N32" s="208">
        <f t="shared" si="2"/>
        <v>0</v>
      </c>
      <c r="O32" s="209">
        <f t="shared" si="10"/>
        <v>0</v>
      </c>
      <c r="P32" s="210" t="str">
        <f>IF(E32&gt;0,(VLOOKUP(A32,'4b-Venta-Comisión'!$A$36:$L$50,10,0)),"NO")</f>
        <v>NO</v>
      </c>
      <c r="Q32" s="210" t="str">
        <f>IF(E32&gt;0,(VLOOKUP(A32,'4b-Venta-Comisión'!$A$36:$L$50,11,0)),"NO")</f>
        <v>NO</v>
      </c>
      <c r="R32" s="24">
        <f>IF(P32="NO",0,IF(Q32="si",VLOOKUP(A32,'4b-Venta-Comisión'!$A$36:$L$50,12,0),IF(P32="SI",VLOOKUP(A32,'4b-Venta-Comisión'!$A$36:$L$50,8,0))))</f>
        <v>0</v>
      </c>
      <c r="S32" s="208">
        <f t="shared" si="3"/>
        <v>0</v>
      </c>
      <c r="T32" s="209">
        <f t="shared" si="5"/>
        <v>0</v>
      </c>
      <c r="U32" s="211">
        <f t="shared" si="4"/>
        <v>0</v>
      </c>
      <c r="V32" s="159" t="str">
        <f t="shared" si="6"/>
        <v>OK</v>
      </c>
      <c r="W32" s="471">
        <v>40024</v>
      </c>
      <c r="X32" s="159" t="s">
        <v>52</v>
      </c>
    </row>
    <row r="33" spans="1:24">
      <c r="A33" s="205"/>
      <c r="B33" s="206"/>
      <c r="C33" s="205"/>
      <c r="D33" s="214"/>
      <c r="E33" s="472"/>
      <c r="F33" s="473"/>
      <c r="G33" s="24">
        <f t="shared" si="8"/>
        <v>0</v>
      </c>
      <c r="H33" s="24">
        <f t="shared" si="7"/>
        <v>0</v>
      </c>
      <c r="I33" s="24">
        <f>IF(E33&gt;0,VLOOKUP(A33,'4a-Venta-Des.'!$A$19:$H$33,8,0),0)</f>
        <v>0</v>
      </c>
      <c r="J33" s="208">
        <f t="shared" si="0"/>
        <v>0</v>
      </c>
      <c r="K33" s="209">
        <f t="shared" si="1"/>
        <v>0</v>
      </c>
      <c r="L33" s="210">
        <f>IF(E33&gt;0,(VLOOKUP(A33,'4b-Venta-Comisión'!$A$59:$E$73,4,0)),0)</f>
        <v>0</v>
      </c>
      <c r="M33" s="24">
        <f>IF(L33="SI",VLOOKUP(A33,'4b-Venta-Comisión'!$A$59:$E$73,3,0),0)</f>
        <v>0</v>
      </c>
      <c r="N33" s="208">
        <f t="shared" si="2"/>
        <v>0</v>
      </c>
      <c r="O33" s="209">
        <f t="shared" si="10"/>
        <v>0</v>
      </c>
      <c r="P33" s="210" t="str">
        <f>IF(E33&gt;0,(VLOOKUP(A33,'4b-Venta-Comisión'!$A$36:$L$50,10,0)),"NO")</f>
        <v>NO</v>
      </c>
      <c r="Q33" s="210" t="str">
        <f>IF(E33&gt;0,(VLOOKUP(A33,'4b-Venta-Comisión'!$A$36:$L$50,11,0)),"NO")</f>
        <v>NO</v>
      </c>
      <c r="R33" s="24">
        <f>IF(P33="NO",0,IF(Q33="si",VLOOKUP(A33,'4b-Venta-Comisión'!$A$36:$L$50,12,0),IF(P33="SI",VLOOKUP(A33,'4b-Venta-Comisión'!$A$36:$L$50,8,0))))</f>
        <v>0</v>
      </c>
      <c r="S33" s="208">
        <f t="shared" si="3"/>
        <v>0</v>
      </c>
      <c r="T33" s="209">
        <f t="shared" si="5"/>
        <v>0</v>
      </c>
      <c r="U33" s="211">
        <f t="shared" si="4"/>
        <v>0</v>
      </c>
      <c r="V33" s="159" t="str">
        <f t="shared" si="6"/>
        <v>OK</v>
      </c>
      <c r="W33" s="471">
        <v>40025</v>
      </c>
      <c r="X33" s="159" t="s">
        <v>52</v>
      </c>
    </row>
    <row r="34" spans="1:24">
      <c r="A34" s="205"/>
      <c r="B34" s="206"/>
      <c r="C34" s="205"/>
      <c r="D34" s="214"/>
      <c r="E34" s="472"/>
      <c r="F34" s="473"/>
      <c r="G34" s="24">
        <f t="shared" si="8"/>
        <v>0</v>
      </c>
      <c r="H34" s="24">
        <f t="shared" si="7"/>
        <v>0</v>
      </c>
      <c r="I34" s="24">
        <f>IF(E34&gt;0,VLOOKUP(A34,'4a-Venta-Des.'!$A$19:$H$33,8,0),0)</f>
        <v>0</v>
      </c>
      <c r="J34" s="208">
        <f t="shared" si="0"/>
        <v>0</v>
      </c>
      <c r="K34" s="209">
        <f t="shared" si="1"/>
        <v>0</v>
      </c>
      <c r="L34" s="210">
        <f>IF(E34&gt;0,(VLOOKUP(A34,'4b-Venta-Comisión'!$A$59:$E$73,4,0)),0)</f>
        <v>0</v>
      </c>
      <c r="M34" s="24">
        <f>IF(L34="SI",VLOOKUP(A34,'4b-Venta-Comisión'!$A$59:$E$73,3,0),0)</f>
        <v>0</v>
      </c>
      <c r="N34" s="208">
        <f t="shared" si="2"/>
        <v>0</v>
      </c>
      <c r="O34" s="209">
        <f t="shared" si="10"/>
        <v>0</v>
      </c>
      <c r="P34" s="210" t="str">
        <f>IF(E34&gt;0,(VLOOKUP(A34,'4b-Venta-Comisión'!$A$36:$L$50,10,0)),"NO")</f>
        <v>NO</v>
      </c>
      <c r="Q34" s="210" t="str">
        <f>IF(E34&gt;0,(VLOOKUP(A34,'4b-Venta-Comisión'!$A$36:$L$50,11,0)),"NO")</f>
        <v>NO</v>
      </c>
      <c r="R34" s="24">
        <f>IF(P34="NO",0,IF(Q34="si",VLOOKUP(A34,'4b-Venta-Comisión'!$A$36:$L$50,12,0),IF(P34="SI",VLOOKUP(A34,'4b-Venta-Comisión'!$A$36:$L$50,8,0))))</f>
        <v>0</v>
      </c>
      <c r="S34" s="208">
        <f t="shared" si="3"/>
        <v>0</v>
      </c>
      <c r="T34" s="209">
        <f t="shared" si="5"/>
        <v>0</v>
      </c>
      <c r="U34" s="211">
        <f t="shared" si="4"/>
        <v>0</v>
      </c>
      <c r="V34" s="159" t="str">
        <f t="shared" si="6"/>
        <v>OK</v>
      </c>
      <c r="W34" s="471">
        <v>40026</v>
      </c>
      <c r="X34" s="159" t="s">
        <v>52</v>
      </c>
    </row>
    <row r="35" spans="1:24">
      <c r="A35" s="205"/>
      <c r="B35" s="206"/>
      <c r="C35" s="205"/>
      <c r="D35" s="214"/>
      <c r="E35" s="472"/>
      <c r="F35" s="473"/>
      <c r="G35" s="24">
        <f t="shared" si="8"/>
        <v>0</v>
      </c>
      <c r="H35" s="24">
        <f t="shared" si="7"/>
        <v>0</v>
      </c>
      <c r="I35" s="24">
        <f>IF(E35&gt;0,VLOOKUP(A35,'4a-Venta-Des.'!$A$19:$H$33,8,0),0)</f>
        <v>0</v>
      </c>
      <c r="J35" s="208">
        <f t="shared" si="0"/>
        <v>0</v>
      </c>
      <c r="K35" s="209">
        <f t="shared" si="1"/>
        <v>0</v>
      </c>
      <c r="L35" s="210">
        <f>IF(E35&gt;0,(VLOOKUP(A35,'4b-Venta-Comisión'!$A$59:$E$73,4,0)),0)</f>
        <v>0</v>
      </c>
      <c r="M35" s="24">
        <f>IF(L35="SI",VLOOKUP(A35,'4b-Venta-Comisión'!$A$59:$E$73,3,0),0)</f>
        <v>0</v>
      </c>
      <c r="N35" s="208">
        <f t="shared" si="2"/>
        <v>0</v>
      </c>
      <c r="O35" s="209">
        <f t="shared" si="10"/>
        <v>0</v>
      </c>
      <c r="P35" s="210" t="str">
        <f>IF(E35&gt;0,(VLOOKUP(A35,'4b-Venta-Comisión'!$A$36:$L$50,10,0)),"NO")</f>
        <v>NO</v>
      </c>
      <c r="Q35" s="210" t="str">
        <f>IF(E35&gt;0,(VLOOKUP(A35,'4b-Venta-Comisión'!$A$36:$L$50,11,0)),"NO")</f>
        <v>NO</v>
      </c>
      <c r="R35" s="24">
        <f>IF(P35="NO",0,IF(Q35="si",VLOOKUP(A35,'4b-Venta-Comisión'!$A$36:$L$50,12,0),IF(P35="SI",VLOOKUP(A35,'4b-Venta-Comisión'!$A$36:$L$50,8,0))))</f>
        <v>0</v>
      </c>
      <c r="S35" s="208">
        <f t="shared" si="3"/>
        <v>0</v>
      </c>
      <c r="T35" s="209">
        <f t="shared" si="5"/>
        <v>0</v>
      </c>
      <c r="U35" s="211">
        <f t="shared" si="4"/>
        <v>0</v>
      </c>
      <c r="V35" s="159" t="str">
        <f t="shared" si="6"/>
        <v>OK</v>
      </c>
      <c r="W35" s="471">
        <v>40027</v>
      </c>
      <c r="X35" s="159" t="s">
        <v>52</v>
      </c>
    </row>
    <row r="36" spans="1:24">
      <c r="A36" s="205"/>
      <c r="B36" s="206"/>
      <c r="C36" s="205"/>
      <c r="D36" s="214"/>
      <c r="E36" s="472"/>
      <c r="F36" s="473"/>
      <c r="G36" s="24">
        <f t="shared" si="8"/>
        <v>0</v>
      </c>
      <c r="H36" s="24">
        <f t="shared" si="7"/>
        <v>0</v>
      </c>
      <c r="I36" s="24">
        <f>IF(E36&gt;0,VLOOKUP(A36,'4a-Venta-Des.'!$A$19:$H$33,8,0),0)</f>
        <v>0</v>
      </c>
      <c r="J36" s="208">
        <f t="shared" si="0"/>
        <v>0</v>
      </c>
      <c r="K36" s="209">
        <f t="shared" si="1"/>
        <v>0</v>
      </c>
      <c r="L36" s="210">
        <f>IF(E36&gt;0,(VLOOKUP(A36,'4b-Venta-Comisión'!$A$59:$E$73,4,0)),0)</f>
        <v>0</v>
      </c>
      <c r="M36" s="24">
        <f>IF(L36="SI",VLOOKUP(A36,'4b-Venta-Comisión'!$A$59:$E$73,3,0),0)</f>
        <v>0</v>
      </c>
      <c r="N36" s="208">
        <f t="shared" si="2"/>
        <v>0</v>
      </c>
      <c r="O36" s="209">
        <f t="shared" si="10"/>
        <v>0</v>
      </c>
      <c r="P36" s="210" t="str">
        <f>IF(E36&gt;0,(VLOOKUP(A36,'4b-Venta-Comisión'!$A$36:$L$50,10,0)),"NO")</f>
        <v>NO</v>
      </c>
      <c r="Q36" s="210" t="str">
        <f>IF(E36&gt;0,(VLOOKUP(A36,'4b-Venta-Comisión'!$A$36:$L$50,11,0)),"NO")</f>
        <v>NO</v>
      </c>
      <c r="R36" s="24">
        <f>IF(P36="NO",0,IF(Q36="si",VLOOKUP(A36,'4b-Venta-Comisión'!$A$36:$L$50,12,0),IF(P36="SI",VLOOKUP(A36,'4b-Venta-Comisión'!$A$36:$L$50,8,0))))</f>
        <v>0</v>
      </c>
      <c r="S36" s="208">
        <f t="shared" si="3"/>
        <v>0</v>
      </c>
      <c r="T36" s="209">
        <f t="shared" si="5"/>
        <v>0</v>
      </c>
      <c r="U36" s="211">
        <f t="shared" si="4"/>
        <v>0</v>
      </c>
      <c r="V36" s="159" t="str">
        <f t="shared" si="6"/>
        <v>OK</v>
      </c>
      <c r="W36" s="471">
        <v>40028</v>
      </c>
      <c r="X36" s="159" t="s">
        <v>52</v>
      </c>
    </row>
    <row r="37" spans="1:24">
      <c r="A37" s="205"/>
      <c r="B37" s="206"/>
      <c r="C37" s="205"/>
      <c r="D37" s="214"/>
      <c r="E37" s="472"/>
      <c r="F37" s="473"/>
      <c r="G37" s="24">
        <f t="shared" si="8"/>
        <v>0</v>
      </c>
      <c r="H37" s="24">
        <f t="shared" si="7"/>
        <v>0</v>
      </c>
      <c r="I37" s="24">
        <f>IF(E37&gt;0,VLOOKUP(A37,'4a-Venta-Des.'!$A$19:$H$33,8,0),0)</f>
        <v>0</v>
      </c>
      <c r="J37" s="208">
        <f t="shared" si="0"/>
        <v>0</v>
      </c>
      <c r="K37" s="209">
        <f t="shared" si="1"/>
        <v>0</v>
      </c>
      <c r="L37" s="210">
        <f>IF(E37&gt;0,(VLOOKUP(A37,'4b-Venta-Comisión'!$A$59:$E$73,4,0)),0)</f>
        <v>0</v>
      </c>
      <c r="M37" s="24">
        <f>IF(L37="SI",VLOOKUP(A37,'4b-Venta-Comisión'!$A$59:$E$73,3,0),0)</f>
        <v>0</v>
      </c>
      <c r="N37" s="208">
        <f t="shared" si="2"/>
        <v>0</v>
      </c>
      <c r="O37" s="209">
        <f t="shared" si="10"/>
        <v>0</v>
      </c>
      <c r="P37" s="210" t="str">
        <f>IF(E37&gt;0,(VLOOKUP(A37,'4b-Venta-Comisión'!$A$36:$L$50,10,0)),"NO")</f>
        <v>NO</v>
      </c>
      <c r="Q37" s="210" t="str">
        <f>IF(E37&gt;0,(VLOOKUP(A37,'4b-Venta-Comisión'!$A$36:$L$50,11,0)),"NO")</f>
        <v>NO</v>
      </c>
      <c r="R37" s="24">
        <f>IF(P37="NO",0,IF(Q37="si",VLOOKUP(A37,'4b-Venta-Comisión'!$A$36:$L$50,12,0),IF(P37="SI",VLOOKUP(A37,'4b-Venta-Comisión'!$A$36:$L$50,8,0))))</f>
        <v>0</v>
      </c>
      <c r="S37" s="208">
        <f t="shared" si="3"/>
        <v>0</v>
      </c>
      <c r="T37" s="209">
        <f t="shared" si="5"/>
        <v>0</v>
      </c>
      <c r="U37" s="211">
        <f t="shared" si="4"/>
        <v>0</v>
      </c>
      <c r="V37" s="159" t="str">
        <f t="shared" si="6"/>
        <v>OK</v>
      </c>
      <c r="W37" s="471">
        <v>40029</v>
      </c>
      <c r="X37" s="159" t="s">
        <v>52</v>
      </c>
    </row>
    <row r="38" spans="1:24">
      <c r="A38" s="205"/>
      <c r="B38" s="206"/>
      <c r="C38" s="205"/>
      <c r="D38" s="214"/>
      <c r="E38" s="472"/>
      <c r="F38" s="473"/>
      <c r="G38" s="24">
        <f t="shared" si="8"/>
        <v>0</v>
      </c>
      <c r="H38" s="24">
        <f t="shared" si="7"/>
        <v>0</v>
      </c>
      <c r="I38" s="24">
        <f>IF(E38&gt;0,VLOOKUP(A38,'4a-Venta-Des.'!$A$19:$H$33,8,0),0)</f>
        <v>0</v>
      </c>
      <c r="J38" s="208">
        <f t="shared" si="0"/>
        <v>0</v>
      </c>
      <c r="K38" s="209">
        <f t="shared" si="1"/>
        <v>0</v>
      </c>
      <c r="L38" s="210">
        <f>IF(E38&gt;0,(VLOOKUP(A38,'4b-Venta-Comisión'!$A$59:$E$73,4,0)),0)</f>
        <v>0</v>
      </c>
      <c r="M38" s="24">
        <f>IF(L38="SI",VLOOKUP(A38,'4b-Venta-Comisión'!$A$59:$E$73,3,0),0)</f>
        <v>0</v>
      </c>
      <c r="N38" s="208">
        <f t="shared" si="2"/>
        <v>0</v>
      </c>
      <c r="O38" s="209">
        <f t="shared" si="10"/>
        <v>0</v>
      </c>
      <c r="P38" s="210" t="str">
        <f>IF(E38&gt;0,(VLOOKUP(A38,'4b-Venta-Comisión'!$A$36:$L$50,10,0)),"NO")</f>
        <v>NO</v>
      </c>
      <c r="Q38" s="210" t="str">
        <f>IF(E38&gt;0,(VLOOKUP(A38,'4b-Venta-Comisión'!$A$36:$L$50,11,0)),"NO")</f>
        <v>NO</v>
      </c>
      <c r="R38" s="24">
        <f>IF(P38="NO",0,IF(Q38="si",VLOOKUP(A38,'4b-Venta-Comisión'!$A$36:$L$50,12,0),IF(P38="SI",VLOOKUP(A38,'4b-Venta-Comisión'!$A$36:$L$50,8,0))))</f>
        <v>0</v>
      </c>
      <c r="S38" s="208">
        <f t="shared" si="3"/>
        <v>0</v>
      </c>
      <c r="T38" s="209">
        <f t="shared" si="5"/>
        <v>0</v>
      </c>
      <c r="U38" s="211">
        <f t="shared" si="4"/>
        <v>0</v>
      </c>
      <c r="V38" s="159" t="str">
        <f t="shared" si="6"/>
        <v>OK</v>
      </c>
      <c r="W38" s="471">
        <v>40030</v>
      </c>
      <c r="X38" s="159" t="s">
        <v>52</v>
      </c>
    </row>
    <row r="39" spans="1:24">
      <c r="A39" s="205"/>
      <c r="B39" s="206"/>
      <c r="C39" s="205"/>
      <c r="D39" s="214"/>
      <c r="E39" s="472"/>
      <c r="F39" s="473"/>
      <c r="G39" s="24">
        <f t="shared" si="8"/>
        <v>0</v>
      </c>
      <c r="H39" s="24">
        <f t="shared" si="7"/>
        <v>0</v>
      </c>
      <c r="I39" s="24">
        <f>IF(E39&gt;0,VLOOKUP(A39,'4a-Venta-Des.'!$A$19:$H$33,8,0),0)</f>
        <v>0</v>
      </c>
      <c r="J39" s="208">
        <f t="shared" si="0"/>
        <v>0</v>
      </c>
      <c r="K39" s="209">
        <f t="shared" si="1"/>
        <v>0</v>
      </c>
      <c r="L39" s="210">
        <f>IF(E39&gt;0,(VLOOKUP(A39,'4b-Venta-Comisión'!$A$59:$E$73,4,0)),0)</f>
        <v>0</v>
      </c>
      <c r="M39" s="24">
        <f>IF(L39="SI",VLOOKUP(A39,'4b-Venta-Comisión'!$A$59:$E$73,3,0),0)</f>
        <v>0</v>
      </c>
      <c r="N39" s="208">
        <f t="shared" si="2"/>
        <v>0</v>
      </c>
      <c r="O39" s="209">
        <f t="shared" si="10"/>
        <v>0</v>
      </c>
      <c r="P39" s="210" t="str">
        <f>IF(E39&gt;0,(VLOOKUP(A39,'4b-Venta-Comisión'!$A$36:$L$50,10,0)),"NO")</f>
        <v>NO</v>
      </c>
      <c r="Q39" s="210" t="str">
        <f>IF(E39&gt;0,(VLOOKUP(A39,'4b-Venta-Comisión'!$A$36:$L$50,11,0)),"NO")</f>
        <v>NO</v>
      </c>
      <c r="R39" s="24">
        <f>IF(P39="NO",0,IF(Q39="si",VLOOKUP(A39,'4b-Venta-Comisión'!$A$36:$L$50,12,0),IF(P39="SI",VLOOKUP(A39,'4b-Venta-Comisión'!$A$36:$L$50,8,0))))</f>
        <v>0</v>
      </c>
      <c r="S39" s="208">
        <f t="shared" si="3"/>
        <v>0</v>
      </c>
      <c r="T39" s="209">
        <f t="shared" si="5"/>
        <v>0</v>
      </c>
      <c r="U39" s="211">
        <f t="shared" si="4"/>
        <v>0</v>
      </c>
      <c r="V39" s="159" t="str">
        <f t="shared" si="6"/>
        <v>OK</v>
      </c>
      <c r="W39" s="471">
        <v>40031</v>
      </c>
      <c r="X39" s="159" t="s">
        <v>52</v>
      </c>
    </row>
    <row r="40" spans="1:24">
      <c r="A40" s="205"/>
      <c r="B40" s="206"/>
      <c r="C40" s="205"/>
      <c r="D40" s="214"/>
      <c r="E40" s="472"/>
      <c r="F40" s="473"/>
      <c r="G40" s="24">
        <f t="shared" si="8"/>
        <v>0</v>
      </c>
      <c r="H40" s="24">
        <f t="shared" si="7"/>
        <v>0</v>
      </c>
      <c r="I40" s="24">
        <f>IF(E40&gt;0,VLOOKUP(A40,'4a-Venta-Des.'!$A$19:$H$33,8,0),0)</f>
        <v>0</v>
      </c>
      <c r="J40" s="208">
        <f t="shared" si="0"/>
        <v>0</v>
      </c>
      <c r="K40" s="209">
        <f t="shared" si="1"/>
        <v>0</v>
      </c>
      <c r="L40" s="210">
        <f>IF(E40&gt;0,(VLOOKUP(A40,'4b-Venta-Comisión'!$A$59:$E$73,4,0)),0)</f>
        <v>0</v>
      </c>
      <c r="M40" s="24">
        <f>IF(L40="SI",VLOOKUP(A40,'4b-Venta-Comisión'!$A$59:$E$73,3,0),0)</f>
        <v>0</v>
      </c>
      <c r="N40" s="208">
        <f t="shared" si="2"/>
        <v>0</v>
      </c>
      <c r="O40" s="209">
        <f t="shared" si="10"/>
        <v>0</v>
      </c>
      <c r="P40" s="210" t="str">
        <f>IF(E40&gt;0,(VLOOKUP(A40,'4b-Venta-Comisión'!$A$36:$L$50,10,0)),"NO")</f>
        <v>NO</v>
      </c>
      <c r="Q40" s="210" t="str">
        <f>IF(E40&gt;0,(VLOOKUP(A40,'4b-Venta-Comisión'!$A$36:$L$50,11,0)),"NO")</f>
        <v>NO</v>
      </c>
      <c r="R40" s="24">
        <f>IF(P40="NO",0,IF(Q40="si",VLOOKUP(A40,'4b-Venta-Comisión'!$A$36:$L$50,12,0),IF(P40="SI",VLOOKUP(A40,'4b-Venta-Comisión'!$A$36:$L$50,8,0))))</f>
        <v>0</v>
      </c>
      <c r="S40" s="208">
        <f t="shared" si="3"/>
        <v>0</v>
      </c>
      <c r="T40" s="209">
        <f t="shared" si="5"/>
        <v>0</v>
      </c>
      <c r="U40" s="211">
        <f t="shared" si="4"/>
        <v>0</v>
      </c>
      <c r="V40" s="159" t="str">
        <f t="shared" si="6"/>
        <v>OK</v>
      </c>
      <c r="W40" s="471">
        <v>40032</v>
      </c>
      <c r="X40" s="159" t="s">
        <v>52</v>
      </c>
    </row>
    <row r="41" spans="1:24">
      <c r="A41" s="205"/>
      <c r="B41" s="206"/>
      <c r="C41" s="205"/>
      <c r="D41" s="214"/>
      <c r="E41" s="472"/>
      <c r="F41" s="473"/>
      <c r="G41" s="24">
        <f t="shared" si="8"/>
        <v>0</v>
      </c>
      <c r="H41" s="24">
        <f t="shared" si="7"/>
        <v>0</v>
      </c>
      <c r="I41" s="24">
        <f>IF(E41&gt;0,VLOOKUP(A41,'4a-Venta-Des.'!$A$19:$H$33,8,0),0)</f>
        <v>0</v>
      </c>
      <c r="J41" s="208">
        <f t="shared" si="0"/>
        <v>0</v>
      </c>
      <c r="K41" s="209">
        <f t="shared" si="1"/>
        <v>0</v>
      </c>
      <c r="L41" s="210">
        <f>IF(E41&gt;0,(VLOOKUP(A41,'4b-Venta-Comisión'!$A$59:$E$73,4,0)),0)</f>
        <v>0</v>
      </c>
      <c r="M41" s="24">
        <f>IF(L41="SI",VLOOKUP(A41,'4b-Venta-Comisión'!$A$59:$E$73,3,0),0)</f>
        <v>0</v>
      </c>
      <c r="N41" s="208">
        <f t="shared" si="2"/>
        <v>0</v>
      </c>
      <c r="O41" s="209">
        <f t="shared" si="10"/>
        <v>0</v>
      </c>
      <c r="P41" s="210" t="str">
        <f>IF(E41&gt;0,(VLOOKUP(A41,'4b-Venta-Comisión'!$A$36:$L$50,10,0)),"NO")</f>
        <v>NO</v>
      </c>
      <c r="Q41" s="210" t="str">
        <f>IF(E41&gt;0,(VLOOKUP(A41,'4b-Venta-Comisión'!$A$36:$L$50,11,0)),"NO")</f>
        <v>NO</v>
      </c>
      <c r="R41" s="24">
        <f>IF(P41="NO",0,IF(Q41="si",VLOOKUP(A41,'4b-Venta-Comisión'!$A$36:$L$50,12,0),IF(P41="SI",VLOOKUP(A41,'4b-Venta-Comisión'!$A$36:$L$50,8,0))))</f>
        <v>0</v>
      </c>
      <c r="S41" s="208">
        <f t="shared" si="3"/>
        <v>0</v>
      </c>
      <c r="T41" s="209">
        <f t="shared" si="5"/>
        <v>0</v>
      </c>
      <c r="U41" s="211">
        <f t="shared" si="4"/>
        <v>0</v>
      </c>
      <c r="V41" s="159" t="str">
        <f t="shared" si="6"/>
        <v>OK</v>
      </c>
      <c r="W41" s="471">
        <v>40033</v>
      </c>
      <c r="X41" s="159" t="s">
        <v>52</v>
      </c>
    </row>
    <row r="42" spans="1:24">
      <c r="A42" s="205"/>
      <c r="B42" s="206"/>
      <c r="C42" s="205"/>
      <c r="D42" s="214"/>
      <c r="E42" s="472"/>
      <c r="F42" s="473"/>
      <c r="G42" s="24">
        <f t="shared" si="8"/>
        <v>0</v>
      </c>
      <c r="H42" s="24">
        <f t="shared" si="7"/>
        <v>0</v>
      </c>
      <c r="I42" s="24">
        <f>IF(E42&gt;0,VLOOKUP(A42,'4a-Venta-Des.'!$A$19:$H$33,8,0),0)</f>
        <v>0</v>
      </c>
      <c r="J42" s="208">
        <f t="shared" si="0"/>
        <v>0</v>
      </c>
      <c r="K42" s="209">
        <f t="shared" si="1"/>
        <v>0</v>
      </c>
      <c r="L42" s="210">
        <f>IF(E42&gt;0,(VLOOKUP(A42,'4b-Venta-Comisión'!$A$59:$E$73,4,0)),0)</f>
        <v>0</v>
      </c>
      <c r="M42" s="24">
        <f>IF(L42="SI",VLOOKUP(A42,'4b-Venta-Comisión'!$A$59:$E$73,3,0),0)</f>
        <v>0</v>
      </c>
      <c r="N42" s="208">
        <f t="shared" si="2"/>
        <v>0</v>
      </c>
      <c r="O42" s="209">
        <f t="shared" si="10"/>
        <v>0</v>
      </c>
      <c r="P42" s="210" t="str">
        <f>IF(E42&gt;0,(VLOOKUP(A42,'4b-Venta-Comisión'!$A$36:$L$50,10,0)),"NO")</f>
        <v>NO</v>
      </c>
      <c r="Q42" s="210" t="str">
        <f>IF(E42&gt;0,(VLOOKUP(A42,'4b-Venta-Comisión'!$A$36:$L$50,11,0)),"NO")</f>
        <v>NO</v>
      </c>
      <c r="R42" s="24">
        <f>IF(P42="NO",0,IF(Q42="si",VLOOKUP(A42,'4b-Venta-Comisión'!$A$36:$L$50,12,0),IF(P42="SI",VLOOKUP(A42,'4b-Venta-Comisión'!$A$36:$L$50,8,0))))</f>
        <v>0</v>
      </c>
      <c r="S42" s="208">
        <f t="shared" si="3"/>
        <v>0</v>
      </c>
      <c r="T42" s="209">
        <f t="shared" si="5"/>
        <v>0</v>
      </c>
      <c r="U42" s="211">
        <f t="shared" si="4"/>
        <v>0</v>
      </c>
      <c r="V42" s="159" t="str">
        <f t="shared" si="6"/>
        <v>OK</v>
      </c>
      <c r="W42" s="471">
        <v>40034</v>
      </c>
      <c r="X42" s="159" t="s">
        <v>52</v>
      </c>
    </row>
    <row r="43" spans="1:24">
      <c r="A43" s="205"/>
      <c r="B43" s="206"/>
      <c r="C43" s="205"/>
      <c r="D43" s="214"/>
      <c r="E43" s="472"/>
      <c r="F43" s="473"/>
      <c r="G43" s="24">
        <f t="shared" si="8"/>
        <v>0</v>
      </c>
      <c r="H43" s="24">
        <f t="shared" si="7"/>
        <v>0</v>
      </c>
      <c r="I43" s="24">
        <f>IF(E43&gt;0,VLOOKUP(A43,'4a-Venta-Des.'!$A$19:$H$33,8,0),0)</f>
        <v>0</v>
      </c>
      <c r="J43" s="208">
        <f t="shared" si="0"/>
        <v>0</v>
      </c>
      <c r="K43" s="209">
        <f t="shared" si="1"/>
        <v>0</v>
      </c>
      <c r="L43" s="210">
        <f>IF(E43&gt;0,(VLOOKUP(A43,'4b-Venta-Comisión'!$A$59:$E$73,4,0)),0)</f>
        <v>0</v>
      </c>
      <c r="M43" s="24">
        <f>IF(L43="SI",VLOOKUP(A43,'4b-Venta-Comisión'!$A$59:$E$73,3,0),0)</f>
        <v>0</v>
      </c>
      <c r="N43" s="208">
        <f t="shared" si="2"/>
        <v>0</v>
      </c>
      <c r="O43" s="209">
        <f t="shared" si="10"/>
        <v>0</v>
      </c>
      <c r="P43" s="210" t="str">
        <f>IF(E43&gt;0,(VLOOKUP(A43,'4b-Venta-Comisión'!$A$36:$L$50,10,0)),"NO")</f>
        <v>NO</v>
      </c>
      <c r="Q43" s="210" t="str">
        <f>IF(E43&gt;0,(VLOOKUP(A43,'4b-Venta-Comisión'!$A$36:$L$50,11,0)),"NO")</f>
        <v>NO</v>
      </c>
      <c r="R43" s="24">
        <f>IF(P43="NO",0,IF(Q43="si",VLOOKUP(A43,'4b-Venta-Comisión'!$A$36:$L$50,12,0),IF(P43="SI",VLOOKUP(A43,'4b-Venta-Comisión'!$A$36:$L$50,8,0))))</f>
        <v>0</v>
      </c>
      <c r="S43" s="208">
        <f t="shared" si="3"/>
        <v>0</v>
      </c>
      <c r="T43" s="209">
        <f t="shared" si="5"/>
        <v>0</v>
      </c>
      <c r="U43" s="211">
        <f t="shared" si="4"/>
        <v>0</v>
      </c>
      <c r="V43" s="159" t="str">
        <f t="shared" si="6"/>
        <v>OK</v>
      </c>
      <c r="W43" s="471">
        <v>40035</v>
      </c>
      <c r="X43" s="159" t="s">
        <v>52</v>
      </c>
    </row>
    <row r="44" spans="1:24">
      <c r="A44" s="205"/>
      <c r="B44" s="206"/>
      <c r="C44" s="205"/>
      <c r="D44" s="214"/>
      <c r="E44" s="472"/>
      <c r="F44" s="473"/>
      <c r="G44" s="24">
        <f t="shared" si="8"/>
        <v>0</v>
      </c>
      <c r="H44" s="24">
        <f t="shared" si="7"/>
        <v>0</v>
      </c>
      <c r="I44" s="24">
        <f>IF(E44&gt;0,VLOOKUP(A44,'4a-Venta-Des.'!$A$19:$H$33,8,0),0)</f>
        <v>0</v>
      </c>
      <c r="J44" s="208">
        <f t="shared" ref="J44:J69" si="11">+I44*F44</f>
        <v>0</v>
      </c>
      <c r="K44" s="209">
        <f t="shared" ref="K44:K69" si="12">F44-J44-E44</f>
        <v>0</v>
      </c>
      <c r="L44" s="210">
        <f>IF(E44&gt;0,(VLOOKUP(A44,'4b-Venta-Comisión'!$A$59:$E$73,4,0)),0)</f>
        <v>0</v>
      </c>
      <c r="M44" s="24">
        <f>IF(L44="SI",VLOOKUP(A44,'4b-Venta-Comisión'!$A$59:$E$73,3,0),0)</f>
        <v>0</v>
      </c>
      <c r="N44" s="208">
        <f t="shared" ref="N44:N69" si="13">+M44*F44</f>
        <v>0</v>
      </c>
      <c r="O44" s="209">
        <f t="shared" si="10"/>
        <v>0</v>
      </c>
      <c r="P44" s="210" t="str">
        <f>IF(E44&gt;0,(VLOOKUP(A44,'4b-Venta-Comisión'!$A$36:$L$50,10,0)),"NO")</f>
        <v>NO</v>
      </c>
      <c r="Q44" s="210" t="str">
        <f>IF(E44&gt;0,(VLOOKUP(A44,'4b-Venta-Comisión'!$A$36:$L$50,11,0)),"NO")</f>
        <v>NO</v>
      </c>
      <c r="R44" s="24">
        <f>IF(P44="NO",0,IF(Q44="si",VLOOKUP(A44,'4b-Venta-Comisión'!$A$36:$L$50,12,0),IF(P44="SI",VLOOKUP(A44,'4b-Venta-Comisión'!$A$36:$L$50,8,0))))</f>
        <v>0</v>
      </c>
      <c r="S44" s="208">
        <f t="shared" ref="S44:S69" si="14">+R44*(F44-J44)</f>
        <v>0</v>
      </c>
      <c r="T44" s="209">
        <f t="shared" si="5"/>
        <v>0</v>
      </c>
      <c r="U44" s="211">
        <f t="shared" ref="U44:U70" si="15">IF(T44=0,0,(T44/F44))</f>
        <v>0</v>
      </c>
      <c r="V44" s="159" t="str">
        <f t="shared" si="6"/>
        <v>OK</v>
      </c>
      <c r="W44" s="471">
        <v>40036</v>
      </c>
      <c r="X44" s="159" t="s">
        <v>52</v>
      </c>
    </row>
    <row r="45" spans="1:24">
      <c r="A45" s="205"/>
      <c r="B45" s="206"/>
      <c r="C45" s="205"/>
      <c r="D45" s="214"/>
      <c r="E45" s="472"/>
      <c r="F45" s="473"/>
      <c r="G45" s="24">
        <f t="shared" si="8"/>
        <v>0</v>
      </c>
      <c r="H45" s="24">
        <f t="shared" si="7"/>
        <v>0</v>
      </c>
      <c r="I45" s="24">
        <f>IF(E45&gt;0,VLOOKUP(A45,'4a-Venta-Des.'!$A$19:$H$33,8,0),0)</f>
        <v>0</v>
      </c>
      <c r="J45" s="208">
        <f t="shared" si="11"/>
        <v>0</v>
      </c>
      <c r="K45" s="209">
        <f t="shared" si="12"/>
        <v>0</v>
      </c>
      <c r="L45" s="210">
        <f>IF(E45&gt;0,(VLOOKUP(A45,'4b-Venta-Comisión'!$A$59:$E$73,4,0)),0)</f>
        <v>0</v>
      </c>
      <c r="M45" s="24">
        <f>IF(L45="SI",VLOOKUP(A45,'4b-Venta-Comisión'!$A$59:$E$73,3,0),0)</f>
        <v>0</v>
      </c>
      <c r="N45" s="208">
        <f t="shared" si="13"/>
        <v>0</v>
      </c>
      <c r="O45" s="209">
        <f t="shared" si="10"/>
        <v>0</v>
      </c>
      <c r="P45" s="210" t="str">
        <f>IF(E45&gt;0,(VLOOKUP(A45,'4b-Venta-Comisión'!$A$36:$L$50,10,0)),"NO")</f>
        <v>NO</v>
      </c>
      <c r="Q45" s="210" t="str">
        <f>IF(E45&gt;0,(VLOOKUP(A45,'4b-Venta-Comisión'!$A$36:$L$50,11,0)),"NO")</f>
        <v>NO</v>
      </c>
      <c r="R45" s="24">
        <f>IF(P45="NO",0,IF(Q45="si",VLOOKUP(A45,'4b-Venta-Comisión'!$A$36:$L$50,12,0),IF(P45="SI",VLOOKUP(A45,'4b-Venta-Comisión'!$A$36:$L$50,8,0))))</f>
        <v>0</v>
      </c>
      <c r="S45" s="208">
        <f t="shared" si="14"/>
        <v>0</v>
      </c>
      <c r="T45" s="209">
        <f t="shared" si="5"/>
        <v>0</v>
      </c>
      <c r="U45" s="211">
        <f t="shared" si="15"/>
        <v>0</v>
      </c>
      <c r="V45" s="159" t="str">
        <f t="shared" si="6"/>
        <v>OK</v>
      </c>
      <c r="W45" s="471">
        <v>40037</v>
      </c>
      <c r="X45" s="159" t="s">
        <v>52</v>
      </c>
    </row>
    <row r="46" spans="1:24">
      <c r="A46" s="205"/>
      <c r="B46" s="206"/>
      <c r="C46" s="205"/>
      <c r="D46" s="214"/>
      <c r="E46" s="472"/>
      <c r="F46" s="473"/>
      <c r="G46" s="24">
        <f t="shared" si="8"/>
        <v>0</v>
      </c>
      <c r="H46" s="24">
        <f t="shared" si="7"/>
        <v>0</v>
      </c>
      <c r="I46" s="24">
        <f>IF(E46&gt;0,VLOOKUP(A46,'4a-Venta-Des.'!$A$19:$H$33,8,0),0)</f>
        <v>0</v>
      </c>
      <c r="J46" s="208">
        <f t="shared" si="11"/>
        <v>0</v>
      </c>
      <c r="K46" s="209">
        <f t="shared" si="12"/>
        <v>0</v>
      </c>
      <c r="L46" s="210">
        <f>IF(E46&gt;0,(VLOOKUP(A46,'4b-Venta-Comisión'!$A$59:$E$73,4,0)),0)</f>
        <v>0</v>
      </c>
      <c r="M46" s="24">
        <f>IF(L46="SI",VLOOKUP(A46,'4b-Venta-Comisión'!$A$59:$E$73,3,0),0)</f>
        <v>0</v>
      </c>
      <c r="N46" s="208">
        <f t="shared" si="13"/>
        <v>0</v>
      </c>
      <c r="O46" s="209">
        <f t="shared" si="10"/>
        <v>0</v>
      </c>
      <c r="P46" s="210" t="str">
        <f>IF(E46&gt;0,(VLOOKUP(A46,'4b-Venta-Comisión'!$A$36:$L$50,10,0)),"NO")</f>
        <v>NO</v>
      </c>
      <c r="Q46" s="210" t="str">
        <f>IF(E46&gt;0,(VLOOKUP(A46,'4b-Venta-Comisión'!$A$36:$L$50,11,0)),"NO")</f>
        <v>NO</v>
      </c>
      <c r="R46" s="24">
        <f>IF(P46="NO",0,IF(Q46="si",VLOOKUP(A46,'4b-Venta-Comisión'!$A$36:$L$50,12,0),IF(P46="SI",VLOOKUP(A46,'4b-Venta-Comisión'!$A$36:$L$50,8,0))))</f>
        <v>0</v>
      </c>
      <c r="S46" s="208">
        <f t="shared" si="14"/>
        <v>0</v>
      </c>
      <c r="T46" s="209">
        <f t="shared" si="5"/>
        <v>0</v>
      </c>
      <c r="U46" s="211">
        <f t="shared" si="15"/>
        <v>0</v>
      </c>
      <c r="V46" s="159" t="str">
        <f t="shared" si="6"/>
        <v>OK</v>
      </c>
      <c r="W46" s="471">
        <v>40038</v>
      </c>
      <c r="X46" s="159" t="s">
        <v>52</v>
      </c>
    </row>
    <row r="47" spans="1:24">
      <c r="A47" s="205"/>
      <c r="B47" s="206"/>
      <c r="C47" s="205"/>
      <c r="D47" s="214"/>
      <c r="E47" s="472"/>
      <c r="F47" s="473"/>
      <c r="G47" s="24">
        <f t="shared" si="8"/>
        <v>0</v>
      </c>
      <c r="H47" s="24">
        <f t="shared" si="7"/>
        <v>0</v>
      </c>
      <c r="I47" s="24">
        <f>IF(E47&gt;0,VLOOKUP(A47,'4a-Venta-Des.'!$A$19:$H$33,8,0),0)</f>
        <v>0</v>
      </c>
      <c r="J47" s="208">
        <f t="shared" si="11"/>
        <v>0</v>
      </c>
      <c r="K47" s="209">
        <f t="shared" si="12"/>
        <v>0</v>
      </c>
      <c r="L47" s="210">
        <f>IF(E47&gt;0,(VLOOKUP(A47,'4b-Venta-Comisión'!$A$59:$E$73,4,0)),0)</f>
        <v>0</v>
      </c>
      <c r="M47" s="24">
        <f>IF(L47="SI",VLOOKUP(A47,'4b-Venta-Comisión'!$A$59:$E$73,3,0),0)</f>
        <v>0</v>
      </c>
      <c r="N47" s="208">
        <f t="shared" si="13"/>
        <v>0</v>
      </c>
      <c r="O47" s="209">
        <f t="shared" si="10"/>
        <v>0</v>
      </c>
      <c r="P47" s="210" t="str">
        <f>IF(E47&gt;0,(VLOOKUP(A47,'4b-Venta-Comisión'!$A$36:$L$50,10,0)),"NO")</f>
        <v>NO</v>
      </c>
      <c r="Q47" s="210" t="str">
        <f>IF(E47&gt;0,(VLOOKUP(A47,'4b-Venta-Comisión'!$A$36:$L$50,11,0)),"NO")</f>
        <v>NO</v>
      </c>
      <c r="R47" s="24">
        <f>IF(P47="NO",0,IF(Q47="si",VLOOKUP(A47,'4b-Venta-Comisión'!$A$36:$L$50,12,0),IF(P47="SI",VLOOKUP(A47,'4b-Venta-Comisión'!$A$36:$L$50,8,0))))</f>
        <v>0</v>
      </c>
      <c r="S47" s="208">
        <f t="shared" si="14"/>
        <v>0</v>
      </c>
      <c r="T47" s="209">
        <f t="shared" si="5"/>
        <v>0</v>
      </c>
      <c r="U47" s="211">
        <f t="shared" si="15"/>
        <v>0</v>
      </c>
      <c r="V47" s="159" t="str">
        <f t="shared" si="6"/>
        <v>OK</v>
      </c>
      <c r="W47" s="471">
        <v>40039</v>
      </c>
      <c r="X47" s="159" t="s">
        <v>52</v>
      </c>
    </row>
    <row r="48" spans="1:24">
      <c r="A48" s="205"/>
      <c r="B48" s="206"/>
      <c r="C48" s="205"/>
      <c r="D48" s="214"/>
      <c r="E48" s="472"/>
      <c r="F48" s="473"/>
      <c r="G48" s="24">
        <f t="shared" si="8"/>
        <v>0</v>
      </c>
      <c r="H48" s="24">
        <f t="shared" si="7"/>
        <v>0</v>
      </c>
      <c r="I48" s="24">
        <f>IF(E48&gt;0,VLOOKUP(A48,'4a-Venta-Des.'!$A$19:$H$33,8,0),0)</f>
        <v>0</v>
      </c>
      <c r="J48" s="208">
        <f t="shared" si="11"/>
        <v>0</v>
      </c>
      <c r="K48" s="209">
        <f t="shared" si="12"/>
        <v>0</v>
      </c>
      <c r="L48" s="210">
        <f>IF(E48&gt;0,(VLOOKUP(A48,'4b-Venta-Comisión'!$A$59:$E$73,4,0)),0)</f>
        <v>0</v>
      </c>
      <c r="M48" s="24">
        <f>IF(L48="SI",VLOOKUP(A48,'4b-Venta-Comisión'!$A$59:$E$73,3,0),0)</f>
        <v>0</v>
      </c>
      <c r="N48" s="208">
        <f t="shared" si="13"/>
        <v>0</v>
      </c>
      <c r="O48" s="209">
        <f t="shared" si="10"/>
        <v>0</v>
      </c>
      <c r="P48" s="210" t="str">
        <f>IF(E48&gt;0,(VLOOKUP(A48,'4b-Venta-Comisión'!$A$36:$L$50,10,0)),"NO")</f>
        <v>NO</v>
      </c>
      <c r="Q48" s="210" t="str">
        <f>IF(E48&gt;0,(VLOOKUP(A48,'4b-Venta-Comisión'!$A$36:$L$50,11,0)),"NO")</f>
        <v>NO</v>
      </c>
      <c r="R48" s="24">
        <f>IF(P48="NO",0,IF(Q48="si",VLOOKUP(A48,'4b-Venta-Comisión'!$A$36:$L$50,12,0),IF(P48="SI",VLOOKUP(A48,'4b-Venta-Comisión'!$A$36:$L$50,8,0))))</f>
        <v>0</v>
      </c>
      <c r="S48" s="208">
        <f t="shared" si="14"/>
        <v>0</v>
      </c>
      <c r="T48" s="209">
        <f t="shared" si="5"/>
        <v>0</v>
      </c>
      <c r="U48" s="211">
        <f t="shared" si="15"/>
        <v>0</v>
      </c>
      <c r="V48" s="159" t="str">
        <f t="shared" si="6"/>
        <v>OK</v>
      </c>
      <c r="W48" s="471">
        <v>40040</v>
      </c>
      <c r="X48" s="159" t="s">
        <v>52</v>
      </c>
    </row>
    <row r="49" spans="1:24">
      <c r="A49" s="205"/>
      <c r="B49" s="206"/>
      <c r="C49" s="205"/>
      <c r="D49" s="214"/>
      <c r="E49" s="472"/>
      <c r="F49" s="473"/>
      <c r="G49" s="24">
        <f t="shared" si="8"/>
        <v>0</v>
      </c>
      <c r="H49" s="24">
        <f t="shared" si="7"/>
        <v>0</v>
      </c>
      <c r="I49" s="24">
        <f>IF(E49&gt;0,VLOOKUP(A49,'4a-Venta-Des.'!$A$19:$H$33,8,0),0)</f>
        <v>0</v>
      </c>
      <c r="J49" s="208">
        <f t="shared" si="11"/>
        <v>0</v>
      </c>
      <c r="K49" s="209">
        <f t="shared" si="12"/>
        <v>0</v>
      </c>
      <c r="L49" s="210">
        <f>IF(E49&gt;0,(VLOOKUP(A49,'4b-Venta-Comisión'!$A$59:$E$73,4,0)),0)</f>
        <v>0</v>
      </c>
      <c r="M49" s="24">
        <f>IF(L49="SI",VLOOKUP(A49,'4b-Venta-Comisión'!$A$59:$E$73,3,0),0)</f>
        <v>0</v>
      </c>
      <c r="N49" s="208">
        <f t="shared" si="13"/>
        <v>0</v>
      </c>
      <c r="O49" s="209">
        <f>+K49-N49</f>
        <v>0</v>
      </c>
      <c r="P49" s="210" t="str">
        <f>IF(E49&gt;0,(VLOOKUP(A49,'4b-Venta-Comisión'!$A$36:$L$50,10,0)),"NO")</f>
        <v>NO</v>
      </c>
      <c r="Q49" s="210" t="str">
        <f>IF(E49&gt;0,(VLOOKUP(A49,'4b-Venta-Comisión'!$A$36:$L$50,11,0)),"NO")</f>
        <v>NO</v>
      </c>
      <c r="R49" s="24">
        <f>IF(P49="NO",0,IF(Q49="si",VLOOKUP(A49,'4b-Venta-Comisión'!$A$36:$L$50,12,0),IF(P49="SI",VLOOKUP(A49,'4b-Venta-Comisión'!$A$36:$L$50,8,0))))</f>
        <v>0</v>
      </c>
      <c r="S49" s="208">
        <f t="shared" si="14"/>
        <v>0</v>
      </c>
      <c r="T49" s="209">
        <f t="shared" si="5"/>
        <v>0</v>
      </c>
      <c r="U49" s="211">
        <f t="shared" si="15"/>
        <v>0</v>
      </c>
      <c r="V49" s="159" t="str">
        <f t="shared" si="6"/>
        <v>OK</v>
      </c>
      <c r="W49" s="471">
        <v>40041</v>
      </c>
      <c r="X49" s="159" t="s">
        <v>52</v>
      </c>
    </row>
    <row r="50" spans="1:24">
      <c r="A50" s="205"/>
      <c r="B50" s="206"/>
      <c r="C50" s="205"/>
      <c r="D50" s="214"/>
      <c r="E50" s="472"/>
      <c r="F50" s="473"/>
      <c r="G50" s="24">
        <f t="shared" si="8"/>
        <v>0</v>
      </c>
      <c r="H50" s="24">
        <f t="shared" si="7"/>
        <v>0</v>
      </c>
      <c r="I50" s="24">
        <f>IF(E50&gt;0,VLOOKUP(A50,'4a-Venta-Des.'!$A$19:$H$33,8,0),0)</f>
        <v>0</v>
      </c>
      <c r="J50" s="208">
        <f t="shared" si="11"/>
        <v>0</v>
      </c>
      <c r="K50" s="209">
        <f t="shared" si="12"/>
        <v>0</v>
      </c>
      <c r="L50" s="210">
        <f>IF(E50&gt;0,(VLOOKUP(A50,'4b-Venta-Comisión'!$A$59:$E$73,4,0)),0)</f>
        <v>0</v>
      </c>
      <c r="M50" s="24">
        <f>IF(L50="SI",VLOOKUP(A50,'4b-Venta-Comisión'!$A$59:$E$73,3,0),0)</f>
        <v>0</v>
      </c>
      <c r="N50" s="208">
        <f t="shared" si="13"/>
        <v>0</v>
      </c>
      <c r="O50" s="209">
        <f>+K50-N50</f>
        <v>0</v>
      </c>
      <c r="P50" s="210" t="str">
        <f>IF(E50&gt;0,(VLOOKUP(A50,'4b-Venta-Comisión'!$A$36:$L$50,10,0)),"NO")</f>
        <v>NO</v>
      </c>
      <c r="Q50" s="210" t="str">
        <f>IF(E50&gt;0,(VLOOKUP(A50,'4b-Venta-Comisión'!$A$36:$L$50,11,0)),"NO")</f>
        <v>NO</v>
      </c>
      <c r="R50" s="24">
        <f>IF(P50="NO",0,IF(Q50="si",VLOOKUP(A50,'4b-Venta-Comisión'!$A$36:$L$50,12,0),IF(P50="SI",VLOOKUP(A50,'4b-Venta-Comisión'!$A$36:$L$50,8,0))))</f>
        <v>0</v>
      </c>
      <c r="S50" s="208">
        <f t="shared" si="14"/>
        <v>0</v>
      </c>
      <c r="T50" s="209">
        <f t="shared" si="5"/>
        <v>0</v>
      </c>
      <c r="U50" s="211">
        <f t="shared" si="15"/>
        <v>0</v>
      </c>
      <c r="V50" s="159" t="str">
        <f t="shared" si="6"/>
        <v>OK</v>
      </c>
      <c r="W50" s="471">
        <v>40042</v>
      </c>
      <c r="X50" s="159" t="s">
        <v>52</v>
      </c>
    </row>
    <row r="51" spans="1:24">
      <c r="A51" s="205"/>
      <c r="B51" s="206"/>
      <c r="C51" s="205"/>
      <c r="D51" s="214"/>
      <c r="E51" s="472"/>
      <c r="F51" s="473"/>
      <c r="G51" s="24">
        <f t="shared" si="8"/>
        <v>0</v>
      </c>
      <c r="H51" s="24">
        <f t="shared" si="7"/>
        <v>0</v>
      </c>
      <c r="I51" s="24">
        <f>IF(E51&gt;0,VLOOKUP(A51,'4a-Venta-Des.'!$A$19:$H$33,8,0),0)</f>
        <v>0</v>
      </c>
      <c r="J51" s="208">
        <f t="shared" si="11"/>
        <v>0</v>
      </c>
      <c r="K51" s="209">
        <f t="shared" si="12"/>
        <v>0</v>
      </c>
      <c r="L51" s="210">
        <f>IF(E51&gt;0,(VLOOKUP(A51,'4b-Venta-Comisión'!$A$59:$E$73,4,0)),0)</f>
        <v>0</v>
      </c>
      <c r="M51" s="24">
        <f>IF(L51="SI",VLOOKUP(A51,'4b-Venta-Comisión'!$A$59:$E$73,3,0),0)</f>
        <v>0</v>
      </c>
      <c r="N51" s="208">
        <f t="shared" si="13"/>
        <v>0</v>
      </c>
      <c r="O51" s="209">
        <f t="shared" ref="O51:O69" si="16">+K51-N51</f>
        <v>0</v>
      </c>
      <c r="P51" s="210" t="str">
        <f>IF(E51&gt;0,(VLOOKUP(A51,'4b-Venta-Comisión'!$A$36:$L$50,10,0)),"NO")</f>
        <v>NO</v>
      </c>
      <c r="Q51" s="210" t="str">
        <f>IF(E51&gt;0,(VLOOKUP(A51,'4b-Venta-Comisión'!$A$36:$L$50,11,0)),"NO")</f>
        <v>NO</v>
      </c>
      <c r="R51" s="24">
        <f>IF(P51="NO",0,IF(Q51="si",VLOOKUP(A51,'4b-Venta-Comisión'!$A$36:$L$50,12,0),IF(P51="SI",VLOOKUP(A51,'4b-Venta-Comisión'!$A$36:$L$50,8,0))))</f>
        <v>0</v>
      </c>
      <c r="S51" s="208">
        <f t="shared" si="14"/>
        <v>0</v>
      </c>
      <c r="T51" s="209">
        <f t="shared" si="5"/>
        <v>0</v>
      </c>
      <c r="U51" s="211">
        <f t="shared" si="15"/>
        <v>0</v>
      </c>
      <c r="V51" s="159" t="str">
        <f t="shared" si="6"/>
        <v>OK</v>
      </c>
      <c r="W51" s="471">
        <v>40043</v>
      </c>
      <c r="X51" s="159" t="s">
        <v>52</v>
      </c>
    </row>
    <row r="52" spans="1:24">
      <c r="A52" s="205"/>
      <c r="B52" s="206"/>
      <c r="C52" s="205"/>
      <c r="D52" s="214"/>
      <c r="E52" s="472"/>
      <c r="F52" s="473"/>
      <c r="G52" s="24">
        <f t="shared" si="8"/>
        <v>0</v>
      </c>
      <c r="H52" s="24">
        <f t="shared" si="7"/>
        <v>0</v>
      </c>
      <c r="I52" s="24">
        <f>IF(E52&gt;0,VLOOKUP(A52,'4a-Venta-Des.'!$A$19:$H$33,8,0),0)</f>
        <v>0</v>
      </c>
      <c r="J52" s="208">
        <f t="shared" si="11"/>
        <v>0</v>
      </c>
      <c r="K52" s="209">
        <f t="shared" si="12"/>
        <v>0</v>
      </c>
      <c r="L52" s="210">
        <f>IF(E52&gt;0,(VLOOKUP(A52,'4b-Venta-Comisión'!$A$59:$E$73,4,0)),0)</f>
        <v>0</v>
      </c>
      <c r="M52" s="24">
        <f>IF(L52="SI",VLOOKUP(A52,'4b-Venta-Comisión'!$A$59:$E$73,3,0),0)</f>
        <v>0</v>
      </c>
      <c r="N52" s="208">
        <f t="shared" si="13"/>
        <v>0</v>
      </c>
      <c r="O52" s="209">
        <f t="shared" si="16"/>
        <v>0</v>
      </c>
      <c r="P52" s="210" t="str">
        <f>IF(E52&gt;0,(VLOOKUP(A52,'4b-Venta-Comisión'!$A$36:$L$50,10,0)),"NO")</f>
        <v>NO</v>
      </c>
      <c r="Q52" s="210" t="str">
        <f>IF(E52&gt;0,(VLOOKUP(A52,'4b-Venta-Comisión'!$A$36:$L$50,11,0)),"NO")</f>
        <v>NO</v>
      </c>
      <c r="R52" s="24">
        <f>IF(P52="NO",0,IF(Q52="si",VLOOKUP(A52,'4b-Venta-Comisión'!$A$36:$L$50,12,0),IF(P52="SI",VLOOKUP(A52,'4b-Venta-Comisión'!$A$36:$L$50,8,0))))</f>
        <v>0</v>
      </c>
      <c r="S52" s="208">
        <f t="shared" si="14"/>
        <v>0</v>
      </c>
      <c r="T52" s="209">
        <f t="shared" si="5"/>
        <v>0</v>
      </c>
      <c r="U52" s="211">
        <f t="shared" si="15"/>
        <v>0</v>
      </c>
      <c r="V52" s="159" t="str">
        <f t="shared" si="6"/>
        <v>OK</v>
      </c>
      <c r="W52" s="471">
        <v>40044</v>
      </c>
      <c r="X52" s="159" t="s">
        <v>52</v>
      </c>
    </row>
    <row r="53" spans="1:24">
      <c r="A53" s="205"/>
      <c r="B53" s="206"/>
      <c r="C53" s="205"/>
      <c r="D53" s="214"/>
      <c r="E53" s="472"/>
      <c r="F53" s="473"/>
      <c r="G53" s="24">
        <f t="shared" si="8"/>
        <v>0</v>
      </c>
      <c r="H53" s="24">
        <f t="shared" si="7"/>
        <v>0</v>
      </c>
      <c r="I53" s="24">
        <f>IF(E53&gt;0,VLOOKUP(A53,'4a-Venta-Des.'!$A$19:$H$33,8,0),0)</f>
        <v>0</v>
      </c>
      <c r="J53" s="208">
        <f t="shared" si="11"/>
        <v>0</v>
      </c>
      <c r="K53" s="209">
        <f t="shared" si="12"/>
        <v>0</v>
      </c>
      <c r="L53" s="210">
        <f>IF(E53&gt;0,(VLOOKUP(A53,'4b-Venta-Comisión'!$A$59:$E$73,4,0)),0)</f>
        <v>0</v>
      </c>
      <c r="M53" s="24">
        <f>IF(L53="SI",VLOOKUP(A53,'4b-Venta-Comisión'!$A$59:$E$73,3,0),0)</f>
        <v>0</v>
      </c>
      <c r="N53" s="208">
        <f t="shared" si="13"/>
        <v>0</v>
      </c>
      <c r="O53" s="209">
        <f t="shared" si="16"/>
        <v>0</v>
      </c>
      <c r="P53" s="210" t="str">
        <f>IF(E53&gt;0,(VLOOKUP(A53,'4b-Venta-Comisión'!$A$36:$L$50,10,0)),"NO")</f>
        <v>NO</v>
      </c>
      <c r="Q53" s="210" t="str">
        <f>IF(E53&gt;0,(VLOOKUP(A53,'4b-Venta-Comisión'!$A$36:$L$50,11,0)),"NO")</f>
        <v>NO</v>
      </c>
      <c r="R53" s="24">
        <f>IF(P53="NO",0,IF(Q53="si",VLOOKUP(A53,'4b-Venta-Comisión'!$A$36:$L$50,12,0),IF(P53="SI",VLOOKUP(A53,'4b-Venta-Comisión'!$A$36:$L$50,8,0))))</f>
        <v>0</v>
      </c>
      <c r="S53" s="208">
        <f t="shared" si="14"/>
        <v>0</v>
      </c>
      <c r="T53" s="209">
        <f t="shared" si="5"/>
        <v>0</v>
      </c>
      <c r="U53" s="211">
        <f t="shared" si="15"/>
        <v>0</v>
      </c>
      <c r="V53" s="159" t="str">
        <f t="shared" si="6"/>
        <v>OK</v>
      </c>
      <c r="W53" s="471">
        <v>40045</v>
      </c>
      <c r="X53" s="159" t="s">
        <v>52</v>
      </c>
    </row>
    <row r="54" spans="1:24">
      <c r="A54" s="205"/>
      <c r="B54" s="206"/>
      <c r="C54" s="205"/>
      <c r="D54" s="214"/>
      <c r="E54" s="472"/>
      <c r="F54" s="473"/>
      <c r="G54" s="24">
        <f t="shared" si="8"/>
        <v>0</v>
      </c>
      <c r="H54" s="24">
        <f t="shared" si="7"/>
        <v>0</v>
      </c>
      <c r="I54" s="24">
        <f>IF(E54&gt;0,VLOOKUP(A54,'4a-Venta-Des.'!$A$19:$H$33,8,0),0)</f>
        <v>0</v>
      </c>
      <c r="J54" s="208">
        <f t="shared" si="11"/>
        <v>0</v>
      </c>
      <c r="K54" s="209">
        <f t="shared" si="12"/>
        <v>0</v>
      </c>
      <c r="L54" s="210">
        <f>IF(E54&gt;0,(VLOOKUP(A54,'4b-Venta-Comisión'!$A$59:$E$73,4,0)),0)</f>
        <v>0</v>
      </c>
      <c r="M54" s="24">
        <f>IF(L54="SI",VLOOKUP(A54,'4b-Venta-Comisión'!$A$59:$E$73,3,0),0)</f>
        <v>0</v>
      </c>
      <c r="N54" s="208">
        <f t="shared" si="13"/>
        <v>0</v>
      </c>
      <c r="O54" s="209">
        <f t="shared" si="16"/>
        <v>0</v>
      </c>
      <c r="P54" s="210" t="str">
        <f>IF(E54&gt;0,(VLOOKUP(A54,'4b-Venta-Comisión'!$A$36:$L$50,10,0)),"NO")</f>
        <v>NO</v>
      </c>
      <c r="Q54" s="210" t="str">
        <f>IF(E54&gt;0,(VLOOKUP(A54,'4b-Venta-Comisión'!$A$36:$L$50,11,0)),"NO")</f>
        <v>NO</v>
      </c>
      <c r="R54" s="24">
        <f>IF(P54="NO",0,IF(Q54="si",VLOOKUP(A54,'4b-Venta-Comisión'!$A$36:$L$50,12,0),IF(P54="SI",VLOOKUP(A54,'4b-Venta-Comisión'!$A$36:$L$50,8,0))))</f>
        <v>0</v>
      </c>
      <c r="S54" s="208">
        <f t="shared" si="14"/>
        <v>0</v>
      </c>
      <c r="T54" s="209">
        <f t="shared" si="5"/>
        <v>0</v>
      </c>
      <c r="U54" s="211">
        <f t="shared" si="15"/>
        <v>0</v>
      </c>
      <c r="V54" s="159" t="str">
        <f t="shared" si="6"/>
        <v>OK</v>
      </c>
      <c r="W54" s="471">
        <v>40046</v>
      </c>
      <c r="X54" s="159" t="s">
        <v>52</v>
      </c>
    </row>
    <row r="55" spans="1:24">
      <c r="A55" s="205"/>
      <c r="B55" s="206"/>
      <c r="C55" s="205"/>
      <c r="D55" s="214"/>
      <c r="E55" s="472"/>
      <c r="F55" s="473"/>
      <c r="G55" s="24">
        <f t="shared" si="8"/>
        <v>0</v>
      </c>
      <c r="H55" s="24">
        <f t="shared" si="7"/>
        <v>0</v>
      </c>
      <c r="I55" s="24">
        <f>IF(E55&gt;0,VLOOKUP(A55,'4a-Venta-Des.'!$A$19:$H$33,8,0),0)</f>
        <v>0</v>
      </c>
      <c r="J55" s="208">
        <f t="shared" si="11"/>
        <v>0</v>
      </c>
      <c r="K55" s="209">
        <f t="shared" si="12"/>
        <v>0</v>
      </c>
      <c r="L55" s="210">
        <f>IF(E55&gt;0,(VLOOKUP(A55,'4b-Venta-Comisión'!$A$59:$E$73,4,0)),0)</f>
        <v>0</v>
      </c>
      <c r="M55" s="24">
        <f>IF(L55="SI",VLOOKUP(A55,'4b-Venta-Comisión'!$A$59:$E$73,3,0),0)</f>
        <v>0</v>
      </c>
      <c r="N55" s="208">
        <f t="shared" si="13"/>
        <v>0</v>
      </c>
      <c r="O55" s="209">
        <f t="shared" si="16"/>
        <v>0</v>
      </c>
      <c r="P55" s="210" t="str">
        <f>IF(E55&gt;0,(VLOOKUP(A55,'4b-Venta-Comisión'!$A$36:$L$50,10,0)),"NO")</f>
        <v>NO</v>
      </c>
      <c r="Q55" s="210" t="str">
        <f>IF(E55&gt;0,(VLOOKUP(A55,'4b-Venta-Comisión'!$A$36:$L$50,11,0)),"NO")</f>
        <v>NO</v>
      </c>
      <c r="R55" s="24">
        <f>IF(P55="NO",0,IF(Q55="si",VLOOKUP(A55,'4b-Venta-Comisión'!$A$36:$L$50,12,0),IF(P55="SI",VLOOKUP(A55,'4b-Venta-Comisión'!$A$36:$L$50,8,0))))</f>
        <v>0</v>
      </c>
      <c r="S55" s="208">
        <f t="shared" si="14"/>
        <v>0</v>
      </c>
      <c r="T55" s="209">
        <f t="shared" si="5"/>
        <v>0</v>
      </c>
      <c r="U55" s="211">
        <f t="shared" si="15"/>
        <v>0</v>
      </c>
      <c r="V55" s="159" t="str">
        <f t="shared" si="6"/>
        <v>OK</v>
      </c>
      <c r="W55" s="471">
        <v>40047</v>
      </c>
      <c r="X55" s="159" t="s">
        <v>52</v>
      </c>
    </row>
    <row r="56" spans="1:24">
      <c r="A56" s="205"/>
      <c r="B56" s="206"/>
      <c r="C56" s="205"/>
      <c r="D56" s="214"/>
      <c r="E56" s="472"/>
      <c r="F56" s="473"/>
      <c r="G56" s="24">
        <f t="shared" si="8"/>
        <v>0</v>
      </c>
      <c r="H56" s="24">
        <f t="shared" si="7"/>
        <v>0</v>
      </c>
      <c r="I56" s="24">
        <f>IF(E56&gt;0,VLOOKUP(A56,'4a-Venta-Des.'!$A$19:$H$33,8,0),0)</f>
        <v>0</v>
      </c>
      <c r="J56" s="208">
        <f t="shared" si="11"/>
        <v>0</v>
      </c>
      <c r="K56" s="209">
        <f t="shared" si="12"/>
        <v>0</v>
      </c>
      <c r="L56" s="210">
        <f>IF(E56&gt;0,(VLOOKUP(A56,'4b-Venta-Comisión'!$A$59:$E$73,4,0)),0)</f>
        <v>0</v>
      </c>
      <c r="M56" s="24">
        <f>IF(L56="SI",VLOOKUP(A56,'4b-Venta-Comisión'!$A$59:$E$73,3,0),0)</f>
        <v>0</v>
      </c>
      <c r="N56" s="208">
        <f t="shared" si="13"/>
        <v>0</v>
      </c>
      <c r="O56" s="209">
        <f t="shared" si="16"/>
        <v>0</v>
      </c>
      <c r="P56" s="210" t="str">
        <f>IF(E56&gt;0,(VLOOKUP(A56,'4b-Venta-Comisión'!$A$36:$L$50,10,0)),"NO")</f>
        <v>NO</v>
      </c>
      <c r="Q56" s="210" t="str">
        <f>IF(E56&gt;0,(VLOOKUP(A56,'4b-Venta-Comisión'!$A$36:$L$50,11,0)),"NO")</f>
        <v>NO</v>
      </c>
      <c r="R56" s="24">
        <f>IF(P56="NO",0,IF(Q56="si",VLOOKUP(A56,'4b-Venta-Comisión'!$A$36:$L$50,12,0),IF(P56="SI",VLOOKUP(A56,'4b-Venta-Comisión'!$A$36:$L$50,8,0))))</f>
        <v>0</v>
      </c>
      <c r="S56" s="208">
        <f t="shared" si="14"/>
        <v>0</v>
      </c>
      <c r="T56" s="209">
        <f t="shared" si="5"/>
        <v>0</v>
      </c>
      <c r="U56" s="211">
        <f t="shared" si="15"/>
        <v>0</v>
      </c>
      <c r="V56" s="159" t="str">
        <f t="shared" si="6"/>
        <v>OK</v>
      </c>
      <c r="W56" s="471">
        <v>40048</v>
      </c>
      <c r="X56" s="159" t="s">
        <v>52</v>
      </c>
    </row>
    <row r="57" spans="1:24">
      <c r="A57" s="205"/>
      <c r="B57" s="206"/>
      <c r="C57" s="205"/>
      <c r="D57" s="214"/>
      <c r="E57" s="472"/>
      <c r="F57" s="473"/>
      <c r="G57" s="24">
        <f t="shared" si="8"/>
        <v>0</v>
      </c>
      <c r="H57" s="24">
        <f t="shared" si="7"/>
        <v>0</v>
      </c>
      <c r="I57" s="24">
        <f>IF(E57&gt;0,VLOOKUP(A57,'4a-Venta-Des.'!$A$19:$H$33,8,0),0)</f>
        <v>0</v>
      </c>
      <c r="J57" s="208">
        <f t="shared" si="11"/>
        <v>0</v>
      </c>
      <c r="K57" s="209">
        <f t="shared" si="12"/>
        <v>0</v>
      </c>
      <c r="L57" s="210">
        <f>IF(E57&gt;0,(VLOOKUP(A57,'4b-Venta-Comisión'!$A$59:$E$73,4,0)),0)</f>
        <v>0</v>
      </c>
      <c r="M57" s="24">
        <f>IF(L57="SI",VLOOKUP(A57,'4b-Venta-Comisión'!$A$59:$E$73,3,0),0)</f>
        <v>0</v>
      </c>
      <c r="N57" s="208">
        <f t="shared" si="13"/>
        <v>0</v>
      </c>
      <c r="O57" s="209">
        <f t="shared" si="16"/>
        <v>0</v>
      </c>
      <c r="P57" s="210" t="str">
        <f>IF(E57&gt;0,(VLOOKUP(A57,'4b-Venta-Comisión'!$A$36:$L$50,10,0)),"NO")</f>
        <v>NO</v>
      </c>
      <c r="Q57" s="210" t="str">
        <f>IF(E57&gt;0,(VLOOKUP(A57,'4b-Venta-Comisión'!$A$36:$L$50,11,0)),"NO")</f>
        <v>NO</v>
      </c>
      <c r="R57" s="24">
        <f>IF(P57="NO",0,IF(Q57="si",VLOOKUP(A57,'4b-Venta-Comisión'!$A$36:$L$50,12,0),IF(P57="SI",VLOOKUP(A57,'4b-Venta-Comisión'!$A$36:$L$50,8,0))))</f>
        <v>0</v>
      </c>
      <c r="S57" s="208">
        <f t="shared" si="14"/>
        <v>0</v>
      </c>
      <c r="T57" s="209">
        <f t="shared" si="5"/>
        <v>0</v>
      </c>
      <c r="U57" s="211">
        <f t="shared" si="15"/>
        <v>0</v>
      </c>
      <c r="V57" s="159" t="str">
        <f t="shared" si="6"/>
        <v>OK</v>
      </c>
      <c r="W57" s="471">
        <v>40049</v>
      </c>
      <c r="X57" s="159" t="s">
        <v>52</v>
      </c>
    </row>
    <row r="58" spans="1:24">
      <c r="A58" s="205"/>
      <c r="B58" s="206"/>
      <c r="C58" s="205"/>
      <c r="D58" s="214"/>
      <c r="E58" s="472"/>
      <c r="F58" s="473"/>
      <c r="G58" s="24">
        <f t="shared" si="8"/>
        <v>0</v>
      </c>
      <c r="H58" s="24">
        <f t="shared" si="7"/>
        <v>0</v>
      </c>
      <c r="I58" s="24">
        <f>IF(E58&gt;0,VLOOKUP(A58,'4a-Venta-Des.'!$A$19:$H$33,8,0),0)</f>
        <v>0</v>
      </c>
      <c r="J58" s="208">
        <f t="shared" si="11"/>
        <v>0</v>
      </c>
      <c r="K58" s="209">
        <f t="shared" si="12"/>
        <v>0</v>
      </c>
      <c r="L58" s="210">
        <f>IF(E58&gt;0,(VLOOKUP(A58,'4b-Venta-Comisión'!$A$59:$E$73,4,0)),0)</f>
        <v>0</v>
      </c>
      <c r="M58" s="24">
        <f>IF(L58="SI",VLOOKUP(A58,'4b-Venta-Comisión'!$A$59:$E$73,3,0),0)</f>
        <v>0</v>
      </c>
      <c r="N58" s="208">
        <f t="shared" si="13"/>
        <v>0</v>
      </c>
      <c r="O58" s="209">
        <f t="shared" si="16"/>
        <v>0</v>
      </c>
      <c r="P58" s="210" t="str">
        <f>IF(E58&gt;0,(VLOOKUP(A58,'4b-Venta-Comisión'!$A$36:$L$50,10,0)),"NO")</f>
        <v>NO</v>
      </c>
      <c r="Q58" s="210" t="str">
        <f>IF(E58&gt;0,(VLOOKUP(A58,'4b-Venta-Comisión'!$A$36:$L$50,11,0)),"NO")</f>
        <v>NO</v>
      </c>
      <c r="R58" s="24">
        <f>IF(P58="NO",0,IF(Q58="si",VLOOKUP(A58,'4b-Venta-Comisión'!$A$36:$L$50,12,0),IF(P58="SI",VLOOKUP(A58,'4b-Venta-Comisión'!$A$36:$L$50,8,0))))</f>
        <v>0</v>
      </c>
      <c r="S58" s="208">
        <f t="shared" si="14"/>
        <v>0</v>
      </c>
      <c r="T58" s="209">
        <f t="shared" si="5"/>
        <v>0</v>
      </c>
      <c r="U58" s="211">
        <f t="shared" si="15"/>
        <v>0</v>
      </c>
      <c r="V58" s="159" t="str">
        <f t="shared" si="6"/>
        <v>OK</v>
      </c>
      <c r="W58" s="471">
        <v>40050</v>
      </c>
      <c r="X58" s="159" t="s">
        <v>52</v>
      </c>
    </row>
    <row r="59" spans="1:24">
      <c r="A59" s="205"/>
      <c r="B59" s="206"/>
      <c r="C59" s="205"/>
      <c r="D59" s="214"/>
      <c r="E59" s="472"/>
      <c r="F59" s="473"/>
      <c r="G59" s="24">
        <f t="shared" si="8"/>
        <v>0</v>
      </c>
      <c r="H59" s="24">
        <f t="shared" si="7"/>
        <v>0</v>
      </c>
      <c r="I59" s="24">
        <f>IF(E59&gt;0,VLOOKUP(A59,'4a-Venta-Des.'!$A$19:$H$33,8,0),0)</f>
        <v>0</v>
      </c>
      <c r="J59" s="208">
        <f t="shared" si="11"/>
        <v>0</v>
      </c>
      <c r="K59" s="209">
        <f t="shared" si="12"/>
        <v>0</v>
      </c>
      <c r="L59" s="210">
        <f>IF(E59&gt;0,(VLOOKUP(A59,'4b-Venta-Comisión'!$A$59:$E$73,4,0)),0)</f>
        <v>0</v>
      </c>
      <c r="M59" s="24">
        <f>IF(L59="SI",VLOOKUP(A59,'4b-Venta-Comisión'!$A$59:$E$73,3,0),0)</f>
        <v>0</v>
      </c>
      <c r="N59" s="208">
        <f t="shared" si="13"/>
        <v>0</v>
      </c>
      <c r="O59" s="209">
        <f t="shared" si="16"/>
        <v>0</v>
      </c>
      <c r="P59" s="210" t="str">
        <f>IF(E59&gt;0,(VLOOKUP(A59,'4b-Venta-Comisión'!$A$36:$L$50,10,0)),"NO")</f>
        <v>NO</v>
      </c>
      <c r="Q59" s="210" t="str">
        <f>IF(E59&gt;0,(VLOOKUP(A59,'4b-Venta-Comisión'!$A$36:$L$50,11,0)),"NO")</f>
        <v>NO</v>
      </c>
      <c r="R59" s="24">
        <f>IF(P59="NO",0,IF(Q59="si",VLOOKUP(A59,'4b-Venta-Comisión'!$A$36:$L$50,12,0),IF(P59="SI",VLOOKUP(A59,'4b-Venta-Comisión'!$A$36:$L$50,8,0))))</f>
        <v>0</v>
      </c>
      <c r="S59" s="208">
        <f t="shared" si="14"/>
        <v>0</v>
      </c>
      <c r="T59" s="209">
        <f t="shared" si="5"/>
        <v>0</v>
      </c>
      <c r="U59" s="211">
        <f t="shared" si="15"/>
        <v>0</v>
      </c>
      <c r="V59" s="159" t="str">
        <f t="shared" si="6"/>
        <v>OK</v>
      </c>
      <c r="W59" s="471">
        <v>40051</v>
      </c>
      <c r="X59" s="159" t="s">
        <v>52</v>
      </c>
    </row>
    <row r="60" spans="1:24">
      <c r="A60" s="205"/>
      <c r="B60" s="206"/>
      <c r="C60" s="205"/>
      <c r="D60" s="214"/>
      <c r="E60" s="472"/>
      <c r="F60" s="473"/>
      <c r="G60" s="24">
        <f t="shared" si="8"/>
        <v>0</v>
      </c>
      <c r="H60" s="24">
        <f t="shared" si="7"/>
        <v>0</v>
      </c>
      <c r="I60" s="24">
        <f>IF(E60&gt;0,VLOOKUP(A60,'4a-Venta-Des.'!$A$19:$H$33,8,0),0)</f>
        <v>0</v>
      </c>
      <c r="J60" s="208">
        <f t="shared" si="11"/>
        <v>0</v>
      </c>
      <c r="K60" s="209">
        <f t="shared" si="12"/>
        <v>0</v>
      </c>
      <c r="L60" s="210">
        <f>IF(E60&gt;0,(VLOOKUP(A60,'4b-Venta-Comisión'!$A$59:$E$73,4,0)),0)</f>
        <v>0</v>
      </c>
      <c r="M60" s="24">
        <f>IF(L60="SI",VLOOKUP(A60,'4b-Venta-Comisión'!$A$59:$E$73,3,0),0)</f>
        <v>0</v>
      </c>
      <c r="N60" s="208">
        <f t="shared" si="13"/>
        <v>0</v>
      </c>
      <c r="O60" s="209">
        <f t="shared" si="16"/>
        <v>0</v>
      </c>
      <c r="P60" s="210" t="str">
        <f>IF(E60&gt;0,(VLOOKUP(A60,'4b-Venta-Comisión'!$A$36:$L$50,10,0)),"NO")</f>
        <v>NO</v>
      </c>
      <c r="Q60" s="210" t="str">
        <f>IF(E60&gt;0,(VLOOKUP(A60,'4b-Venta-Comisión'!$A$36:$L$50,11,0)),"NO")</f>
        <v>NO</v>
      </c>
      <c r="R60" s="24">
        <f>IF(P60="NO",0,IF(Q60="si",VLOOKUP(A60,'4b-Venta-Comisión'!$A$36:$L$50,12,0),IF(P60="SI",VLOOKUP(A60,'4b-Venta-Comisión'!$A$36:$L$50,8,0))))</f>
        <v>0</v>
      </c>
      <c r="S60" s="208">
        <f t="shared" si="14"/>
        <v>0</v>
      </c>
      <c r="T60" s="209">
        <f t="shared" si="5"/>
        <v>0</v>
      </c>
      <c r="U60" s="211">
        <f t="shared" si="15"/>
        <v>0</v>
      </c>
      <c r="V60" s="159" t="str">
        <f t="shared" si="6"/>
        <v>OK</v>
      </c>
      <c r="W60" s="471">
        <v>40052</v>
      </c>
      <c r="X60" s="159" t="s">
        <v>52</v>
      </c>
    </row>
    <row r="61" spans="1:24">
      <c r="A61" s="205"/>
      <c r="B61" s="206"/>
      <c r="C61" s="205"/>
      <c r="D61" s="214"/>
      <c r="E61" s="472"/>
      <c r="F61" s="473"/>
      <c r="G61" s="24">
        <f t="shared" si="8"/>
        <v>0</v>
      </c>
      <c r="H61" s="24">
        <f t="shared" si="7"/>
        <v>0</v>
      </c>
      <c r="I61" s="24">
        <f>IF(E61&gt;0,VLOOKUP(A61,'4a-Venta-Des.'!$A$19:$H$33,8,0),0)</f>
        <v>0</v>
      </c>
      <c r="J61" s="208">
        <f t="shared" si="11"/>
        <v>0</v>
      </c>
      <c r="K61" s="209">
        <f t="shared" si="12"/>
        <v>0</v>
      </c>
      <c r="L61" s="210">
        <f>IF(E61&gt;0,(VLOOKUP(A61,'4b-Venta-Comisión'!$A$59:$E$73,4,0)),0)</f>
        <v>0</v>
      </c>
      <c r="M61" s="24">
        <f>IF(L61="SI",VLOOKUP(A61,'4b-Venta-Comisión'!$A$59:$E$73,3,0),0)</f>
        <v>0</v>
      </c>
      <c r="N61" s="208">
        <f t="shared" si="13"/>
        <v>0</v>
      </c>
      <c r="O61" s="209">
        <f t="shared" si="16"/>
        <v>0</v>
      </c>
      <c r="P61" s="210" t="str">
        <f>IF(E61&gt;0,(VLOOKUP(A61,'4b-Venta-Comisión'!$A$36:$L$50,10,0)),"NO")</f>
        <v>NO</v>
      </c>
      <c r="Q61" s="210" t="str">
        <f>IF(E61&gt;0,(VLOOKUP(A61,'4b-Venta-Comisión'!$A$36:$L$50,11,0)),"NO")</f>
        <v>NO</v>
      </c>
      <c r="R61" s="24">
        <f>IF(P61="NO",0,IF(Q61="si",VLOOKUP(A61,'4b-Venta-Comisión'!$A$36:$L$50,12,0),IF(P61="SI",VLOOKUP(A61,'4b-Venta-Comisión'!$A$36:$L$50,8,0))))</f>
        <v>0</v>
      </c>
      <c r="S61" s="208">
        <f t="shared" si="14"/>
        <v>0</v>
      </c>
      <c r="T61" s="209">
        <f t="shared" si="5"/>
        <v>0</v>
      </c>
      <c r="U61" s="211">
        <f t="shared" si="15"/>
        <v>0</v>
      </c>
      <c r="V61" s="159" t="str">
        <f t="shared" si="6"/>
        <v>OK</v>
      </c>
      <c r="W61" s="471">
        <v>40053</v>
      </c>
      <c r="X61" s="159" t="s">
        <v>52</v>
      </c>
    </row>
    <row r="62" spans="1:24">
      <c r="A62" s="205"/>
      <c r="B62" s="206"/>
      <c r="C62" s="205"/>
      <c r="D62" s="214"/>
      <c r="E62" s="472"/>
      <c r="F62" s="473"/>
      <c r="G62" s="24">
        <f t="shared" si="8"/>
        <v>0</v>
      </c>
      <c r="H62" s="24">
        <f t="shared" si="7"/>
        <v>0</v>
      </c>
      <c r="I62" s="24">
        <f>IF(E62&gt;0,VLOOKUP(A62,'4a-Venta-Des.'!$A$19:$H$33,8,0),0)</f>
        <v>0</v>
      </c>
      <c r="J62" s="208">
        <f t="shared" si="11"/>
        <v>0</v>
      </c>
      <c r="K62" s="209">
        <f t="shared" si="12"/>
        <v>0</v>
      </c>
      <c r="L62" s="210">
        <f>IF(E62&gt;0,(VLOOKUP(A62,'4b-Venta-Comisión'!$A$59:$E$73,4,0)),0)</f>
        <v>0</v>
      </c>
      <c r="M62" s="24">
        <f>IF(L62="SI",VLOOKUP(A62,'4b-Venta-Comisión'!$A$59:$E$73,3,0),0)</f>
        <v>0</v>
      </c>
      <c r="N62" s="208">
        <f t="shared" si="13"/>
        <v>0</v>
      </c>
      <c r="O62" s="209">
        <f t="shared" si="16"/>
        <v>0</v>
      </c>
      <c r="P62" s="210" t="str">
        <f>IF(E62&gt;0,(VLOOKUP(A62,'4b-Venta-Comisión'!$A$36:$L$50,10,0)),"NO")</f>
        <v>NO</v>
      </c>
      <c r="Q62" s="210" t="str">
        <f>IF(E62&gt;0,(VLOOKUP(A62,'4b-Venta-Comisión'!$A$36:$L$50,11,0)),"NO")</f>
        <v>NO</v>
      </c>
      <c r="R62" s="24">
        <f>IF(P62="NO",0,IF(Q62="si",VLOOKUP(A62,'4b-Venta-Comisión'!$A$36:$L$50,12,0),IF(P62="SI",VLOOKUP(A62,'4b-Venta-Comisión'!$A$36:$L$50,8,0))))</f>
        <v>0</v>
      </c>
      <c r="S62" s="208">
        <f t="shared" si="14"/>
        <v>0</v>
      </c>
      <c r="T62" s="209">
        <f t="shared" si="5"/>
        <v>0</v>
      </c>
      <c r="U62" s="211">
        <f t="shared" si="15"/>
        <v>0</v>
      </c>
      <c r="V62" s="159" t="str">
        <f t="shared" si="6"/>
        <v>OK</v>
      </c>
      <c r="W62" s="471">
        <v>40054</v>
      </c>
      <c r="X62" s="159" t="s">
        <v>52</v>
      </c>
    </row>
    <row r="63" spans="1:24">
      <c r="A63" s="205"/>
      <c r="B63" s="206"/>
      <c r="C63" s="205"/>
      <c r="D63" s="214"/>
      <c r="E63" s="472"/>
      <c r="F63" s="473"/>
      <c r="G63" s="24">
        <f t="shared" si="8"/>
        <v>0</v>
      </c>
      <c r="H63" s="24">
        <f t="shared" si="7"/>
        <v>0</v>
      </c>
      <c r="I63" s="24">
        <f>IF(E63&gt;0,VLOOKUP(A63,'4a-Venta-Des.'!$A$19:$H$33,8,0),0)</f>
        <v>0</v>
      </c>
      <c r="J63" s="208">
        <f t="shared" si="11"/>
        <v>0</v>
      </c>
      <c r="K63" s="209">
        <f t="shared" si="12"/>
        <v>0</v>
      </c>
      <c r="L63" s="210">
        <f>IF(E63&gt;0,(VLOOKUP(A63,'4b-Venta-Comisión'!$A$59:$E$73,4,0)),0)</f>
        <v>0</v>
      </c>
      <c r="M63" s="24">
        <f>IF(L63="SI",VLOOKUP(A63,'4b-Venta-Comisión'!$A$59:$E$73,3,0),0)</f>
        <v>0</v>
      </c>
      <c r="N63" s="208">
        <f t="shared" si="13"/>
        <v>0</v>
      </c>
      <c r="O63" s="209">
        <f t="shared" si="16"/>
        <v>0</v>
      </c>
      <c r="P63" s="210" t="str">
        <f>IF(E63&gt;0,(VLOOKUP(A63,'4b-Venta-Comisión'!$A$36:$L$50,10,0)),"NO")</f>
        <v>NO</v>
      </c>
      <c r="Q63" s="210" t="str">
        <f>IF(E63&gt;0,(VLOOKUP(A63,'4b-Venta-Comisión'!$A$36:$L$50,11,0)),"NO")</f>
        <v>NO</v>
      </c>
      <c r="R63" s="24">
        <f>IF(P63="NO",0,IF(Q63="si",VLOOKUP(A63,'4b-Venta-Comisión'!$A$36:$L$50,12,0),IF(P63="SI",VLOOKUP(A63,'4b-Venta-Comisión'!$A$36:$L$50,8,0))))</f>
        <v>0</v>
      </c>
      <c r="S63" s="208">
        <f t="shared" si="14"/>
        <v>0</v>
      </c>
      <c r="T63" s="209">
        <f t="shared" si="5"/>
        <v>0</v>
      </c>
      <c r="U63" s="211">
        <f t="shared" si="15"/>
        <v>0</v>
      </c>
      <c r="V63" s="159" t="str">
        <f t="shared" si="6"/>
        <v>OK</v>
      </c>
      <c r="W63" s="471">
        <v>40055</v>
      </c>
      <c r="X63" s="159" t="s">
        <v>52</v>
      </c>
    </row>
    <row r="64" spans="1:24">
      <c r="A64" s="205"/>
      <c r="B64" s="206"/>
      <c r="C64" s="205"/>
      <c r="D64" s="214"/>
      <c r="E64" s="472"/>
      <c r="F64" s="473"/>
      <c r="G64" s="24">
        <f t="shared" si="8"/>
        <v>0</v>
      </c>
      <c r="H64" s="24">
        <f t="shared" si="7"/>
        <v>0</v>
      </c>
      <c r="I64" s="24">
        <f>IF(E64&gt;0,VLOOKUP(A64,'4a-Venta-Des.'!$A$19:$H$33,8,0),0)</f>
        <v>0</v>
      </c>
      <c r="J64" s="208">
        <f t="shared" si="11"/>
        <v>0</v>
      </c>
      <c r="K64" s="209">
        <f t="shared" si="12"/>
        <v>0</v>
      </c>
      <c r="L64" s="210">
        <f>IF(E64&gt;0,(VLOOKUP(A64,'4b-Venta-Comisión'!$A$59:$E$73,4,0)),0)</f>
        <v>0</v>
      </c>
      <c r="M64" s="24">
        <f>IF(L64="SI",VLOOKUP(A64,'4b-Venta-Comisión'!$A$59:$E$73,3,0),0)</f>
        <v>0</v>
      </c>
      <c r="N64" s="208">
        <f t="shared" si="13"/>
        <v>0</v>
      </c>
      <c r="O64" s="209">
        <f t="shared" si="16"/>
        <v>0</v>
      </c>
      <c r="P64" s="210" t="str">
        <f>IF(E64&gt;0,(VLOOKUP(A64,'4b-Venta-Comisión'!$A$36:$L$50,10,0)),"NO")</f>
        <v>NO</v>
      </c>
      <c r="Q64" s="210" t="str">
        <f>IF(E64&gt;0,(VLOOKUP(A64,'4b-Venta-Comisión'!$A$36:$L$50,11,0)),"NO")</f>
        <v>NO</v>
      </c>
      <c r="R64" s="24">
        <f>IF(P64="NO",0,IF(Q64="si",VLOOKUP(A64,'4b-Venta-Comisión'!$A$36:$L$50,12,0),IF(P64="SI",VLOOKUP(A64,'4b-Venta-Comisión'!$A$36:$L$50,8,0))))</f>
        <v>0</v>
      </c>
      <c r="S64" s="208">
        <f t="shared" si="14"/>
        <v>0</v>
      </c>
      <c r="T64" s="209">
        <f t="shared" si="5"/>
        <v>0</v>
      </c>
      <c r="U64" s="211">
        <f t="shared" si="15"/>
        <v>0</v>
      </c>
      <c r="V64" s="159" t="str">
        <f t="shared" si="6"/>
        <v>OK</v>
      </c>
      <c r="W64" s="471">
        <v>40056</v>
      </c>
      <c r="X64" s="159" t="s">
        <v>52</v>
      </c>
    </row>
    <row r="65" spans="1:24">
      <c r="A65" s="205"/>
      <c r="B65" s="206"/>
      <c r="C65" s="205"/>
      <c r="D65" s="214"/>
      <c r="E65" s="472"/>
      <c r="F65" s="473"/>
      <c r="G65" s="24">
        <f t="shared" si="8"/>
        <v>0</v>
      </c>
      <c r="H65" s="24">
        <f t="shared" si="7"/>
        <v>0</v>
      </c>
      <c r="I65" s="24">
        <f>IF(E65&gt;0,VLOOKUP(A65,'4a-Venta-Des.'!$A$19:$H$33,8,0),0)</f>
        <v>0</v>
      </c>
      <c r="J65" s="208">
        <f t="shared" si="11"/>
        <v>0</v>
      </c>
      <c r="K65" s="209">
        <f t="shared" si="12"/>
        <v>0</v>
      </c>
      <c r="L65" s="210">
        <f>IF(E65&gt;0,(VLOOKUP(A65,'4b-Venta-Comisión'!$A$59:$E$73,4,0)),0)</f>
        <v>0</v>
      </c>
      <c r="M65" s="24">
        <f>IF(L65="SI",VLOOKUP(A65,'4b-Venta-Comisión'!$A$59:$E$73,3,0),0)</f>
        <v>0</v>
      </c>
      <c r="N65" s="208">
        <f t="shared" si="13"/>
        <v>0</v>
      </c>
      <c r="O65" s="209">
        <f t="shared" si="16"/>
        <v>0</v>
      </c>
      <c r="P65" s="210" t="str">
        <f>IF(E65&gt;0,(VLOOKUP(A65,'4b-Venta-Comisión'!$A$36:$L$50,10,0)),"NO")</f>
        <v>NO</v>
      </c>
      <c r="Q65" s="210" t="str">
        <f>IF(E65&gt;0,(VLOOKUP(A65,'4b-Venta-Comisión'!$A$36:$L$50,11,0)),"NO")</f>
        <v>NO</v>
      </c>
      <c r="R65" s="24">
        <f>IF(P65="NO",0,IF(Q65="si",VLOOKUP(A65,'4b-Venta-Comisión'!$A$36:$L$50,12,0),IF(P65="SI",VLOOKUP(A65,'4b-Venta-Comisión'!$A$36:$L$50,8,0))))</f>
        <v>0</v>
      </c>
      <c r="S65" s="208">
        <f t="shared" si="14"/>
        <v>0</v>
      </c>
      <c r="T65" s="209">
        <f t="shared" si="5"/>
        <v>0</v>
      </c>
      <c r="U65" s="211">
        <f t="shared" si="15"/>
        <v>0</v>
      </c>
      <c r="V65" s="159" t="str">
        <f t="shared" si="6"/>
        <v>OK</v>
      </c>
      <c r="W65" s="471">
        <v>40057</v>
      </c>
      <c r="X65" s="159" t="s">
        <v>52</v>
      </c>
    </row>
    <row r="66" spans="1:24">
      <c r="A66" s="205"/>
      <c r="B66" s="206"/>
      <c r="C66" s="205"/>
      <c r="D66" s="214"/>
      <c r="E66" s="472"/>
      <c r="F66" s="473"/>
      <c r="G66" s="24">
        <f t="shared" si="8"/>
        <v>0</v>
      </c>
      <c r="H66" s="24">
        <f t="shared" si="7"/>
        <v>0</v>
      </c>
      <c r="I66" s="24">
        <f>IF(E66&gt;0,VLOOKUP(A66,'4a-Venta-Des.'!$A$19:$H$33,8,0),0)</f>
        <v>0</v>
      </c>
      <c r="J66" s="208">
        <f t="shared" si="11"/>
        <v>0</v>
      </c>
      <c r="K66" s="209">
        <f t="shared" si="12"/>
        <v>0</v>
      </c>
      <c r="L66" s="210">
        <f>IF(E66&gt;0,(VLOOKUP(A66,'4b-Venta-Comisión'!$A$59:$E$73,4,0)),0)</f>
        <v>0</v>
      </c>
      <c r="M66" s="24">
        <f>IF(L66="SI",VLOOKUP(A66,'4b-Venta-Comisión'!$A$59:$E$73,3,0),0)</f>
        <v>0</v>
      </c>
      <c r="N66" s="208">
        <f t="shared" si="13"/>
        <v>0</v>
      </c>
      <c r="O66" s="209">
        <f t="shared" si="16"/>
        <v>0</v>
      </c>
      <c r="P66" s="210" t="str">
        <f>IF(E66&gt;0,(VLOOKUP(A66,'4b-Venta-Comisión'!$A$36:$L$50,10,0)),"NO")</f>
        <v>NO</v>
      </c>
      <c r="Q66" s="210" t="str">
        <f>IF(E66&gt;0,(VLOOKUP(A66,'4b-Venta-Comisión'!$A$36:$L$50,11,0)),"NO")</f>
        <v>NO</v>
      </c>
      <c r="R66" s="24">
        <f>IF(P66="NO",0,IF(Q66="si",VLOOKUP(A66,'4b-Venta-Comisión'!$A$36:$L$50,12,0),IF(P66="SI",VLOOKUP(A66,'4b-Venta-Comisión'!$A$36:$L$50,8,0))))</f>
        <v>0</v>
      </c>
      <c r="S66" s="208">
        <f t="shared" si="14"/>
        <v>0</v>
      </c>
      <c r="T66" s="209">
        <f t="shared" si="5"/>
        <v>0</v>
      </c>
      <c r="U66" s="211">
        <f t="shared" si="15"/>
        <v>0</v>
      </c>
      <c r="V66" s="159" t="str">
        <f t="shared" si="6"/>
        <v>OK</v>
      </c>
      <c r="W66" s="471">
        <v>40058</v>
      </c>
      <c r="X66" s="159" t="s">
        <v>52</v>
      </c>
    </row>
    <row r="67" spans="1:24">
      <c r="A67" s="205"/>
      <c r="B67" s="206"/>
      <c r="C67" s="205"/>
      <c r="D67" s="214"/>
      <c r="E67" s="472"/>
      <c r="F67" s="473"/>
      <c r="G67" s="24">
        <f t="shared" si="8"/>
        <v>0</v>
      </c>
      <c r="H67" s="24">
        <f t="shared" si="7"/>
        <v>0</v>
      </c>
      <c r="I67" s="24">
        <f>IF(E67&gt;0,VLOOKUP(A67,'4a-Venta-Des.'!$A$19:$H$33,8,0),0)</f>
        <v>0</v>
      </c>
      <c r="J67" s="208">
        <f t="shared" si="11"/>
        <v>0</v>
      </c>
      <c r="K67" s="209">
        <f t="shared" si="12"/>
        <v>0</v>
      </c>
      <c r="L67" s="210">
        <f>IF(E67&gt;0,(VLOOKUP(A67,'4b-Venta-Comisión'!$A$59:$E$73,4,0)),0)</f>
        <v>0</v>
      </c>
      <c r="M67" s="24">
        <f>IF(L67="SI",VLOOKUP(A67,'4b-Venta-Comisión'!$A$59:$E$73,3,0),0)</f>
        <v>0</v>
      </c>
      <c r="N67" s="208">
        <f t="shared" si="13"/>
        <v>0</v>
      </c>
      <c r="O67" s="209">
        <f t="shared" si="16"/>
        <v>0</v>
      </c>
      <c r="P67" s="210" t="str">
        <f>IF(E67&gt;0,(VLOOKUP(A67,'4b-Venta-Comisión'!$A$36:$L$50,10,0)),"NO")</f>
        <v>NO</v>
      </c>
      <c r="Q67" s="210" t="str">
        <f>IF(E67&gt;0,(VLOOKUP(A67,'4b-Venta-Comisión'!$A$36:$L$50,11,0)),"NO")</f>
        <v>NO</v>
      </c>
      <c r="R67" s="24">
        <f>IF(P67="NO",0,IF(Q67="si",VLOOKUP(A67,'4b-Venta-Comisión'!$A$36:$L$50,12,0),IF(P67="SI",VLOOKUP(A67,'4b-Venta-Comisión'!$A$36:$L$50,8,0))))</f>
        <v>0</v>
      </c>
      <c r="S67" s="208">
        <f t="shared" si="14"/>
        <v>0</v>
      </c>
      <c r="T67" s="209">
        <f t="shared" si="5"/>
        <v>0</v>
      </c>
      <c r="U67" s="211">
        <f t="shared" si="15"/>
        <v>0</v>
      </c>
      <c r="V67" s="159" t="str">
        <f t="shared" si="6"/>
        <v>OK</v>
      </c>
      <c r="W67" s="471">
        <v>40059</v>
      </c>
      <c r="X67" s="159" t="s">
        <v>52</v>
      </c>
    </row>
    <row r="68" spans="1:24">
      <c r="A68" s="205"/>
      <c r="B68" s="206"/>
      <c r="C68" s="205"/>
      <c r="D68" s="214"/>
      <c r="E68" s="472"/>
      <c r="F68" s="473"/>
      <c r="G68" s="24">
        <f t="shared" si="8"/>
        <v>0</v>
      </c>
      <c r="H68" s="24">
        <f t="shared" si="7"/>
        <v>0</v>
      </c>
      <c r="I68" s="24">
        <f>IF(E68&gt;0,VLOOKUP(A68,'4a-Venta-Des.'!$A$19:$H$33,8,0),0)</f>
        <v>0</v>
      </c>
      <c r="J68" s="208">
        <f t="shared" si="11"/>
        <v>0</v>
      </c>
      <c r="K68" s="209">
        <f t="shared" si="12"/>
        <v>0</v>
      </c>
      <c r="L68" s="210">
        <f>IF(E68&gt;0,(VLOOKUP(A68,'4b-Venta-Comisión'!$A$59:$E$73,4,0)),0)</f>
        <v>0</v>
      </c>
      <c r="M68" s="24">
        <f>IF(L68="SI",VLOOKUP(A68,'4b-Venta-Comisión'!$A$59:$E$73,3,0),0)</f>
        <v>0</v>
      </c>
      <c r="N68" s="208">
        <f t="shared" si="13"/>
        <v>0</v>
      </c>
      <c r="O68" s="209">
        <f t="shared" si="16"/>
        <v>0</v>
      </c>
      <c r="P68" s="210" t="str">
        <f>IF(E68&gt;0,(VLOOKUP(A68,'4b-Venta-Comisión'!$A$36:$L$50,10,0)),"NO")</f>
        <v>NO</v>
      </c>
      <c r="Q68" s="210" t="str">
        <f>IF(E68&gt;0,(VLOOKUP(A68,'4b-Venta-Comisión'!$A$36:$L$50,11,0)),"NO")</f>
        <v>NO</v>
      </c>
      <c r="R68" s="24">
        <f>IF(P68="NO",0,IF(Q68="si",VLOOKUP(A68,'4b-Venta-Comisión'!$A$36:$L$50,12,0),IF(P68="SI",VLOOKUP(A68,'4b-Venta-Comisión'!$A$36:$L$50,8,0))))</f>
        <v>0</v>
      </c>
      <c r="S68" s="208">
        <f t="shared" si="14"/>
        <v>0</v>
      </c>
      <c r="T68" s="209">
        <f t="shared" si="5"/>
        <v>0</v>
      </c>
      <c r="U68" s="211">
        <f t="shared" si="15"/>
        <v>0</v>
      </c>
      <c r="V68" s="159" t="str">
        <f t="shared" si="6"/>
        <v>OK</v>
      </c>
      <c r="W68" s="471">
        <v>40060</v>
      </c>
      <c r="X68" s="159" t="s">
        <v>52</v>
      </c>
    </row>
    <row r="69" spans="1:24">
      <c r="A69" s="205"/>
      <c r="B69" s="206"/>
      <c r="C69" s="205"/>
      <c r="D69" s="214"/>
      <c r="E69" s="472"/>
      <c r="F69" s="473"/>
      <c r="G69" s="24">
        <f t="shared" si="8"/>
        <v>0</v>
      </c>
      <c r="H69" s="24">
        <f t="shared" si="7"/>
        <v>0</v>
      </c>
      <c r="I69" s="24">
        <f>IF(E69&gt;0,VLOOKUP(A69,'4a-Venta-Des.'!$A$19:$H$33,8,0),0)</f>
        <v>0</v>
      </c>
      <c r="J69" s="208">
        <f t="shared" si="11"/>
        <v>0</v>
      </c>
      <c r="K69" s="209">
        <f t="shared" si="12"/>
        <v>0</v>
      </c>
      <c r="L69" s="210">
        <f>IF(E69&gt;0,(VLOOKUP(A69,'4b-Venta-Comisión'!$A$59:$E$73,4,0)),0)</f>
        <v>0</v>
      </c>
      <c r="M69" s="24">
        <f>IF(L69="SI",VLOOKUP(A69,'4b-Venta-Comisión'!$A$59:$E$73,3,0),0)</f>
        <v>0</v>
      </c>
      <c r="N69" s="208">
        <f t="shared" si="13"/>
        <v>0</v>
      </c>
      <c r="O69" s="209">
        <f t="shared" si="16"/>
        <v>0</v>
      </c>
      <c r="P69" s="210" t="str">
        <f>IF(E69&gt;0,(VLOOKUP(A69,'4b-Venta-Comisión'!$A$36:$L$50,10,0)),"NO")</f>
        <v>NO</v>
      </c>
      <c r="Q69" s="210" t="str">
        <f>IF(E69&gt;0,(VLOOKUP(A69,'4b-Venta-Comisión'!$A$36:$L$50,11,0)),"NO")</f>
        <v>NO</v>
      </c>
      <c r="R69" s="24">
        <f>IF(P69="NO",0,IF(Q69="si",VLOOKUP(A69,'4b-Venta-Comisión'!$A$36:$L$50,12,0),IF(P69="SI",VLOOKUP(A69,'4b-Venta-Comisión'!$A$36:$L$50,8,0))))</f>
        <v>0</v>
      </c>
      <c r="S69" s="208">
        <f t="shared" si="14"/>
        <v>0</v>
      </c>
      <c r="T69" s="209">
        <f t="shared" si="5"/>
        <v>0</v>
      </c>
      <c r="U69" s="211">
        <f t="shared" si="15"/>
        <v>0</v>
      </c>
      <c r="V69" s="159" t="str">
        <f t="shared" si="6"/>
        <v>OK</v>
      </c>
      <c r="W69" s="471">
        <v>40061</v>
      </c>
      <c r="X69" s="159" t="s">
        <v>52</v>
      </c>
    </row>
    <row r="70" spans="1:24" s="212" customFormat="1" ht="13.5" thickBot="1">
      <c r="A70" s="201"/>
      <c r="B70" s="88">
        <f>+'2-Cotización'!G22</f>
        <v>0</v>
      </c>
      <c r="C70" s="792" t="s">
        <v>501</v>
      </c>
      <c r="D70" s="792"/>
      <c r="E70" s="474">
        <f>SUM(E12:E69)</f>
        <v>0</v>
      </c>
      <c r="F70" s="475">
        <f>SUM(F12:F69)</f>
        <v>0</v>
      </c>
      <c r="G70" s="215"/>
      <c r="H70" s="215"/>
      <c r="I70" s="215"/>
      <c r="J70" s="216">
        <f>SUM(J12:J69)</f>
        <v>0</v>
      </c>
      <c r="K70" s="216">
        <f>SUM(K12:K69)</f>
        <v>0</v>
      </c>
      <c r="L70" s="215"/>
      <c r="M70" s="215"/>
      <c r="N70" s="216">
        <f>SUM(N12:N69)</f>
        <v>0</v>
      </c>
      <c r="O70" s="216">
        <f>SUM(O12:O69)</f>
        <v>0</v>
      </c>
      <c r="P70" s="215"/>
      <c r="Q70" s="215"/>
      <c r="R70" s="215"/>
      <c r="S70" s="216">
        <f>SUM(S12:S69)</f>
        <v>0</v>
      </c>
      <c r="T70" s="216">
        <f>SUM(T12:T69)</f>
        <v>0</v>
      </c>
      <c r="U70" s="211">
        <f t="shared" si="15"/>
        <v>0</v>
      </c>
      <c r="V70" s="159"/>
      <c r="W70" s="471"/>
      <c r="X70" s="159"/>
    </row>
    <row r="71" spans="1:24" s="212" customFormat="1" ht="13.5" thickTop="1">
      <c r="A71" s="201"/>
      <c r="B71" s="201"/>
      <c r="C71" s="792" t="s">
        <v>962</v>
      </c>
      <c r="D71" s="792"/>
      <c r="E71" s="397"/>
      <c r="F71" s="476">
        <f ca="1">SUM('4b-Venta-Comisión'!E13:E22)</f>
        <v>0</v>
      </c>
      <c r="G71" s="215"/>
      <c r="H71" s="215"/>
      <c r="I71" s="215"/>
      <c r="J71" s="217"/>
      <c r="K71" s="217"/>
      <c r="L71" s="215"/>
      <c r="M71" s="215"/>
      <c r="N71" s="217"/>
      <c r="O71" s="217"/>
      <c r="P71" s="215"/>
      <c r="Q71" s="215"/>
      <c r="R71" s="215"/>
      <c r="S71" s="217"/>
      <c r="T71" s="217"/>
      <c r="U71" s="211"/>
    </row>
    <row r="72" spans="1:24" s="212" customFormat="1">
      <c r="A72" s="201"/>
      <c r="B72" s="201"/>
      <c r="C72" s="418" t="s">
        <v>958</v>
      </c>
      <c r="D72" s="418"/>
      <c r="E72" s="397"/>
      <c r="F72" s="476">
        <f ca="1">+F70-F71</f>
        <v>0</v>
      </c>
      <c r="G72" s="438" t="s">
        <v>46</v>
      </c>
      <c r="H72" s="215"/>
      <c r="I72" s="215"/>
      <c r="J72" s="217"/>
      <c r="K72" s="217"/>
      <c r="L72" s="215"/>
      <c r="M72" s="215"/>
      <c r="N72" s="217"/>
      <c r="O72" s="217"/>
      <c r="P72" s="215"/>
      <c r="Q72" s="215"/>
      <c r="R72" s="215"/>
      <c r="S72" s="217"/>
      <c r="T72" s="217"/>
      <c r="U72" s="211"/>
    </row>
    <row r="73" spans="1:24" s="212" customFormat="1">
      <c r="A73" s="201"/>
      <c r="B73" s="201"/>
      <c r="C73" s="305" t="str">
        <f ca="1">IF(F71=F70,"","La venta relacionada en esta hoja, no es igual a la venta de la hoja 4-Venta-Comisión")</f>
        <v/>
      </c>
      <c r="D73" s="418"/>
      <c r="F73" s="217"/>
      <c r="G73" s="215"/>
      <c r="H73" s="215"/>
      <c r="I73" s="215"/>
      <c r="J73" s="217"/>
      <c r="K73" s="217"/>
      <c r="L73" s="215"/>
      <c r="M73" s="215"/>
      <c r="N73" s="217"/>
      <c r="O73" s="217"/>
      <c r="P73" s="215"/>
      <c r="Q73" s="215"/>
      <c r="R73" s="215"/>
      <c r="S73" s="217"/>
      <c r="T73" s="217"/>
      <c r="U73" s="211"/>
    </row>
    <row r="74" spans="1:24">
      <c r="C74" s="419"/>
      <c r="D74" s="419"/>
      <c r="E74" s="275"/>
      <c r="G74" s="212"/>
      <c r="H74" s="212"/>
      <c r="I74" s="212"/>
      <c r="J74" s="212"/>
      <c r="K74" s="212"/>
      <c r="L74" s="212"/>
      <c r="M74" s="212"/>
      <c r="N74" s="212"/>
      <c r="O74" s="212"/>
      <c r="P74" s="212"/>
      <c r="Q74" s="212"/>
      <c r="R74" s="212"/>
      <c r="S74" s="212"/>
      <c r="T74" s="212"/>
      <c r="U74" s="212"/>
    </row>
    <row r="75" spans="1:24">
      <c r="C75" s="306"/>
      <c r="D75" s="293"/>
      <c r="E75" s="272"/>
      <c r="F75" s="273"/>
    </row>
    <row r="76" spans="1:24">
      <c r="C76" s="439" t="s">
        <v>959</v>
      </c>
      <c r="D76" s="294"/>
      <c r="E76" s="297"/>
      <c r="F76" s="273"/>
    </row>
    <row r="77" spans="1:24">
      <c r="C77" s="440" t="s">
        <v>494</v>
      </c>
      <c r="D77" s="441"/>
      <c r="E77" s="298">
        <f>+F70</f>
        <v>0</v>
      </c>
    </row>
    <row r="78" spans="1:24">
      <c r="C78" s="440" t="s">
        <v>960</v>
      </c>
      <c r="D78" s="441"/>
      <c r="E78" s="299">
        <f>+T70</f>
        <v>0</v>
      </c>
    </row>
    <row r="79" spans="1:24">
      <c r="C79" s="440" t="s">
        <v>961</v>
      </c>
      <c r="D79" s="441"/>
      <c r="E79" s="300">
        <f>IF(E78=0,0,+E78/E77)</f>
        <v>0</v>
      </c>
    </row>
    <row r="80" spans="1:24" ht="12.75" customHeight="1">
      <c r="C80" s="790" t="str">
        <f>IF(E78&lt;0,"Existe perdida en Subrentas.","")</f>
        <v/>
      </c>
      <c r="D80" s="791"/>
      <c r="E80" s="301"/>
    </row>
    <row r="81" spans="1:8" ht="6.75" customHeight="1">
      <c r="C81" s="295"/>
      <c r="D81" s="296"/>
      <c r="E81" s="302"/>
    </row>
    <row r="82" spans="1:8">
      <c r="C82" s="303"/>
    </row>
    <row r="85" spans="1:8">
      <c r="A85" s="157"/>
      <c r="B85" s="710" t="s">
        <v>102</v>
      </c>
      <c r="C85" s="710"/>
      <c r="D85" s="710"/>
      <c r="E85" s="710"/>
      <c r="F85" s="159"/>
      <c r="G85" s="159"/>
      <c r="H85" s="159"/>
    </row>
    <row r="86" spans="1:8">
      <c r="A86" s="157"/>
      <c r="B86" s="448">
        <v>-1</v>
      </c>
      <c r="C86" s="448">
        <v>0.1</v>
      </c>
      <c r="D86" s="701" t="s">
        <v>49</v>
      </c>
      <c r="E86" s="701"/>
      <c r="F86" s="159"/>
      <c r="G86" s="159"/>
      <c r="H86" s="159"/>
    </row>
    <row r="87" spans="1:8">
      <c r="A87" s="157"/>
      <c r="B87" s="448">
        <f>+C86+0.01%</f>
        <v>0.10010000000000001</v>
      </c>
      <c r="C87" s="448">
        <v>0.25</v>
      </c>
      <c r="D87" s="701" t="s">
        <v>47</v>
      </c>
      <c r="E87" s="701"/>
      <c r="F87" s="159"/>
      <c r="G87" s="159"/>
      <c r="H87" s="159"/>
    </row>
    <row r="88" spans="1:8">
      <c r="A88" s="157"/>
      <c r="B88" s="448">
        <f>+C87+0.01%</f>
        <v>0.25009999999999999</v>
      </c>
      <c r="C88" s="448">
        <v>0.35</v>
      </c>
      <c r="D88" s="701" t="s">
        <v>48</v>
      </c>
      <c r="E88" s="701"/>
      <c r="F88" s="159"/>
      <c r="G88" s="159"/>
      <c r="H88" s="159"/>
    </row>
    <row r="89" spans="1:8">
      <c r="A89" s="157"/>
      <c r="B89" s="448">
        <f>+C88+0.01%</f>
        <v>0.35009999999999997</v>
      </c>
      <c r="C89" s="448">
        <v>1</v>
      </c>
      <c r="D89" s="701" t="s">
        <v>976</v>
      </c>
      <c r="E89" s="701"/>
      <c r="F89" s="159"/>
      <c r="G89" s="159"/>
      <c r="H89" s="159"/>
    </row>
    <row r="90" spans="1:8">
      <c r="A90" s="702" t="s">
        <v>956</v>
      </c>
      <c r="B90" s="702"/>
      <c r="C90" s="702"/>
      <c r="D90" s="702"/>
      <c r="E90" s="702"/>
      <c r="F90" s="702"/>
      <c r="G90" s="702"/>
      <c r="H90" s="702"/>
    </row>
    <row r="91" spans="1:8">
      <c r="A91" s="157" t="s">
        <v>52</v>
      </c>
      <c r="B91" s="158"/>
      <c r="C91" s="158"/>
      <c r="D91" s="158"/>
      <c r="E91" s="158"/>
      <c r="F91" s="159"/>
      <c r="G91" s="159"/>
      <c r="H91" s="159"/>
    </row>
    <row r="92" spans="1:8">
      <c r="A92" s="157" t="s">
        <v>51</v>
      </c>
      <c r="B92" s="158"/>
      <c r="C92" s="158"/>
      <c r="D92" s="158"/>
      <c r="E92" s="158"/>
      <c r="F92" s="159"/>
      <c r="G92" s="159"/>
      <c r="H92" s="159"/>
    </row>
  </sheetData>
  <mergeCells count="18">
    <mergeCell ref="E8:F9"/>
    <mergeCell ref="A8:D8"/>
    <mergeCell ref="C70:D70"/>
    <mergeCell ref="A4:U4"/>
    <mergeCell ref="L10:O10"/>
    <mergeCell ref="P10:T10"/>
    <mergeCell ref="A9:D9"/>
    <mergeCell ref="E10:F10"/>
    <mergeCell ref="I10:K10"/>
    <mergeCell ref="D89:E89"/>
    <mergeCell ref="A90:H90"/>
    <mergeCell ref="V10:X10"/>
    <mergeCell ref="B85:E85"/>
    <mergeCell ref="D86:E86"/>
    <mergeCell ref="D87:E87"/>
    <mergeCell ref="D88:E88"/>
    <mergeCell ref="C80:D80"/>
    <mergeCell ref="C71:D71"/>
  </mergeCells>
  <phoneticPr fontId="9" type="noConversion"/>
  <conditionalFormatting sqref="T12:T70">
    <cfRule type="cellIs" dxfId="8" priority="1" stopIfTrue="1" operator="lessThan">
      <formula>0</formula>
    </cfRule>
  </conditionalFormatting>
  <conditionalFormatting sqref="C75 E74 E8:F9 E79">
    <cfRule type="cellIs" dxfId="7" priority="2" stopIfTrue="1" operator="equal">
      <formula>0</formula>
    </cfRule>
  </conditionalFormatting>
  <conditionalFormatting sqref="C74:D74">
    <cfRule type="cellIs" dxfId="6" priority="3" stopIfTrue="1" operator="equal">
      <formula>"No coincide la venta de subrentas"</formula>
    </cfRule>
  </conditionalFormatting>
  <conditionalFormatting sqref="E78">
    <cfRule type="cellIs" dxfId="5" priority="4" stopIfTrue="1" operator="equal">
      <formula>0</formula>
    </cfRule>
    <cfRule type="cellIs" dxfId="4" priority="5" stopIfTrue="1" operator="lessThan">
      <formula>0</formula>
    </cfRule>
  </conditionalFormatting>
  <conditionalFormatting sqref="C12:C21">
    <cfRule type="cellIs" dxfId="3" priority="6" stopIfTrue="1" operator="equal">
      <formula>0</formula>
    </cfRule>
  </conditionalFormatting>
  <printOptions horizontalCentered="1"/>
  <pageMargins left="0.19685039370078741" right="0.19685039370078741" top="0.39370078740157483" bottom="0.39370078740157483" header="0" footer="0"/>
  <pageSetup scale="50" orientation="landscape" r:id="rId1"/>
  <headerFooter alignWithMargins="0"/>
  <colBreaks count="1" manualBreakCount="1">
    <brk id="20"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pageSetUpPr autoPageBreaks="0" fitToPage="1"/>
  </sheetPr>
  <dimension ref="A1:J118"/>
  <sheetViews>
    <sheetView showGridLines="0" topLeftCell="A52" zoomScaleNormal="100" zoomScaleSheetLayoutView="115" workbookViewId="0">
      <selection activeCell="A67" sqref="A1:IV65536"/>
    </sheetView>
  </sheetViews>
  <sheetFormatPr baseColWidth="10" defaultRowHeight="12.75"/>
  <cols>
    <col min="1" max="1" width="34.5703125" style="336" customWidth="1"/>
    <col min="2" max="2" width="28.140625" style="336" customWidth="1"/>
    <col min="3" max="3" width="15.85546875" style="336" customWidth="1"/>
    <col min="4" max="4" width="10.85546875" style="336" customWidth="1"/>
    <col min="5" max="5" width="14.5703125" style="336" customWidth="1"/>
    <col min="6" max="6" width="14" style="336" customWidth="1"/>
    <col min="7" max="7" width="11.5703125" style="336" customWidth="1"/>
    <col min="8" max="16384" width="11.42578125" style="336"/>
  </cols>
  <sheetData>
    <row r="1" spans="1:10" s="159" customFormat="1" ht="4.5" customHeight="1">
      <c r="A1" s="157"/>
      <c r="B1" s="158"/>
      <c r="C1" s="158"/>
      <c r="D1" s="158"/>
      <c r="E1" s="158"/>
      <c r="J1" s="157"/>
    </row>
    <row r="2" spans="1:10" s="67" customFormat="1" ht="6.75" customHeight="1">
      <c r="A2" s="105"/>
      <c r="C2" s="105"/>
      <c r="D2" s="105"/>
      <c r="E2" s="105"/>
      <c r="F2" s="105"/>
      <c r="G2" s="105"/>
      <c r="H2" s="71"/>
    </row>
    <row r="3" spans="1:10" s="67" customFormat="1">
      <c r="A3" s="782">
        <f>+'2-Cotización'!B7</f>
        <v>0</v>
      </c>
      <c r="B3" s="782"/>
      <c r="C3" s="782"/>
      <c r="D3" s="782"/>
      <c r="E3" s="782"/>
      <c r="F3" s="782"/>
      <c r="G3" s="782"/>
      <c r="H3" s="71"/>
    </row>
    <row r="4" spans="1:10" s="162" customFormat="1" ht="4.5" customHeight="1">
      <c r="A4" s="160"/>
      <c r="B4" s="160"/>
      <c r="C4" s="160"/>
      <c r="D4" s="160"/>
      <c r="E4" s="160"/>
      <c r="F4" s="160"/>
      <c r="G4" s="160"/>
      <c r="H4" s="161"/>
    </row>
    <row r="5" spans="1:10" s="162" customFormat="1" ht="11.25">
      <c r="A5" s="163" t="s">
        <v>532</v>
      </c>
      <c r="C5" s="160"/>
      <c r="D5" s="164" t="s">
        <v>609</v>
      </c>
      <c r="F5" s="160"/>
      <c r="G5" s="160"/>
      <c r="H5" s="161"/>
    </row>
    <row r="6" spans="1:10" s="162" customFormat="1" ht="11.25">
      <c r="A6" s="160">
        <f>+'2-Cotización'!C10</f>
        <v>0</v>
      </c>
      <c r="C6" s="160"/>
      <c r="D6" s="160">
        <f>+'2-Cotización'!G10</f>
        <v>0</v>
      </c>
      <c r="G6" s="160"/>
      <c r="H6" s="161"/>
    </row>
    <row r="7" spans="1:10" s="162" customFormat="1" ht="4.5" customHeight="1">
      <c r="A7" s="333"/>
      <c r="B7" s="334"/>
      <c r="C7" s="334"/>
      <c r="D7" s="334"/>
      <c r="E7" s="335"/>
      <c r="F7" s="334"/>
      <c r="G7" s="334"/>
      <c r="H7" s="161"/>
    </row>
    <row r="8" spans="1:10" s="162" customFormat="1">
      <c r="A8" s="807" t="str">
        <f>IF('2-Cotización'!G22="Dólares","Los importes deben ser capturados en Dolares","Los importes deben ser capturados en Pesos")</f>
        <v>Los importes deben ser capturados en Pesos</v>
      </c>
      <c r="B8" s="807"/>
      <c r="C8" s="807"/>
      <c r="D8" s="807"/>
      <c r="E8" s="807"/>
      <c r="F8" s="807"/>
      <c r="G8" s="807"/>
      <c r="H8" s="161"/>
    </row>
    <row r="9" spans="1:10">
      <c r="A9" s="803" t="s">
        <v>869</v>
      </c>
      <c r="B9" s="804"/>
      <c r="C9" s="804"/>
      <c r="D9" s="804"/>
      <c r="E9" s="804"/>
      <c r="F9" s="804"/>
      <c r="G9" s="805"/>
      <c r="H9" s="71"/>
      <c r="I9" s="67"/>
    </row>
    <row r="10" spans="1:10" s="159" customFormat="1" ht="45">
      <c r="A10" s="337" t="s">
        <v>952</v>
      </c>
      <c r="B10" s="337" t="s">
        <v>545</v>
      </c>
      <c r="C10" s="337" t="s">
        <v>546</v>
      </c>
      <c r="D10" s="337" t="s">
        <v>660</v>
      </c>
      <c r="E10" s="337" t="s">
        <v>561</v>
      </c>
      <c r="F10" s="337" t="s">
        <v>651</v>
      </c>
      <c r="G10" s="337" t="s">
        <v>583</v>
      </c>
    </row>
    <row r="11" spans="1:10" s="159" customFormat="1" ht="4.5" customHeight="1">
      <c r="A11" s="158"/>
      <c r="B11" s="158"/>
      <c r="C11" s="158"/>
      <c r="D11" s="158"/>
      <c r="E11" s="338"/>
      <c r="F11" s="338"/>
      <c r="G11" s="338"/>
    </row>
    <row r="12" spans="1:10" s="159" customFormat="1" ht="11.25">
      <c r="A12" s="190" t="s">
        <v>537</v>
      </c>
      <c r="B12" s="205"/>
      <c r="C12" s="206"/>
      <c r="D12" s="368"/>
      <c r="E12" s="339" t="s">
        <v>542</v>
      </c>
      <c r="F12" s="341">
        <f>IF(E12="Nomina PSAV",D12*1.3,+D12)</f>
        <v>0</v>
      </c>
      <c r="G12" s="341">
        <f t="shared" ref="G12:G36" si="0">+F12*C12</f>
        <v>0</v>
      </c>
    </row>
    <row r="13" spans="1:10" s="159" customFormat="1" ht="11.25">
      <c r="A13" s="190" t="s">
        <v>538</v>
      </c>
      <c r="B13" s="205"/>
      <c r="C13" s="206"/>
      <c r="D13" s="368"/>
      <c r="E13" s="339" t="s">
        <v>542</v>
      </c>
      <c r="F13" s="341">
        <f t="shared" ref="F13:F30" si="1">IF(E13="Nomina PSAV",D13*1.3,+D13)</f>
        <v>0</v>
      </c>
      <c r="G13" s="341">
        <f t="shared" si="0"/>
        <v>0</v>
      </c>
    </row>
    <row r="14" spans="1:10" s="159" customFormat="1" ht="11.25">
      <c r="A14" s="190" t="s">
        <v>539</v>
      </c>
      <c r="B14" s="205"/>
      <c r="C14" s="206"/>
      <c r="D14" s="368"/>
      <c r="E14" s="339" t="s">
        <v>542</v>
      </c>
      <c r="F14" s="341">
        <f t="shared" si="1"/>
        <v>0</v>
      </c>
      <c r="G14" s="341">
        <f t="shared" si="0"/>
        <v>0</v>
      </c>
    </row>
    <row r="15" spans="1:10" s="159" customFormat="1" ht="11.25">
      <c r="A15" s="190" t="s">
        <v>540</v>
      </c>
      <c r="B15" s="190"/>
      <c r="C15" s="339"/>
      <c r="D15" s="340"/>
      <c r="E15" s="339" t="s">
        <v>542</v>
      </c>
      <c r="F15" s="341">
        <f t="shared" si="1"/>
        <v>0</v>
      </c>
      <c r="G15" s="341">
        <f t="shared" si="0"/>
        <v>0</v>
      </c>
    </row>
    <row r="16" spans="1:10" s="159" customFormat="1" ht="11.25">
      <c r="A16" s="190" t="s">
        <v>541</v>
      </c>
      <c r="B16" s="190"/>
      <c r="C16" s="339"/>
      <c r="D16" s="340"/>
      <c r="E16" s="339" t="s">
        <v>542</v>
      </c>
      <c r="F16" s="341">
        <f t="shared" si="1"/>
        <v>0</v>
      </c>
      <c r="G16" s="341">
        <f t="shared" si="0"/>
        <v>0</v>
      </c>
    </row>
    <row r="17" spans="1:7" s="159" customFormat="1" ht="11.25">
      <c r="A17" s="190" t="s">
        <v>563</v>
      </c>
      <c r="B17" s="190"/>
      <c r="C17" s="339"/>
      <c r="D17" s="340"/>
      <c r="E17" s="339" t="s">
        <v>542</v>
      </c>
      <c r="F17" s="341">
        <f t="shared" si="1"/>
        <v>0</v>
      </c>
      <c r="G17" s="341">
        <f t="shared" si="0"/>
        <v>0</v>
      </c>
    </row>
    <row r="18" spans="1:7" s="159" customFormat="1" ht="11.25">
      <c r="A18" s="190" t="s">
        <v>564</v>
      </c>
      <c r="B18" s="190"/>
      <c r="C18" s="339"/>
      <c r="D18" s="340"/>
      <c r="E18" s="339" t="s">
        <v>542</v>
      </c>
      <c r="F18" s="341">
        <f t="shared" si="1"/>
        <v>0</v>
      </c>
      <c r="G18" s="341">
        <f t="shared" si="0"/>
        <v>0</v>
      </c>
    </row>
    <row r="19" spans="1:7" s="159" customFormat="1" ht="11.25">
      <c r="A19" s="190" t="s">
        <v>565</v>
      </c>
      <c r="B19" s="190"/>
      <c r="C19" s="339"/>
      <c r="D19" s="340"/>
      <c r="E19" s="339" t="s">
        <v>542</v>
      </c>
      <c r="F19" s="341">
        <f t="shared" si="1"/>
        <v>0</v>
      </c>
      <c r="G19" s="341">
        <f t="shared" si="0"/>
        <v>0</v>
      </c>
    </row>
    <row r="20" spans="1:7" s="159" customFormat="1" ht="11.25">
      <c r="A20" s="190" t="s">
        <v>566</v>
      </c>
      <c r="B20" s="190"/>
      <c r="C20" s="339"/>
      <c r="D20" s="340"/>
      <c r="E20" s="339" t="s">
        <v>542</v>
      </c>
      <c r="F20" s="341">
        <f t="shared" si="1"/>
        <v>0</v>
      </c>
      <c r="G20" s="341">
        <f t="shared" si="0"/>
        <v>0</v>
      </c>
    </row>
    <row r="21" spans="1:7" s="159" customFormat="1" ht="11.25">
      <c r="A21" s="190" t="s">
        <v>567</v>
      </c>
      <c r="B21" s="190"/>
      <c r="C21" s="339"/>
      <c r="D21" s="340"/>
      <c r="E21" s="339" t="s">
        <v>542</v>
      </c>
      <c r="F21" s="341">
        <f t="shared" si="1"/>
        <v>0</v>
      </c>
      <c r="G21" s="341">
        <f t="shared" si="0"/>
        <v>0</v>
      </c>
    </row>
    <row r="22" spans="1:7" s="159" customFormat="1" ht="11.25">
      <c r="A22" s="190" t="s">
        <v>568</v>
      </c>
      <c r="B22" s="190"/>
      <c r="C22" s="339"/>
      <c r="D22" s="340"/>
      <c r="E22" s="339" t="s">
        <v>542</v>
      </c>
      <c r="F22" s="341">
        <f t="shared" si="1"/>
        <v>0</v>
      </c>
      <c r="G22" s="341">
        <f t="shared" si="0"/>
        <v>0</v>
      </c>
    </row>
    <row r="23" spans="1:7" s="159" customFormat="1" ht="11.25">
      <c r="A23" s="190" t="s">
        <v>569</v>
      </c>
      <c r="B23" s="190"/>
      <c r="C23" s="339"/>
      <c r="D23" s="340"/>
      <c r="E23" s="339" t="s">
        <v>542</v>
      </c>
      <c r="F23" s="341">
        <f t="shared" si="1"/>
        <v>0</v>
      </c>
      <c r="G23" s="341">
        <f t="shared" si="0"/>
        <v>0</v>
      </c>
    </row>
    <row r="24" spans="1:7" s="159" customFormat="1" ht="11.25">
      <c r="A24" s="190" t="s">
        <v>570</v>
      </c>
      <c r="B24" s="190"/>
      <c r="C24" s="339"/>
      <c r="D24" s="340"/>
      <c r="E24" s="339" t="s">
        <v>542</v>
      </c>
      <c r="F24" s="341">
        <f t="shared" si="1"/>
        <v>0</v>
      </c>
      <c r="G24" s="341">
        <f t="shared" si="0"/>
        <v>0</v>
      </c>
    </row>
    <row r="25" spans="1:7" s="159" customFormat="1" ht="11.25">
      <c r="A25" s="190" t="s">
        <v>571</v>
      </c>
      <c r="B25" s="190"/>
      <c r="C25" s="339"/>
      <c r="D25" s="340"/>
      <c r="E25" s="339" t="s">
        <v>542</v>
      </c>
      <c r="F25" s="341">
        <f t="shared" si="1"/>
        <v>0</v>
      </c>
      <c r="G25" s="341">
        <f t="shared" si="0"/>
        <v>0</v>
      </c>
    </row>
    <row r="26" spans="1:7" s="159" customFormat="1" ht="11.25">
      <c r="A26" s="190" t="s">
        <v>572</v>
      </c>
      <c r="B26" s="190"/>
      <c r="C26" s="339"/>
      <c r="D26" s="340"/>
      <c r="E26" s="339" t="s">
        <v>542</v>
      </c>
      <c r="F26" s="341">
        <f t="shared" si="1"/>
        <v>0</v>
      </c>
      <c r="G26" s="341">
        <f t="shared" si="0"/>
        <v>0</v>
      </c>
    </row>
    <row r="27" spans="1:7" s="159" customFormat="1" ht="11.25">
      <c r="A27" s="190" t="s">
        <v>573</v>
      </c>
      <c r="B27" s="190"/>
      <c r="C27" s="339"/>
      <c r="D27" s="340"/>
      <c r="E27" s="339" t="s">
        <v>542</v>
      </c>
      <c r="F27" s="341">
        <f t="shared" si="1"/>
        <v>0</v>
      </c>
      <c r="G27" s="341">
        <f t="shared" si="0"/>
        <v>0</v>
      </c>
    </row>
    <row r="28" spans="1:7" s="159" customFormat="1" ht="11.25">
      <c r="A28" s="190" t="s">
        <v>574</v>
      </c>
      <c r="B28" s="190"/>
      <c r="C28" s="339"/>
      <c r="D28" s="340"/>
      <c r="E28" s="339" t="s">
        <v>542</v>
      </c>
      <c r="F28" s="341">
        <f t="shared" si="1"/>
        <v>0</v>
      </c>
      <c r="G28" s="341">
        <f t="shared" si="0"/>
        <v>0</v>
      </c>
    </row>
    <row r="29" spans="1:7" s="159" customFormat="1" ht="11.25">
      <c r="A29" s="190" t="s">
        <v>575</v>
      </c>
      <c r="B29" s="190"/>
      <c r="C29" s="339"/>
      <c r="D29" s="340"/>
      <c r="E29" s="339" t="s">
        <v>542</v>
      </c>
      <c r="F29" s="341">
        <f t="shared" si="1"/>
        <v>0</v>
      </c>
      <c r="G29" s="341">
        <f t="shared" si="0"/>
        <v>0</v>
      </c>
    </row>
    <row r="30" spans="1:7" s="159" customFormat="1" ht="11.25">
      <c r="A30" s="190" t="s">
        <v>576</v>
      </c>
      <c r="B30" s="190"/>
      <c r="C30" s="339"/>
      <c r="D30" s="340"/>
      <c r="E30" s="339" t="s">
        <v>542</v>
      </c>
      <c r="F30" s="341">
        <f t="shared" si="1"/>
        <v>0</v>
      </c>
      <c r="G30" s="341">
        <f t="shared" si="0"/>
        <v>0</v>
      </c>
    </row>
    <row r="31" spans="1:7" s="159" customFormat="1" ht="11.25">
      <c r="A31" s="190" t="s">
        <v>577</v>
      </c>
      <c r="B31" s="190"/>
      <c r="C31" s="339"/>
      <c r="D31" s="340"/>
      <c r="E31" s="339" t="s">
        <v>542</v>
      </c>
      <c r="F31" s="341">
        <f t="shared" ref="F31:F36" si="2">IF(E31="Nomina PSAV",D31*1.3,+D31)</f>
        <v>0</v>
      </c>
      <c r="G31" s="341">
        <f t="shared" si="0"/>
        <v>0</v>
      </c>
    </row>
    <row r="32" spans="1:7" s="159" customFormat="1" ht="11.25">
      <c r="A32" s="190" t="s">
        <v>578</v>
      </c>
      <c r="B32" s="190"/>
      <c r="C32" s="339"/>
      <c r="D32" s="340"/>
      <c r="E32" s="339" t="s">
        <v>542</v>
      </c>
      <c r="F32" s="341">
        <f t="shared" si="2"/>
        <v>0</v>
      </c>
      <c r="G32" s="341">
        <f t="shared" si="0"/>
        <v>0</v>
      </c>
    </row>
    <row r="33" spans="1:7" s="159" customFormat="1" ht="11.25">
      <c r="A33" s="190" t="s">
        <v>579</v>
      </c>
      <c r="B33" s="190"/>
      <c r="C33" s="339"/>
      <c r="D33" s="340"/>
      <c r="E33" s="339" t="s">
        <v>542</v>
      </c>
      <c r="F33" s="341">
        <f t="shared" si="2"/>
        <v>0</v>
      </c>
      <c r="G33" s="341">
        <f t="shared" si="0"/>
        <v>0</v>
      </c>
    </row>
    <row r="34" spans="1:7" s="159" customFormat="1" ht="11.25">
      <c r="A34" s="190" t="s">
        <v>580</v>
      </c>
      <c r="B34" s="190"/>
      <c r="C34" s="339"/>
      <c r="D34" s="340"/>
      <c r="E34" s="339" t="s">
        <v>542</v>
      </c>
      <c r="F34" s="341">
        <f t="shared" si="2"/>
        <v>0</v>
      </c>
      <c r="G34" s="341">
        <f t="shared" si="0"/>
        <v>0</v>
      </c>
    </row>
    <row r="35" spans="1:7" s="159" customFormat="1" ht="11.25">
      <c r="A35" s="190" t="s">
        <v>581</v>
      </c>
      <c r="B35" s="190"/>
      <c r="C35" s="339"/>
      <c r="D35" s="340"/>
      <c r="E35" s="339" t="s">
        <v>542</v>
      </c>
      <c r="F35" s="341">
        <f t="shared" si="2"/>
        <v>0</v>
      </c>
      <c r="G35" s="341">
        <f t="shared" si="0"/>
        <v>0</v>
      </c>
    </row>
    <row r="36" spans="1:7" s="159" customFormat="1" ht="11.25">
      <c r="A36" s="190" t="s">
        <v>582</v>
      </c>
      <c r="B36" s="190"/>
      <c r="C36" s="339"/>
      <c r="D36" s="340"/>
      <c r="E36" s="339" t="s">
        <v>542</v>
      </c>
      <c r="F36" s="341">
        <f t="shared" si="2"/>
        <v>0</v>
      </c>
      <c r="G36" s="341">
        <f t="shared" si="0"/>
        <v>0</v>
      </c>
    </row>
    <row r="37" spans="1:7" s="159" customFormat="1" ht="4.5" customHeight="1">
      <c r="A37" s="338"/>
      <c r="B37" s="338"/>
      <c r="C37" s="338"/>
      <c r="D37" s="342"/>
      <c r="E37" s="342"/>
      <c r="F37" s="341"/>
      <c r="G37" s="341"/>
    </row>
    <row r="38" spans="1:7" s="159" customFormat="1" ht="12" thickBot="1">
      <c r="A38" s="343" t="s">
        <v>652</v>
      </c>
      <c r="B38" s="338"/>
      <c r="C38" s="338"/>
      <c r="D38" s="338"/>
      <c r="E38" s="344"/>
      <c r="F38" s="345">
        <f>'2-Cotización'!G22</f>
        <v>0</v>
      </c>
      <c r="G38" s="346">
        <f>SUM(G12:G36)</f>
        <v>0</v>
      </c>
    </row>
    <row r="39" spans="1:7" s="159" customFormat="1" ht="4.5" customHeight="1" thickTop="1">
      <c r="A39" s="343"/>
      <c r="B39" s="338"/>
      <c r="C39" s="338"/>
      <c r="D39" s="338"/>
      <c r="E39" s="344"/>
      <c r="F39" s="344"/>
      <c r="G39" s="347"/>
    </row>
    <row r="40" spans="1:7" s="159" customFormat="1">
      <c r="A40" s="803" t="s">
        <v>584</v>
      </c>
      <c r="B40" s="804"/>
      <c r="C40" s="804"/>
      <c r="D40" s="804"/>
      <c r="E40" s="804"/>
      <c r="F40" s="804"/>
      <c r="G40" s="805"/>
    </row>
    <row r="41" spans="1:7" s="159" customFormat="1" ht="4.5" customHeight="1">
      <c r="A41" s="343"/>
      <c r="B41" s="338"/>
      <c r="C41" s="338"/>
      <c r="D41" s="338"/>
      <c r="E41" s="344"/>
      <c r="F41" s="344"/>
      <c r="G41" s="347"/>
    </row>
    <row r="42" spans="1:7" s="159" customFormat="1" ht="22.5">
      <c r="A42" s="337" t="s">
        <v>585</v>
      </c>
      <c r="B42" s="337" t="s">
        <v>545</v>
      </c>
      <c r="C42" s="337" t="s">
        <v>862</v>
      </c>
      <c r="D42" s="337" t="s">
        <v>586</v>
      </c>
      <c r="E42" s="344"/>
      <c r="F42" s="344"/>
      <c r="G42" s="337" t="s">
        <v>492</v>
      </c>
    </row>
    <row r="43" spans="1:7" s="159" customFormat="1" ht="11.25">
      <c r="A43" s="343"/>
      <c r="B43" s="338"/>
      <c r="C43" s="338"/>
      <c r="D43" s="338"/>
      <c r="E43" s="344"/>
      <c r="F43" s="344"/>
      <c r="G43" s="347"/>
    </row>
    <row r="44" spans="1:7" s="159" customFormat="1" ht="11.25">
      <c r="A44" s="190" t="s">
        <v>537</v>
      </c>
      <c r="B44" s="190"/>
      <c r="C44" s="205"/>
      <c r="D44" s="368"/>
      <c r="E44" s="345"/>
      <c r="F44" s="345"/>
      <c r="G44" s="345"/>
    </row>
    <row r="45" spans="1:7" s="159" customFormat="1" ht="11.25">
      <c r="A45" s="190" t="s">
        <v>538</v>
      </c>
      <c r="B45" s="190"/>
      <c r="C45" s="205"/>
      <c r="D45" s="368"/>
      <c r="E45" s="345"/>
      <c r="F45" s="345"/>
      <c r="G45" s="345"/>
    </row>
    <row r="46" spans="1:7" s="159" customFormat="1" ht="11.25">
      <c r="A46" s="190" t="s">
        <v>539</v>
      </c>
      <c r="B46" s="190"/>
      <c r="C46" s="190"/>
      <c r="D46" s="340"/>
      <c r="E46" s="345"/>
      <c r="F46" s="345"/>
      <c r="G46" s="345"/>
    </row>
    <row r="47" spans="1:7" s="159" customFormat="1" ht="11.25">
      <c r="A47" s="190" t="s">
        <v>540</v>
      </c>
      <c r="B47" s="190"/>
      <c r="C47" s="190"/>
      <c r="D47" s="340"/>
      <c r="E47" s="345"/>
      <c r="F47" s="345"/>
      <c r="G47" s="345"/>
    </row>
    <row r="48" spans="1:7" s="159" customFormat="1" ht="11.25">
      <c r="A48" s="190" t="s">
        <v>541</v>
      </c>
      <c r="B48" s="190"/>
      <c r="C48" s="190"/>
      <c r="D48" s="340"/>
      <c r="E48" s="345"/>
      <c r="F48" s="345"/>
      <c r="G48" s="345"/>
    </row>
    <row r="49" spans="1:7" s="159" customFormat="1" ht="11.25">
      <c r="A49" s="190" t="s">
        <v>563</v>
      </c>
      <c r="B49" s="190"/>
      <c r="C49" s="190"/>
      <c r="D49" s="340"/>
      <c r="E49" s="345"/>
      <c r="F49" s="345"/>
      <c r="G49" s="345"/>
    </row>
    <row r="50" spans="1:7" s="159" customFormat="1" ht="11.25">
      <c r="A50" s="190" t="s">
        <v>564</v>
      </c>
      <c r="B50" s="190"/>
      <c r="C50" s="190"/>
      <c r="D50" s="340"/>
      <c r="E50" s="345"/>
      <c r="F50" s="345"/>
      <c r="G50" s="345"/>
    </row>
    <row r="51" spans="1:7" s="159" customFormat="1" ht="11.25">
      <c r="A51" s="190" t="s">
        <v>565</v>
      </c>
      <c r="B51" s="190"/>
      <c r="C51" s="190"/>
      <c r="D51" s="340"/>
      <c r="E51" s="345"/>
      <c r="F51" s="345"/>
      <c r="G51" s="345"/>
    </row>
    <row r="52" spans="1:7" s="159" customFormat="1" ht="11.25">
      <c r="A52" s="190" t="s">
        <v>566</v>
      </c>
      <c r="B52" s="190"/>
      <c r="C52" s="190"/>
      <c r="D52" s="340"/>
      <c r="E52" s="345"/>
      <c r="F52" s="345"/>
      <c r="G52" s="345"/>
    </row>
    <row r="53" spans="1:7" s="159" customFormat="1" ht="12" thickBot="1">
      <c r="A53" s="190" t="s">
        <v>567</v>
      </c>
      <c r="B53" s="190"/>
      <c r="C53" s="190"/>
      <c r="D53" s="340"/>
      <c r="E53" s="345"/>
      <c r="F53" s="345">
        <f>'2-Cotización'!G22</f>
        <v>0</v>
      </c>
      <c r="G53" s="346">
        <f>SUM(D44:D53)</f>
        <v>0</v>
      </c>
    </row>
    <row r="54" spans="1:7" s="159" customFormat="1" ht="5.25" customHeight="1" thickTop="1">
      <c r="A54" s="338"/>
      <c r="B54" s="348"/>
      <c r="C54" s="348"/>
      <c r="D54" s="348"/>
      <c r="E54" s="348"/>
      <c r="F54" s="348"/>
      <c r="G54" s="348"/>
    </row>
    <row r="55" spans="1:7" s="257" customFormat="1">
      <c r="A55" s="803" t="s">
        <v>719</v>
      </c>
      <c r="B55" s="804"/>
      <c r="C55" s="804"/>
      <c r="D55" s="804"/>
      <c r="E55" s="804"/>
      <c r="F55" s="804"/>
      <c r="G55" s="805"/>
    </row>
    <row r="56" spans="1:7" s="257" customFormat="1" ht="11.25">
      <c r="D56" s="349"/>
    </row>
    <row r="57" spans="1:7" s="257" customFormat="1" ht="11.25">
      <c r="A57" s="337" t="s">
        <v>544</v>
      </c>
      <c r="B57" s="337" t="s">
        <v>545</v>
      </c>
      <c r="C57" s="337" t="s">
        <v>600</v>
      </c>
      <c r="D57" s="337" t="s">
        <v>625</v>
      </c>
      <c r="E57" s="337" t="s">
        <v>655</v>
      </c>
      <c r="G57" s="337" t="s">
        <v>492</v>
      </c>
    </row>
    <row r="58" spans="1:7" s="257" customFormat="1" ht="11.25">
      <c r="A58" s="343"/>
      <c r="B58" s="338"/>
      <c r="C58" s="350">
        <f>IF(C59=0%,1%,IF(C59=2%,1%,2%))</f>
        <v>0.01</v>
      </c>
      <c r="D58" s="350">
        <f>IF(C60=0%,1%,IF(C60=2%,1%,2%))</f>
        <v>0.01</v>
      </c>
      <c r="E58" s="351">
        <f>IF(F58=4%,4%,SUM(C58:D58))</f>
        <v>0.02</v>
      </c>
      <c r="F58" s="351">
        <f>SUM(C59:C60)</f>
        <v>0.02</v>
      </c>
    </row>
    <row r="59" spans="1:7" s="257" customFormat="1" ht="11.25">
      <c r="A59" s="190" t="s">
        <v>531</v>
      </c>
      <c r="B59" s="190" t="s">
        <v>598</v>
      </c>
      <c r="C59" s="352">
        <f>IF(B59="NSF",0.02,IF(B59="Sales Manager",2%,0))</f>
        <v>0.02</v>
      </c>
      <c r="D59" s="340">
        <f ca="1">+'2-Cotización'!G33</f>
        <v>0</v>
      </c>
      <c r="E59" s="353">
        <f ca="1">+$D$59*C59</f>
        <v>0</v>
      </c>
      <c r="G59" s="353"/>
    </row>
    <row r="60" spans="1:7" s="257" customFormat="1" ht="11.25">
      <c r="A60" s="190" t="s">
        <v>538</v>
      </c>
      <c r="B60" s="190"/>
      <c r="C60" s="352">
        <f>IF(B60="NSF",0.02,IF(B60="Sales Manager",2%,0))</f>
        <v>0</v>
      </c>
      <c r="D60" s="340">
        <f ca="1">+'2-Cotización'!G33</f>
        <v>0</v>
      </c>
      <c r="E60" s="353">
        <f ca="1">+$D$60*C60</f>
        <v>0</v>
      </c>
      <c r="G60" s="353"/>
    </row>
    <row r="61" spans="1:7" ht="13.5" thickBot="1">
      <c r="A61" s="190" t="s">
        <v>598</v>
      </c>
      <c r="B61" s="338"/>
      <c r="C61" s="354">
        <f>IF(B59="NSF",0.5%,IF(B60="NSF",0.5%,0))</f>
        <v>5.0000000000000001E-3</v>
      </c>
      <c r="E61" s="353">
        <f ca="1">IF(B59="NSF",0.5%*D59,IF(B60="NSF",0.5%*D60,0))</f>
        <v>0</v>
      </c>
      <c r="F61" s="345">
        <f>'2-Cotización'!G22</f>
        <v>0</v>
      </c>
      <c r="G61" s="346">
        <f ca="1">SUM(E59:E61)</f>
        <v>0</v>
      </c>
    </row>
    <row r="62" spans="1:7" ht="13.5" thickTop="1">
      <c r="A62" s="355" t="str">
        <f>IF(E58=2%,"","Debe haber autorización del Director Comercial, por ser diferente la comisión a lo que marca la politica")</f>
        <v/>
      </c>
    </row>
    <row r="63" spans="1:7">
      <c r="A63" s="803" t="s">
        <v>587</v>
      </c>
      <c r="B63" s="804"/>
      <c r="C63" s="804"/>
      <c r="D63" s="804"/>
      <c r="E63" s="804"/>
      <c r="F63" s="804"/>
      <c r="G63" s="805"/>
    </row>
    <row r="64" spans="1:7" s="257" customFormat="1" ht="4.5" customHeight="1"/>
    <row r="65" spans="1:7" s="257" customFormat="1" ht="11.25">
      <c r="C65" s="337" t="s">
        <v>592</v>
      </c>
      <c r="D65" s="337" t="s">
        <v>600</v>
      </c>
      <c r="E65" s="337" t="s">
        <v>394</v>
      </c>
      <c r="G65" s="337" t="s">
        <v>492</v>
      </c>
    </row>
    <row r="66" spans="1:7" s="257" customFormat="1" ht="11.25">
      <c r="B66" s="356" t="s">
        <v>850</v>
      </c>
      <c r="C66" s="357">
        <f ca="1">+'2-Cotización'!G38</f>
        <v>0</v>
      </c>
      <c r="D66" s="358"/>
      <c r="E66" s="358"/>
    </row>
    <row r="67" spans="1:7" s="257" customFormat="1" ht="11.25">
      <c r="A67" s="808" t="s">
        <v>854</v>
      </c>
      <c r="B67" s="808"/>
      <c r="C67" s="808"/>
      <c r="D67" s="808"/>
      <c r="E67" s="808"/>
      <c r="F67" s="808"/>
      <c r="G67" s="808"/>
    </row>
    <row r="68" spans="1:7" s="257" customFormat="1" ht="11.25">
      <c r="A68" s="257" t="s">
        <v>591</v>
      </c>
      <c r="B68" s="359"/>
      <c r="C68" s="360"/>
      <c r="D68" s="361">
        <f>IF(B68="American Express",4.7%,IF(B68="Visa-Master Card",3.4%,0))</f>
        <v>0</v>
      </c>
      <c r="E68" s="353">
        <f>+C68*D68</f>
        <v>0</v>
      </c>
    </row>
    <row r="69" spans="1:7" s="257" customFormat="1" ht="11.25">
      <c r="A69" s="257" t="s">
        <v>591</v>
      </c>
      <c r="B69" s="359"/>
      <c r="C69" s="360"/>
      <c r="D69" s="361">
        <f>IF(B69="American Express",4.7%,IF(B69="Visa-Master Card",3.5%,0))</f>
        <v>0</v>
      </c>
      <c r="E69" s="353">
        <f>+C69*D69</f>
        <v>0</v>
      </c>
    </row>
    <row r="70" spans="1:7" s="257" customFormat="1" ht="12" thickBot="1">
      <c r="A70" s="257" t="s">
        <v>720</v>
      </c>
      <c r="B70" s="349"/>
      <c r="C70" s="361"/>
      <c r="D70" s="361"/>
      <c r="E70" s="362"/>
      <c r="F70" s="345">
        <f>'2-Cotización'!G22</f>
        <v>0</v>
      </c>
      <c r="G70" s="346">
        <f>SUM(E68:E70)</f>
        <v>0</v>
      </c>
    </row>
    <row r="71" spans="1:7" s="257" customFormat="1" ht="4.5" customHeight="1" thickTop="1">
      <c r="D71" s="349"/>
    </row>
    <row r="72" spans="1:7" s="159" customFormat="1">
      <c r="A72" s="803" t="s">
        <v>656</v>
      </c>
      <c r="B72" s="804"/>
      <c r="C72" s="804"/>
      <c r="D72" s="804"/>
      <c r="E72" s="804"/>
      <c r="F72" s="804"/>
      <c r="G72" s="805"/>
    </row>
    <row r="73" spans="1:7" s="159" customFormat="1" ht="4.5" customHeight="1">
      <c r="A73" s="343"/>
      <c r="B73" s="338"/>
      <c r="C73" s="338"/>
      <c r="D73" s="338"/>
      <c r="E73" s="344"/>
      <c r="F73" s="344"/>
      <c r="G73" s="347"/>
    </row>
    <row r="74" spans="1:7" s="159" customFormat="1" ht="11.25">
      <c r="A74" s="363" t="s">
        <v>657</v>
      </c>
      <c r="B74" s="363" t="s">
        <v>503</v>
      </c>
      <c r="C74" s="364" t="s">
        <v>499</v>
      </c>
      <c r="D74" s="365"/>
      <c r="E74" s="366" t="s">
        <v>602</v>
      </c>
      <c r="F74" s="347"/>
      <c r="G74" s="337" t="s">
        <v>492</v>
      </c>
    </row>
    <row r="75" spans="1:7" s="159" customFormat="1" ht="11.25">
      <c r="A75" s="343"/>
      <c r="B75" s="338"/>
      <c r="C75" s="338"/>
      <c r="E75" s="344"/>
      <c r="F75" s="347"/>
    </row>
    <row r="76" spans="1:7" s="159" customFormat="1" ht="11.25">
      <c r="A76" s="190" t="s">
        <v>537</v>
      </c>
      <c r="B76" s="190"/>
      <c r="C76" s="811"/>
      <c r="D76" s="812"/>
      <c r="E76" s="340"/>
      <c r="F76" s="345"/>
    </row>
    <row r="77" spans="1:7" s="159" customFormat="1" ht="11.25">
      <c r="A77" s="190" t="s">
        <v>538</v>
      </c>
      <c r="B77" s="190"/>
      <c r="C77" s="812"/>
      <c r="D77" s="812"/>
      <c r="E77" s="340"/>
      <c r="F77" s="345"/>
    </row>
    <row r="78" spans="1:7" s="159" customFormat="1" ht="11.25">
      <c r="A78" s="190" t="s">
        <v>539</v>
      </c>
      <c r="B78" s="190"/>
      <c r="C78" s="812"/>
      <c r="D78" s="812"/>
      <c r="E78" s="340"/>
      <c r="F78" s="345"/>
    </row>
    <row r="79" spans="1:7" s="159" customFormat="1" ht="11.25">
      <c r="A79" s="190" t="s">
        <v>540</v>
      </c>
      <c r="B79" s="190"/>
      <c r="C79" s="812"/>
      <c r="D79" s="812"/>
      <c r="E79" s="340"/>
      <c r="F79" s="345"/>
    </row>
    <row r="80" spans="1:7" s="159" customFormat="1" ht="11.25">
      <c r="A80" s="190" t="s">
        <v>541</v>
      </c>
      <c r="B80" s="190"/>
      <c r="C80" s="812"/>
      <c r="D80" s="812"/>
      <c r="E80" s="340"/>
      <c r="F80" s="345"/>
    </row>
    <row r="81" spans="1:7" s="159" customFormat="1" ht="11.25">
      <c r="A81" s="190" t="s">
        <v>563</v>
      </c>
      <c r="B81" s="190"/>
      <c r="C81" s="812"/>
      <c r="D81" s="812"/>
      <c r="E81" s="340"/>
      <c r="F81" s="345"/>
    </row>
    <row r="82" spans="1:7" s="159" customFormat="1" ht="11.25">
      <c r="A82" s="190" t="s">
        <v>564</v>
      </c>
      <c r="B82" s="190"/>
      <c r="C82" s="812"/>
      <c r="D82" s="812"/>
      <c r="E82" s="340"/>
      <c r="F82" s="345"/>
    </row>
    <row r="83" spans="1:7" s="159" customFormat="1" ht="12" thickBot="1">
      <c r="A83" s="190" t="s">
        <v>565</v>
      </c>
      <c r="B83" s="190"/>
      <c r="C83" s="812"/>
      <c r="D83" s="812"/>
      <c r="E83" s="340"/>
      <c r="F83" s="345">
        <f>'2-Cotización'!G22</f>
        <v>0</v>
      </c>
      <c r="G83" s="346">
        <f>SUM(E76:E83)</f>
        <v>0</v>
      </c>
    </row>
    <row r="84" spans="1:7" s="159" customFormat="1" ht="5.25" customHeight="1" thickTop="1">
      <c r="A84" s="338"/>
      <c r="B84" s="348"/>
      <c r="C84" s="348"/>
      <c r="D84" s="806"/>
      <c r="E84" s="806"/>
      <c r="F84" s="348"/>
      <c r="G84" s="348"/>
    </row>
    <row r="85" spans="1:7" s="257" customFormat="1" ht="11.25"/>
    <row r="87" spans="1:7">
      <c r="A87" s="803" t="s">
        <v>395</v>
      </c>
      <c r="B87" s="804"/>
      <c r="C87" s="804"/>
      <c r="D87" s="804"/>
      <c r="E87" s="804"/>
      <c r="F87" s="804"/>
      <c r="G87" s="805"/>
    </row>
    <row r="88" spans="1:7" s="257" customFormat="1" ht="4.5" customHeight="1"/>
    <row r="89" spans="1:7" s="257" customFormat="1" ht="4.5" customHeight="1"/>
    <row r="90" spans="1:7" s="257" customFormat="1" ht="11.25">
      <c r="A90" s="257" t="s">
        <v>670</v>
      </c>
    </row>
    <row r="91" spans="1:7" s="257" customFormat="1" ht="22.5">
      <c r="A91" s="337" t="s">
        <v>669</v>
      </c>
      <c r="B91" s="337" t="s">
        <v>502</v>
      </c>
      <c r="C91" s="337" t="s">
        <v>860</v>
      </c>
      <c r="D91" s="337" t="s">
        <v>875</v>
      </c>
      <c r="E91" s="337" t="s">
        <v>681</v>
      </c>
      <c r="G91" s="337" t="s">
        <v>682</v>
      </c>
    </row>
    <row r="92" spans="1:7" s="257" customFormat="1" ht="11.25">
      <c r="A92" s="190" t="s">
        <v>537</v>
      </c>
      <c r="B92" s="367"/>
      <c r="C92" s="368"/>
      <c r="D92" s="367" t="s">
        <v>677</v>
      </c>
      <c r="E92" s="369">
        <f>IF(B92="MANO DE OBRA",30%,VLOOKUP(D92,'8-Condicionantes'!$O$2:$P$7,2,0))</f>
        <v>0</v>
      </c>
      <c r="G92" s="353">
        <f>IF(E92&gt;0%,(C92*E92),0)</f>
        <v>0</v>
      </c>
    </row>
    <row r="93" spans="1:7" s="257" customFormat="1" ht="11.25">
      <c r="A93" s="190" t="s">
        <v>538</v>
      </c>
      <c r="B93" s="367"/>
      <c r="C93" s="368"/>
      <c r="D93" s="367" t="s">
        <v>677</v>
      </c>
      <c r="E93" s="369">
        <f>IF(B93="MANO DE OBRA",30%,VLOOKUP(D93,'8-Condicionantes'!$O$2:$P$7,2,0))</f>
        <v>0</v>
      </c>
      <c r="G93" s="353">
        <f t="shared" ref="G93:G111" si="3">IF(E93&gt;0%,(C93*E93),0)</f>
        <v>0</v>
      </c>
    </row>
    <row r="94" spans="1:7" s="257" customFormat="1" ht="11.25">
      <c r="A94" s="190" t="s">
        <v>539</v>
      </c>
      <c r="B94" s="367"/>
      <c r="C94" s="368"/>
      <c r="D94" s="367" t="s">
        <v>677</v>
      </c>
      <c r="E94" s="369">
        <f>IF(B94="MANO DE OBRA",30%,VLOOKUP(D94,'8-Condicionantes'!$O$2:$P$7,2,0))</f>
        <v>0</v>
      </c>
      <c r="G94" s="353">
        <f t="shared" si="3"/>
        <v>0</v>
      </c>
    </row>
    <row r="95" spans="1:7" s="257" customFormat="1" ht="11.25">
      <c r="A95" s="190" t="s">
        <v>540</v>
      </c>
      <c r="B95" s="367"/>
      <c r="C95" s="368"/>
      <c r="D95" s="367" t="s">
        <v>677</v>
      </c>
      <c r="E95" s="369">
        <f>IF(B95="MANO DE OBRA",30%,VLOOKUP(D95,'8-Condicionantes'!$O$2:$P$7,2,0))</f>
        <v>0</v>
      </c>
      <c r="G95" s="353">
        <f t="shared" si="3"/>
        <v>0</v>
      </c>
    </row>
    <row r="96" spans="1:7" s="257" customFormat="1" ht="11.25">
      <c r="A96" s="190" t="s">
        <v>541</v>
      </c>
      <c r="B96" s="367"/>
      <c r="C96" s="368"/>
      <c r="D96" s="367" t="s">
        <v>677</v>
      </c>
      <c r="E96" s="369">
        <f>IF(B96="MANO DE OBRA",30%,VLOOKUP(D96,'8-Condicionantes'!$O$2:$P$7,2,0))</f>
        <v>0</v>
      </c>
      <c r="G96" s="353">
        <f t="shared" si="3"/>
        <v>0</v>
      </c>
    </row>
    <row r="97" spans="1:7" s="257" customFormat="1" ht="11.25">
      <c r="A97" s="190" t="s">
        <v>563</v>
      </c>
      <c r="B97" s="367"/>
      <c r="C97" s="368"/>
      <c r="D97" s="367" t="s">
        <v>677</v>
      </c>
      <c r="E97" s="369">
        <f>IF(B97="MANO DE OBRA",30%,VLOOKUP(D97,'8-Condicionantes'!$O$2:$P$7,2,0))</f>
        <v>0</v>
      </c>
      <c r="G97" s="353">
        <f t="shared" si="3"/>
        <v>0</v>
      </c>
    </row>
    <row r="98" spans="1:7" s="257" customFormat="1" ht="11.25">
      <c r="A98" s="190" t="s">
        <v>564</v>
      </c>
      <c r="B98" s="367"/>
      <c r="C98" s="368"/>
      <c r="D98" s="367" t="s">
        <v>677</v>
      </c>
      <c r="E98" s="369">
        <f>IF(B98="MANO DE OBRA",30%,VLOOKUP(D98,'8-Condicionantes'!$O$2:$P$7,2,0))</f>
        <v>0</v>
      </c>
      <c r="G98" s="353">
        <f t="shared" si="3"/>
        <v>0</v>
      </c>
    </row>
    <row r="99" spans="1:7" s="257" customFormat="1" ht="11.25">
      <c r="A99" s="190" t="s">
        <v>565</v>
      </c>
      <c r="B99" s="367"/>
      <c r="C99" s="368"/>
      <c r="D99" s="367" t="s">
        <v>677</v>
      </c>
      <c r="E99" s="369">
        <f>IF(B99="MANO DE OBRA",30%,VLOOKUP(D99,'8-Condicionantes'!$O$2:$P$7,2,0))</f>
        <v>0</v>
      </c>
      <c r="G99" s="353">
        <f t="shared" si="3"/>
        <v>0</v>
      </c>
    </row>
    <row r="100" spans="1:7" s="257" customFormat="1" ht="11.25">
      <c r="A100" s="190" t="s">
        <v>566</v>
      </c>
      <c r="B100" s="367"/>
      <c r="C100" s="368"/>
      <c r="D100" s="367" t="s">
        <v>677</v>
      </c>
      <c r="E100" s="369">
        <f>IF(B100="MANO DE OBRA",30%,VLOOKUP(D100,'8-Condicionantes'!$O$2:$P$7,2,0))</f>
        <v>0</v>
      </c>
      <c r="G100" s="353">
        <f t="shared" si="3"/>
        <v>0</v>
      </c>
    </row>
    <row r="101" spans="1:7" s="257" customFormat="1" ht="11.25">
      <c r="A101" s="190" t="s">
        <v>567</v>
      </c>
      <c r="B101" s="367"/>
      <c r="C101" s="368"/>
      <c r="D101" s="367" t="s">
        <v>677</v>
      </c>
      <c r="E101" s="369">
        <f>IF(B101="MANO DE OBRA",30%,VLOOKUP(D101,'8-Condicionantes'!$O$2:$P$7,2,0))</f>
        <v>0</v>
      </c>
      <c r="G101" s="353">
        <f t="shared" si="3"/>
        <v>0</v>
      </c>
    </row>
    <row r="102" spans="1:7" s="257" customFormat="1" ht="11.25">
      <c r="A102" s="190" t="s">
        <v>568</v>
      </c>
      <c r="B102" s="367"/>
      <c r="C102" s="368"/>
      <c r="D102" s="367" t="s">
        <v>677</v>
      </c>
      <c r="E102" s="369">
        <f>IF(B102="MANO DE OBRA",30%,VLOOKUP(D102,'8-Condicionantes'!$O$2:$P$7,2,0))</f>
        <v>0</v>
      </c>
      <c r="G102" s="353">
        <f t="shared" si="3"/>
        <v>0</v>
      </c>
    </row>
    <row r="103" spans="1:7" s="257" customFormat="1" ht="11.25">
      <c r="A103" s="190" t="s">
        <v>569</v>
      </c>
      <c r="B103" s="367"/>
      <c r="C103" s="368"/>
      <c r="D103" s="367" t="s">
        <v>677</v>
      </c>
      <c r="E103" s="369">
        <f>IF(B103="MANO DE OBRA",30%,VLOOKUP(D103,'8-Condicionantes'!$O$2:$P$7,2,0))</f>
        <v>0</v>
      </c>
      <c r="G103" s="353">
        <f t="shared" si="3"/>
        <v>0</v>
      </c>
    </row>
    <row r="104" spans="1:7" s="257" customFormat="1" ht="11.25">
      <c r="A104" s="190" t="s">
        <v>570</v>
      </c>
      <c r="B104" s="367"/>
      <c r="C104" s="368"/>
      <c r="D104" s="367" t="s">
        <v>677</v>
      </c>
      <c r="E104" s="369">
        <f>IF(B104="MANO DE OBRA",30%,VLOOKUP(D104,'8-Condicionantes'!$O$2:$P$7,2,0))</f>
        <v>0</v>
      </c>
      <c r="G104" s="353">
        <f t="shared" si="3"/>
        <v>0</v>
      </c>
    </row>
    <row r="105" spans="1:7" s="257" customFormat="1" ht="11.25">
      <c r="A105" s="190" t="s">
        <v>571</v>
      </c>
      <c r="B105" s="367"/>
      <c r="C105" s="368"/>
      <c r="D105" s="367" t="s">
        <v>677</v>
      </c>
      <c r="E105" s="369">
        <f>IF(B105="MANO DE OBRA",30%,VLOOKUP(D105,'8-Condicionantes'!$O$2:$P$7,2,0))</f>
        <v>0</v>
      </c>
      <c r="G105" s="353">
        <f t="shared" si="3"/>
        <v>0</v>
      </c>
    </row>
    <row r="106" spans="1:7" s="257" customFormat="1" ht="11.25">
      <c r="A106" s="190" t="s">
        <v>572</v>
      </c>
      <c r="B106" s="367"/>
      <c r="C106" s="368"/>
      <c r="D106" s="367" t="s">
        <v>677</v>
      </c>
      <c r="E106" s="369">
        <f>IF(B106="MANO DE OBRA",30%,VLOOKUP(D106,'8-Condicionantes'!$O$2:$P$7,2,0))</f>
        <v>0</v>
      </c>
      <c r="G106" s="353">
        <f t="shared" si="3"/>
        <v>0</v>
      </c>
    </row>
    <row r="107" spans="1:7" s="257" customFormat="1" ht="11.25">
      <c r="A107" s="190" t="s">
        <v>573</v>
      </c>
      <c r="B107" s="367"/>
      <c r="C107" s="368"/>
      <c r="D107" s="367" t="s">
        <v>677</v>
      </c>
      <c r="E107" s="369">
        <f>IF(B107="MANO DE OBRA",30%,VLOOKUP(D107,'8-Condicionantes'!$O$2:$P$7,2,0))</f>
        <v>0</v>
      </c>
      <c r="G107" s="353">
        <f t="shared" si="3"/>
        <v>0</v>
      </c>
    </row>
    <row r="108" spans="1:7" s="257" customFormat="1" ht="11.25">
      <c r="A108" s="190" t="s">
        <v>574</v>
      </c>
      <c r="B108" s="367"/>
      <c r="C108" s="368"/>
      <c r="D108" s="367" t="s">
        <v>677</v>
      </c>
      <c r="E108" s="369">
        <f>IF(B108="MANO DE OBRA",30%,VLOOKUP(D108,'8-Condicionantes'!$O$2:$P$7,2,0))</f>
        <v>0</v>
      </c>
      <c r="G108" s="353">
        <f t="shared" si="3"/>
        <v>0</v>
      </c>
    </row>
    <row r="109" spans="1:7" s="257" customFormat="1" ht="11.25">
      <c r="A109" s="190" t="s">
        <v>575</v>
      </c>
      <c r="B109" s="367"/>
      <c r="C109" s="368"/>
      <c r="D109" s="367" t="s">
        <v>677</v>
      </c>
      <c r="E109" s="369">
        <f>IF(B109="MANO DE OBRA",30%,VLOOKUP(D109,'8-Condicionantes'!$O$2:$P$7,2,0))</f>
        <v>0</v>
      </c>
      <c r="G109" s="353">
        <f t="shared" si="3"/>
        <v>0</v>
      </c>
    </row>
    <row r="110" spans="1:7" s="257" customFormat="1" ht="11.25">
      <c r="A110" s="190" t="s">
        <v>576</v>
      </c>
      <c r="B110" s="367"/>
      <c r="C110" s="368"/>
      <c r="D110" s="367" t="s">
        <v>677</v>
      </c>
      <c r="E110" s="369">
        <f>IF(B110="MANO DE OBRA",30%,VLOOKUP(D110,'8-Condicionantes'!$O$2:$P$7,2,0))</f>
        <v>0</v>
      </c>
      <c r="G110" s="353">
        <f t="shared" si="3"/>
        <v>0</v>
      </c>
    </row>
    <row r="111" spans="1:7" s="257" customFormat="1" ht="11.25">
      <c r="A111" s="190" t="s">
        <v>577</v>
      </c>
      <c r="B111" s="367"/>
      <c r="C111" s="368"/>
      <c r="D111" s="367" t="s">
        <v>677</v>
      </c>
      <c r="E111" s="369">
        <f>IF(B111="MANO DE OBRA",30%,VLOOKUP(D111,'8-Condicionantes'!$O$2:$P$7,2,0))</f>
        <v>0</v>
      </c>
      <c r="G111" s="353">
        <f t="shared" si="3"/>
        <v>0</v>
      </c>
    </row>
    <row r="112" spans="1:7" s="257" customFormat="1" ht="12" thickBot="1">
      <c r="D112" s="349"/>
      <c r="F112" s="345">
        <f>'2-Cotización'!G22</f>
        <v>0</v>
      </c>
      <c r="G112" s="346">
        <f>SUM(G92:G111)</f>
        <v>0</v>
      </c>
    </row>
    <row r="113" spans="1:3" ht="23.25" thickTop="1">
      <c r="A113" s="809" t="s">
        <v>680</v>
      </c>
      <c r="B113" s="810"/>
      <c r="C113" s="337" t="s">
        <v>861</v>
      </c>
    </row>
    <row r="114" spans="1:3">
      <c r="A114" s="370" t="s">
        <v>674</v>
      </c>
      <c r="B114" s="371" t="s">
        <v>683</v>
      </c>
      <c r="C114" s="372">
        <v>0.3</v>
      </c>
    </row>
    <row r="115" spans="1:3">
      <c r="A115" s="373" t="s">
        <v>675</v>
      </c>
      <c r="B115" s="374" t="s">
        <v>684</v>
      </c>
      <c r="C115" s="375">
        <v>0.3</v>
      </c>
    </row>
    <row r="116" spans="1:3">
      <c r="A116" s="373" t="s">
        <v>676</v>
      </c>
      <c r="B116" s="374" t="s">
        <v>685</v>
      </c>
      <c r="C116" s="375">
        <v>0.3</v>
      </c>
    </row>
    <row r="117" spans="1:3">
      <c r="A117" s="373" t="s">
        <v>672</v>
      </c>
      <c r="B117" s="374" t="s">
        <v>679</v>
      </c>
      <c r="C117" s="375">
        <v>0.3</v>
      </c>
    </row>
    <row r="118" spans="1:3">
      <c r="A118" s="376" t="s">
        <v>673</v>
      </c>
      <c r="B118" s="377" t="s">
        <v>678</v>
      </c>
      <c r="C118" s="378">
        <v>0.3</v>
      </c>
    </row>
  </sheetData>
  <mergeCells count="19">
    <mergeCell ref="A113:B113"/>
    <mergeCell ref="C76:D76"/>
    <mergeCell ref="C77:D77"/>
    <mergeCell ref="C78:D78"/>
    <mergeCell ref="C79:D79"/>
    <mergeCell ref="C80:D80"/>
    <mergeCell ref="C81:D81"/>
    <mergeCell ref="C82:D82"/>
    <mergeCell ref="C83:D83"/>
    <mergeCell ref="A3:G3"/>
    <mergeCell ref="A40:G40"/>
    <mergeCell ref="A87:G87"/>
    <mergeCell ref="A72:G72"/>
    <mergeCell ref="D84:E84"/>
    <mergeCell ref="A9:G9"/>
    <mergeCell ref="A63:G63"/>
    <mergeCell ref="A55:G55"/>
    <mergeCell ref="A8:G8"/>
    <mergeCell ref="A67:G67"/>
  </mergeCells>
  <phoneticPr fontId="3" type="noConversion"/>
  <printOptions horizontalCentered="1"/>
  <pageMargins left="0.19685039370078741" right="0.19685039370078741" top="0.39370078740157483" bottom="0.59055118110236227" header="0" footer="0"/>
  <pageSetup scale="81" fitToHeight="2" orientation="portrait" r:id="rId1"/>
  <headerFooter alignWithMargins="0"/>
  <rowBreaks count="1" manualBreakCount="1">
    <brk id="86" max="6"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
    <tabColor indexed="53"/>
    <pageSetUpPr fitToPage="1"/>
  </sheetPr>
  <dimension ref="A1:G47"/>
  <sheetViews>
    <sheetView showGridLines="0" zoomScale="85" zoomScaleNormal="100" zoomScaleSheetLayoutView="100" workbookViewId="0">
      <pane xSplit="1" ySplit="13" topLeftCell="B14" activePane="bottomRight" state="frozen"/>
      <selection activeCell="A28" sqref="A28:K28"/>
      <selection pane="topRight" activeCell="A28" sqref="A28:K28"/>
      <selection pane="bottomLeft" activeCell="A28" sqref="A28:K28"/>
      <selection pane="bottomRight" activeCell="H10" sqref="H10"/>
    </sheetView>
  </sheetViews>
  <sheetFormatPr baseColWidth="10" defaultRowHeight="12.75" outlineLevelRow="1" outlineLevelCol="1"/>
  <cols>
    <col min="1" max="1" width="15.85546875" style="213" customWidth="1"/>
    <col min="2" max="2" width="50.85546875" style="213" bestFit="1" customWidth="1"/>
    <col min="3" max="3" width="61.5703125" style="213" hidden="1" customWidth="1" outlineLevel="1"/>
    <col min="4" max="4" width="14.7109375" style="498" customWidth="1" collapsed="1"/>
    <col min="5" max="7" width="14.7109375" style="213" customWidth="1"/>
    <col min="8" max="16384" width="11.42578125" style="213"/>
  </cols>
  <sheetData>
    <row r="1" spans="1:7" ht="18">
      <c r="A1" s="493" t="s">
        <v>56</v>
      </c>
      <c r="B1" s="494"/>
      <c r="C1" s="494"/>
      <c r="D1" s="495"/>
      <c r="E1" s="494"/>
      <c r="F1" s="494"/>
      <c r="G1" s="496"/>
    </row>
    <row r="2" spans="1:7">
      <c r="A2" s="497" t="s">
        <v>801</v>
      </c>
      <c r="C2" s="306"/>
      <c r="G2" s="499"/>
    </row>
    <row r="3" spans="1:7">
      <c r="A3" s="497"/>
      <c r="C3" s="306"/>
      <c r="G3" s="499"/>
    </row>
    <row r="4" spans="1:7">
      <c r="A4" s="624" t="s">
        <v>256</v>
      </c>
      <c r="B4" s="658">
        <f>+'2-Cotización'!C10</f>
        <v>0</v>
      </c>
      <c r="C4" s="306"/>
      <c r="D4" s="630" t="s">
        <v>258</v>
      </c>
      <c r="E4" s="625"/>
      <c r="F4" s="657"/>
      <c r="G4" s="499"/>
    </row>
    <row r="5" spans="1:7">
      <c r="A5" s="624" t="s">
        <v>633</v>
      </c>
      <c r="B5" s="625">
        <v>7009</v>
      </c>
      <c r="C5" s="306"/>
      <c r="D5" s="630" t="s">
        <v>259</v>
      </c>
      <c r="G5" s="499"/>
    </row>
    <row r="6" spans="1:7">
      <c r="A6" s="624" t="s">
        <v>254</v>
      </c>
      <c r="B6" s="625">
        <v>900</v>
      </c>
      <c r="C6" s="306"/>
      <c r="D6" s="816">
        <f>+'2-Cotización'!G10</f>
        <v>0</v>
      </c>
      <c r="E6" s="817"/>
      <c r="F6" s="817"/>
      <c r="G6" s="818"/>
    </row>
    <row r="7" spans="1:7">
      <c r="A7" s="624" t="s">
        <v>255</v>
      </c>
      <c r="B7" s="625">
        <v>400</v>
      </c>
      <c r="C7" s="306"/>
      <c r="D7" s="630" t="s">
        <v>260</v>
      </c>
      <c r="G7" s="499"/>
    </row>
    <row r="8" spans="1:7">
      <c r="A8" s="626" t="s">
        <v>58</v>
      </c>
      <c r="B8" s="627">
        <f>+'2-Cotización'!B7</f>
        <v>0</v>
      </c>
      <c r="D8" s="630">
        <f>+'2-Cotización'!G19</f>
        <v>0</v>
      </c>
      <c r="E8" s="627"/>
      <c r="F8" s="627"/>
      <c r="G8" s="628"/>
    </row>
    <row r="9" spans="1:7">
      <c r="A9" s="626" t="s">
        <v>908</v>
      </c>
      <c r="B9" s="651"/>
      <c r="D9" s="630" t="s">
        <v>261</v>
      </c>
      <c r="E9" s="627"/>
      <c r="F9" s="632">
        <f>+'2-Cotización'!G15</f>
        <v>0</v>
      </c>
      <c r="G9" s="628"/>
    </row>
    <row r="10" spans="1:7">
      <c r="A10" s="626"/>
      <c r="B10" s="627"/>
      <c r="D10" s="630" t="s">
        <v>262</v>
      </c>
      <c r="E10" s="627"/>
      <c r="F10" s="627"/>
      <c r="G10" s="628"/>
    </row>
    <row r="11" spans="1:7">
      <c r="A11" s="500"/>
      <c r="D11" s="630">
        <f>+'2-Cotización'!G13</f>
        <v>0</v>
      </c>
      <c r="G11" s="499"/>
    </row>
    <row r="12" spans="1:7">
      <c r="A12" s="501"/>
      <c r="G12" s="499"/>
    </row>
    <row r="13" spans="1:7" s="441" customFormat="1">
      <c r="A13" s="503" t="s">
        <v>95</v>
      </c>
      <c r="B13" s="503" t="s">
        <v>57</v>
      </c>
      <c r="C13" s="503" t="s">
        <v>128</v>
      </c>
      <c r="D13" s="504" t="s">
        <v>125</v>
      </c>
      <c r="E13" s="503" t="s">
        <v>54</v>
      </c>
      <c r="F13" s="503" t="s">
        <v>55</v>
      </c>
      <c r="G13" s="503" t="s">
        <v>492</v>
      </c>
    </row>
    <row r="14" spans="1:7">
      <c r="A14" s="505" t="s">
        <v>60</v>
      </c>
      <c r="B14" s="506" t="s">
        <v>59</v>
      </c>
      <c r="C14" s="506" t="s">
        <v>10</v>
      </c>
      <c r="D14" s="507">
        <f ca="1">SUM('4a-Venta-Des.'!C19:C21,'4a-Venta-Des.'!C23:C25)</f>
        <v>0</v>
      </c>
      <c r="E14" s="507">
        <f ca="1">SUM('4a-Venta-Des.'!G19:G21,'4a-Venta-Des.'!G23:G25)</f>
        <v>0</v>
      </c>
      <c r="F14" s="508">
        <f t="shared" ref="F14:F32" ca="1" si="0">IF(E14=0,0,E14/D14)</f>
        <v>0</v>
      </c>
      <c r="G14" s="509">
        <f ca="1">+D14-E14</f>
        <v>0</v>
      </c>
    </row>
    <row r="15" spans="1:7">
      <c r="A15" s="505" t="s">
        <v>61</v>
      </c>
      <c r="B15" s="506" t="s">
        <v>80</v>
      </c>
      <c r="C15" s="506" t="s">
        <v>12</v>
      </c>
      <c r="D15" s="510">
        <f ca="1">+'4a-Venta-Des.'!E22-'4a-Venta-Des.'!D22</f>
        <v>0</v>
      </c>
      <c r="E15" s="511">
        <f ca="1">+'4a-Venta-Des.'!G22</f>
        <v>0</v>
      </c>
      <c r="F15" s="508">
        <f t="shared" ca="1" si="0"/>
        <v>0</v>
      </c>
      <c r="G15" s="509">
        <f ca="1">+D15-E15</f>
        <v>0</v>
      </c>
    </row>
    <row r="16" spans="1:7">
      <c r="A16" s="505" t="s">
        <v>62</v>
      </c>
      <c r="B16" s="506" t="s">
        <v>81</v>
      </c>
      <c r="C16" s="506" t="s">
        <v>14</v>
      </c>
      <c r="D16" s="510">
        <f ca="1">SUM('4a-Venta-Des.'!D19:D25)</f>
        <v>0</v>
      </c>
      <c r="E16" s="510">
        <f ca="1">SUM('4a-Venta-Des.'!I19:I25)</f>
        <v>0</v>
      </c>
      <c r="F16" s="508">
        <f t="shared" ca="1" si="0"/>
        <v>0</v>
      </c>
      <c r="G16" s="509">
        <f ca="1">+D16-E16</f>
        <v>0</v>
      </c>
    </row>
    <row r="17" spans="1:7" s="212" customFormat="1">
      <c r="A17" s="512" t="s">
        <v>643</v>
      </c>
      <c r="B17" s="513" t="s">
        <v>82</v>
      </c>
      <c r="C17" s="514" t="s">
        <v>19</v>
      </c>
      <c r="D17" s="515"/>
      <c r="E17" s="516"/>
      <c r="F17" s="558">
        <f t="shared" si="0"/>
        <v>0</v>
      </c>
      <c r="G17" s="517"/>
    </row>
    <row r="18" spans="1:7" s="212" customFormat="1" hidden="1" outlineLevel="1">
      <c r="A18" s="518" t="s">
        <v>64</v>
      </c>
      <c r="B18" s="519" t="s">
        <v>83</v>
      </c>
      <c r="C18" s="519" t="s">
        <v>21</v>
      </c>
      <c r="D18" s="520"/>
      <c r="E18" s="521"/>
      <c r="F18" s="559">
        <f t="shared" si="0"/>
        <v>0</v>
      </c>
      <c r="G18" s="522"/>
    </row>
    <row r="19" spans="1:7" s="212" customFormat="1" hidden="1" outlineLevel="1">
      <c r="A19" s="518" t="s">
        <v>65</v>
      </c>
      <c r="B19" s="519" t="s">
        <v>84</v>
      </c>
      <c r="C19" s="519" t="s">
        <v>21</v>
      </c>
      <c r="D19" s="520"/>
      <c r="E19" s="521"/>
      <c r="F19" s="559">
        <f t="shared" si="0"/>
        <v>0</v>
      </c>
      <c r="G19" s="522"/>
    </row>
    <row r="20" spans="1:7" collapsed="1">
      <c r="A20" s="505" t="s">
        <v>66</v>
      </c>
      <c r="B20" s="506" t="s">
        <v>88</v>
      </c>
      <c r="C20" s="506" t="s">
        <v>24</v>
      </c>
      <c r="D20" s="498">
        <f ca="1">+'4a-Venta-Des.'!C26</f>
        <v>0</v>
      </c>
      <c r="E20" s="498">
        <f ca="1">+'4a-Venta-Des.'!G26</f>
        <v>0</v>
      </c>
      <c r="F20" s="508">
        <f t="shared" ca="1" si="0"/>
        <v>0</v>
      </c>
      <c r="G20" s="509">
        <f ca="1">+D20-E20</f>
        <v>0</v>
      </c>
    </row>
    <row r="21" spans="1:7" s="212" customFormat="1">
      <c r="A21" s="512" t="s">
        <v>67</v>
      </c>
      <c r="B21" s="514" t="s">
        <v>85</v>
      </c>
      <c r="C21" s="514" t="s">
        <v>24</v>
      </c>
      <c r="D21" s="510">
        <f ca="1">+'4a-Venta-Des.'!D26</f>
        <v>0</v>
      </c>
      <c r="E21" s="510">
        <f ca="1">+'4a-Venta-Des.'!I26</f>
        <v>0</v>
      </c>
      <c r="F21" s="508">
        <f t="shared" ca="1" si="0"/>
        <v>0</v>
      </c>
      <c r="G21" s="509">
        <f ca="1">+D21-E21</f>
        <v>0</v>
      </c>
    </row>
    <row r="22" spans="1:7" s="212" customFormat="1">
      <c r="A22" s="512" t="s">
        <v>68</v>
      </c>
      <c r="B22" s="514" t="s">
        <v>86</v>
      </c>
      <c r="C22" s="514" t="s">
        <v>27</v>
      </c>
      <c r="D22" s="510">
        <f ca="1">+'4a-Venta-Des.'!E32</f>
        <v>0</v>
      </c>
      <c r="E22" s="510">
        <f ca="1">+'4a-Venta-Des.'!J32</f>
        <v>0</v>
      </c>
      <c r="F22" s="508">
        <f t="shared" ca="1" si="0"/>
        <v>0</v>
      </c>
      <c r="G22" s="509">
        <f ca="1">+D22-E22</f>
        <v>0</v>
      </c>
    </row>
    <row r="23" spans="1:7" hidden="1" outlineLevel="1">
      <c r="A23" s="518" t="s">
        <v>69</v>
      </c>
      <c r="B23" s="519" t="s">
        <v>87</v>
      </c>
      <c r="C23" s="519" t="s">
        <v>27</v>
      </c>
      <c r="D23" s="520"/>
      <c r="E23" s="521"/>
      <c r="F23" s="559">
        <f t="shared" si="0"/>
        <v>0</v>
      </c>
      <c r="G23" s="522"/>
    </row>
    <row r="24" spans="1:7" collapsed="1">
      <c r="A24" s="505" t="s">
        <v>70</v>
      </c>
      <c r="B24" s="506" t="s">
        <v>687</v>
      </c>
      <c r="C24" s="506" t="s">
        <v>30</v>
      </c>
      <c r="D24" s="498">
        <f ca="1">+'4a-Venta-Des.'!E27</f>
        <v>0</v>
      </c>
      <c r="E24" s="498">
        <f ca="1">+'4a-Venta-Des.'!J27</f>
        <v>0</v>
      </c>
      <c r="F24" s="508">
        <f t="shared" ca="1" si="0"/>
        <v>0</v>
      </c>
      <c r="G24" s="509">
        <f ca="1">+D24-E24</f>
        <v>0</v>
      </c>
    </row>
    <row r="25" spans="1:7">
      <c r="A25" s="505" t="s">
        <v>73</v>
      </c>
      <c r="B25" s="506" t="s">
        <v>89</v>
      </c>
      <c r="C25" s="506" t="s">
        <v>32</v>
      </c>
      <c r="D25" s="510">
        <f ca="1">+'4a-Venta-Des.'!E30</f>
        <v>0</v>
      </c>
      <c r="E25" s="510">
        <f ca="1">+'4a-Venta-Des.'!J30</f>
        <v>0</v>
      </c>
      <c r="F25" s="508">
        <f t="shared" ca="1" si="0"/>
        <v>0</v>
      </c>
      <c r="G25" s="509">
        <f ca="1">+D25-E25</f>
        <v>0</v>
      </c>
    </row>
    <row r="26" spans="1:7">
      <c r="A26" s="505" t="s">
        <v>74</v>
      </c>
      <c r="B26" s="506" t="s">
        <v>90</v>
      </c>
      <c r="C26" s="506" t="s">
        <v>34</v>
      </c>
      <c r="D26" s="510">
        <f ca="1">+'4a-Venta-Des.'!E29+'4a-Venta-Des.'!E33</f>
        <v>0</v>
      </c>
      <c r="E26" s="510">
        <f ca="1">+'4a-Venta-Des.'!J29+'4a-Venta-Des.'!J33</f>
        <v>0</v>
      </c>
      <c r="F26" s="508">
        <f t="shared" ca="1" si="0"/>
        <v>0</v>
      </c>
      <c r="G26" s="509">
        <f ca="1">+D26-E26</f>
        <v>0</v>
      </c>
    </row>
    <row r="27" spans="1:7" hidden="1" outlineLevel="1">
      <c r="A27" s="518" t="s">
        <v>75</v>
      </c>
      <c r="B27" s="519" t="s">
        <v>91</v>
      </c>
      <c r="C27" s="519" t="s">
        <v>36</v>
      </c>
      <c r="D27" s="520"/>
      <c r="E27" s="521"/>
      <c r="F27" s="559">
        <f t="shared" si="0"/>
        <v>0</v>
      </c>
      <c r="G27" s="522"/>
    </row>
    <row r="28" spans="1:7" hidden="1" outlineLevel="1">
      <c r="A28" s="518" t="s">
        <v>76</v>
      </c>
      <c r="B28" s="519" t="s">
        <v>92</v>
      </c>
      <c r="C28" s="519" t="s">
        <v>38</v>
      </c>
      <c r="D28" s="520"/>
      <c r="E28" s="521"/>
      <c r="F28" s="559">
        <f t="shared" si="0"/>
        <v>0</v>
      </c>
      <c r="G28" s="522"/>
    </row>
    <row r="29" spans="1:7" collapsed="1">
      <c r="A29" s="505" t="s">
        <v>77</v>
      </c>
      <c r="B29" s="506" t="s">
        <v>93</v>
      </c>
      <c r="C29" s="506" t="s">
        <v>40</v>
      </c>
      <c r="D29" s="498">
        <f ca="1">+'4a-Venta-Des.'!E31</f>
        <v>0</v>
      </c>
      <c r="E29" s="498">
        <f ca="1">+'4a-Venta-Des.'!J31</f>
        <v>0</v>
      </c>
      <c r="F29" s="508">
        <f t="shared" ca="1" si="0"/>
        <v>0</v>
      </c>
      <c r="G29" s="509">
        <f ca="1">+D29-E29</f>
        <v>0</v>
      </c>
    </row>
    <row r="30" spans="1:7">
      <c r="A30" s="505" t="s">
        <v>78</v>
      </c>
      <c r="B30" s="513" t="s">
        <v>94</v>
      </c>
      <c r="C30" s="506" t="s">
        <v>42</v>
      </c>
      <c r="D30" s="510"/>
      <c r="E30" s="523"/>
      <c r="F30" s="508">
        <f t="shared" si="0"/>
        <v>0</v>
      </c>
      <c r="G30" s="509"/>
    </row>
    <row r="31" spans="1:7">
      <c r="A31" s="505" t="s">
        <v>79</v>
      </c>
      <c r="B31" s="506" t="s">
        <v>686</v>
      </c>
      <c r="C31" s="506" t="s">
        <v>44</v>
      </c>
      <c r="D31" s="510">
        <f ca="1">+'4a-Venta-Des.'!E28</f>
        <v>0</v>
      </c>
      <c r="E31" s="498">
        <f ca="1">+'4a-Venta-Des.'!J28</f>
        <v>0</v>
      </c>
      <c r="F31" s="508">
        <f t="shared" ca="1" si="0"/>
        <v>0</v>
      </c>
      <c r="G31" s="509">
        <f ca="1">+D31-E31</f>
        <v>0</v>
      </c>
    </row>
    <row r="32" spans="1:7">
      <c r="A32" s="500"/>
      <c r="B32" s="645" t="str">
        <f>CONCATENATE('3-Item List'!E77," ",'3-Item List'!F77)</f>
        <v>TOTAL COTIZADO 0</v>
      </c>
      <c r="D32" s="525">
        <f ca="1">SUM(D14:D31)</f>
        <v>0</v>
      </c>
      <c r="E32" s="525">
        <f ca="1">SUM(E14:E31)</f>
        <v>0</v>
      </c>
      <c r="F32" s="526">
        <f t="shared" ca="1" si="0"/>
        <v>0</v>
      </c>
      <c r="G32" s="527">
        <f ca="1">SUM(G14:G31)</f>
        <v>0</v>
      </c>
    </row>
    <row r="33" spans="1:7">
      <c r="A33" s="500"/>
      <c r="B33" s="524"/>
      <c r="E33" s="498"/>
      <c r="F33" s="508"/>
      <c r="G33" s="529"/>
    </row>
    <row r="34" spans="1:7">
      <c r="A34" s="500"/>
      <c r="B34" s="524"/>
      <c r="E34" s="637" t="s">
        <v>937</v>
      </c>
      <c r="F34" s="508"/>
      <c r="G34" s="638">
        <f>+'2-Cotización'!G40</f>
        <v>0</v>
      </c>
    </row>
    <row r="35" spans="1:7">
      <c r="A35" s="500"/>
      <c r="B35" s="524"/>
      <c r="E35" s="637" t="s">
        <v>934</v>
      </c>
      <c r="F35" s="635"/>
      <c r="G35" s="529">
        <f ca="1">IF($G$34=0,+D32,+D32*$G$34)</f>
        <v>0</v>
      </c>
    </row>
    <row r="36" spans="1:7">
      <c r="A36" s="500"/>
      <c r="B36" s="524"/>
      <c r="E36" s="634" t="s">
        <v>935</v>
      </c>
      <c r="F36" s="508"/>
      <c r="G36" s="529">
        <f ca="1">IF($G$34=0,+E32,+E32*$G$34)</f>
        <v>0</v>
      </c>
    </row>
    <row r="37" spans="1:7">
      <c r="A37" s="500"/>
      <c r="B37" s="524"/>
      <c r="E37" s="634" t="s">
        <v>936</v>
      </c>
      <c r="F37" s="508"/>
      <c r="G37" s="529">
        <f ca="1">+G35-G36</f>
        <v>0</v>
      </c>
    </row>
    <row r="38" spans="1:7">
      <c r="A38" s="500"/>
      <c r="B38" s="524"/>
      <c r="E38" s="634" t="s">
        <v>507</v>
      </c>
      <c r="F38" s="508">
        <f>+'2-Cotización'!F35</f>
        <v>0.16</v>
      </c>
      <c r="G38" s="529">
        <f ca="1">+F38*G37</f>
        <v>0</v>
      </c>
    </row>
    <row r="39" spans="1:7">
      <c r="A39" s="500"/>
      <c r="B39" s="524"/>
      <c r="E39" s="639" t="s">
        <v>126</v>
      </c>
      <c r="F39" s="526"/>
      <c r="G39" s="641">
        <f ca="1">+G37+G38</f>
        <v>0</v>
      </c>
    </row>
    <row r="40" spans="1:7">
      <c r="A40" s="500"/>
      <c r="B40" s="524"/>
      <c r="E40" s="523"/>
      <c r="F40" s="633"/>
      <c r="G40" s="529"/>
    </row>
    <row r="41" spans="1:7">
      <c r="A41" s="500"/>
      <c r="B41" s="306" t="s">
        <v>45</v>
      </c>
      <c r="D41" s="498">
        <f ca="1">+'4b-Venta-Comisión'!F28</f>
        <v>0</v>
      </c>
      <c r="E41" s="528">
        <f ca="1">+'4a-Venta-Des.'!J34</f>
        <v>0</v>
      </c>
      <c r="F41" s="218"/>
      <c r="G41" s="529">
        <f ca="1">+D41-E41</f>
        <v>0</v>
      </c>
    </row>
    <row r="42" spans="1:7">
      <c r="A42" s="500"/>
      <c r="B42" s="418" t="str">
        <f ca="1">IF(D42&lt;&gt;0,"Diferencia contra Cotización","OK")</f>
        <v>OK</v>
      </c>
      <c r="D42" s="530">
        <f ca="1">+D32-D41</f>
        <v>0</v>
      </c>
      <c r="E42" s="530">
        <f ca="1">+E32-E41</f>
        <v>0</v>
      </c>
      <c r="G42" s="531">
        <f ca="1">+G32-G41</f>
        <v>0</v>
      </c>
    </row>
    <row r="43" spans="1:7">
      <c r="A43" s="813" t="s">
        <v>688</v>
      </c>
      <c r="B43" s="814"/>
      <c r="C43" s="814"/>
      <c r="D43" s="814"/>
      <c r="E43" s="814"/>
      <c r="F43" s="814"/>
      <c r="G43" s="815"/>
    </row>
    <row r="44" spans="1:7">
      <c r="A44" s="512" t="s">
        <v>63</v>
      </c>
      <c r="B44" s="513" t="s">
        <v>82</v>
      </c>
      <c r="D44" s="510"/>
      <c r="E44" s="642">
        <f ca="1">SUM(E14:E16,E20,E21,E24,E31)</f>
        <v>0</v>
      </c>
      <c r="F44" s="643"/>
      <c r="G44" s="644"/>
    </row>
    <row r="45" spans="1:7">
      <c r="A45" s="505" t="s">
        <v>78</v>
      </c>
      <c r="B45" s="513" t="s">
        <v>94</v>
      </c>
      <c r="E45" s="528">
        <f ca="1">SUM(E22,E25,E26,E29)</f>
        <v>0</v>
      </c>
      <c r="G45" s="499"/>
    </row>
    <row r="46" spans="1:7">
      <c r="A46" s="497" t="s">
        <v>933</v>
      </c>
      <c r="E46" s="532">
        <f ca="1">SUM(E44:E45)</f>
        <v>0</v>
      </c>
      <c r="G46" s="499"/>
    </row>
    <row r="47" spans="1:7" ht="5.25" customHeight="1">
      <c r="A47" s="533"/>
      <c r="B47" s="502"/>
      <c r="C47" s="502"/>
      <c r="D47" s="534"/>
      <c r="E47" s="502"/>
      <c r="F47" s="502"/>
      <c r="G47" s="535"/>
    </row>
  </sheetData>
  <mergeCells count="2">
    <mergeCell ref="A43:G43"/>
    <mergeCell ref="D6:G6"/>
  </mergeCells>
  <phoneticPr fontId="3" type="noConversion"/>
  <conditionalFormatting sqref="D42:E42 G42">
    <cfRule type="cellIs" dxfId="2" priority="1" stopIfTrue="1" operator="notEqual">
      <formula>0</formula>
    </cfRule>
  </conditionalFormatting>
  <dataValidations count="1">
    <dataValidation type="list" allowBlank="1" showInputMessage="1" showErrorMessage="1" sqref="B9" xr:uid="{00000000-0002-0000-0700-000000000000}">
      <formula1>Vendedor</formula1>
    </dataValidation>
  </dataValidations>
  <printOptions horizontalCentered="1"/>
  <pageMargins left="0.19685039370078741" right="0.19685039370078741" top="0.39370078740157483" bottom="0.39370078740157483" header="0" footer="0"/>
  <pageSetup scale="83"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1">
    <tabColor indexed="30"/>
    <pageSetUpPr fitToPage="1"/>
  </sheetPr>
  <dimension ref="A1:G47"/>
  <sheetViews>
    <sheetView showGridLines="0" zoomScale="85" zoomScaleNormal="100" zoomScaleSheetLayoutView="100" workbookViewId="0">
      <pane xSplit="1" ySplit="13" topLeftCell="B14" activePane="bottomRight" state="frozen"/>
      <selection activeCell="A28" sqref="A28:K28"/>
      <selection pane="topRight" activeCell="A28" sqref="A28:K28"/>
      <selection pane="bottomLeft" activeCell="A28" sqref="A28:K28"/>
      <selection pane="bottomRight" activeCell="J2" sqref="J2"/>
    </sheetView>
  </sheetViews>
  <sheetFormatPr baseColWidth="10" defaultRowHeight="12.75" outlineLevelRow="1" outlineLevelCol="1"/>
  <cols>
    <col min="1" max="1" width="15.85546875" style="213" customWidth="1"/>
    <col min="2" max="2" width="50.85546875" style="213" bestFit="1" customWidth="1"/>
    <col min="3" max="3" width="61.5703125" style="213" hidden="1" customWidth="1" outlineLevel="1"/>
    <col min="4" max="4" width="14.7109375" style="498" customWidth="1" collapsed="1"/>
    <col min="5" max="7" width="14.7109375" style="213" customWidth="1"/>
    <col min="8" max="16384" width="11.42578125" style="213"/>
  </cols>
  <sheetData>
    <row r="1" spans="1:7" ht="18">
      <c r="A1" s="493" t="s">
        <v>56</v>
      </c>
      <c r="B1" s="494"/>
      <c r="C1" s="494"/>
      <c r="D1" s="495"/>
      <c r="E1" s="494"/>
      <c r="F1" s="494"/>
      <c r="G1" s="496"/>
    </row>
    <row r="2" spans="1:7">
      <c r="A2" s="497" t="s">
        <v>803</v>
      </c>
      <c r="C2" s="306"/>
      <c r="G2" s="499"/>
    </row>
    <row r="3" spans="1:7">
      <c r="A3" s="497"/>
      <c r="C3" s="306"/>
      <c r="G3" s="499"/>
    </row>
    <row r="4" spans="1:7">
      <c r="A4" s="624" t="s">
        <v>256</v>
      </c>
      <c r="B4" s="658">
        <f>+'2-Cotización'!C10</f>
        <v>0</v>
      </c>
      <c r="C4" s="306"/>
      <c r="D4" s="631" t="s">
        <v>258</v>
      </c>
      <c r="E4" s="625"/>
      <c r="F4" s="657"/>
      <c r="G4" s="499"/>
    </row>
    <row r="5" spans="1:7">
      <c r="A5" s="624" t="s">
        <v>633</v>
      </c>
      <c r="B5" s="625">
        <v>7009</v>
      </c>
      <c r="C5" s="306"/>
      <c r="D5" s="631" t="s">
        <v>259</v>
      </c>
      <c r="G5" s="499"/>
    </row>
    <row r="6" spans="1:7">
      <c r="A6" s="624" t="s">
        <v>254</v>
      </c>
      <c r="B6" s="625">
        <v>900</v>
      </c>
      <c r="C6" s="306"/>
      <c r="D6" s="820">
        <f>+'2-Cotización'!G10</f>
        <v>0</v>
      </c>
      <c r="E6" s="821"/>
      <c r="F6" s="821"/>
      <c r="G6" s="822"/>
    </row>
    <row r="7" spans="1:7">
      <c r="A7" s="624" t="s">
        <v>255</v>
      </c>
      <c r="B7" s="625">
        <v>400</v>
      </c>
      <c r="C7" s="306"/>
      <c r="D7" s="631" t="s">
        <v>260</v>
      </c>
      <c r="G7" s="499"/>
    </row>
    <row r="8" spans="1:7">
      <c r="A8" s="626" t="s">
        <v>58</v>
      </c>
      <c r="B8" s="627">
        <f>+'2-Cotización'!B7</f>
        <v>0</v>
      </c>
      <c r="D8" s="631">
        <f>+'2-Cotización'!G19</f>
        <v>0</v>
      </c>
      <c r="E8" s="627"/>
      <c r="F8" s="627"/>
      <c r="G8" s="628"/>
    </row>
    <row r="9" spans="1:7">
      <c r="A9" s="626" t="s">
        <v>257</v>
      </c>
      <c r="B9" s="651"/>
      <c r="D9" s="631" t="s">
        <v>261</v>
      </c>
      <c r="E9" s="627"/>
      <c r="F9" s="632">
        <f>+'2-Cotización'!G15</f>
        <v>0</v>
      </c>
      <c r="G9" s="628"/>
    </row>
    <row r="10" spans="1:7">
      <c r="A10" s="626"/>
      <c r="B10" s="627"/>
      <c r="D10" s="631" t="s">
        <v>262</v>
      </c>
      <c r="E10" s="627"/>
      <c r="F10" s="627"/>
      <c r="G10" s="628"/>
    </row>
    <row r="11" spans="1:7">
      <c r="A11" s="500"/>
      <c r="D11" s="631">
        <f>+'2-Cotización'!G13</f>
        <v>0</v>
      </c>
      <c r="G11" s="499"/>
    </row>
    <row r="12" spans="1:7">
      <c r="A12" s="501"/>
      <c r="G12" s="499"/>
    </row>
    <row r="13" spans="1:7" s="441" customFormat="1">
      <c r="A13" s="503" t="s">
        <v>95</v>
      </c>
      <c r="B13" s="503" t="s">
        <v>57</v>
      </c>
      <c r="C13" s="503" t="s">
        <v>128</v>
      </c>
      <c r="D13" s="504" t="s">
        <v>125</v>
      </c>
      <c r="E13" s="503" t="s">
        <v>804</v>
      </c>
      <c r="F13" s="503" t="s">
        <v>802</v>
      </c>
      <c r="G13" s="503" t="s">
        <v>492</v>
      </c>
    </row>
    <row r="14" spans="1:7">
      <c r="A14" s="505" t="s">
        <v>60</v>
      </c>
      <c r="B14" s="506" t="s">
        <v>59</v>
      </c>
      <c r="C14" s="506" t="s">
        <v>10</v>
      </c>
      <c r="D14" s="507">
        <f ca="1">SUM('4b-Venta-Comisión'!B36:B38,'4b-Venta-Comisión'!B40:B42)</f>
        <v>0</v>
      </c>
      <c r="E14" s="507">
        <f ca="1">SUM('4b-Venta-Comisión'!I36:I38,'4b-Venta-Comisión'!I40:I42)</f>
        <v>0</v>
      </c>
      <c r="F14" s="508">
        <f ca="1">IF(E14=0,0,E14/D14)</f>
        <v>0</v>
      </c>
      <c r="G14" s="509">
        <f ca="1">+D14-E14</f>
        <v>0</v>
      </c>
    </row>
    <row r="15" spans="1:7">
      <c r="A15" s="505" t="s">
        <v>61</v>
      </c>
      <c r="B15" s="506" t="s">
        <v>80</v>
      </c>
      <c r="C15" s="506" t="s">
        <v>12</v>
      </c>
      <c r="D15" s="510">
        <f ca="1">+'4b-Venta-Comisión'!B39</f>
        <v>0</v>
      </c>
      <c r="E15" s="511">
        <f ca="1">+'4b-Venta-Comisión'!I39</f>
        <v>0</v>
      </c>
      <c r="F15" s="560">
        <f t="shared" ref="F15:F32" ca="1" si="0">IF(E15=0,0,E15/D15)</f>
        <v>0</v>
      </c>
      <c r="G15" s="509">
        <f ca="1">+D15-E15</f>
        <v>0</v>
      </c>
    </row>
    <row r="16" spans="1:7">
      <c r="A16" s="505" t="s">
        <v>62</v>
      </c>
      <c r="B16" s="506" t="s">
        <v>81</v>
      </c>
      <c r="C16" s="506" t="s">
        <v>14</v>
      </c>
      <c r="D16" s="510">
        <f ca="1">SUM('4b-Venta-Comisión'!C36:C42)</f>
        <v>0</v>
      </c>
      <c r="E16" s="510">
        <f ca="1">SUM('4b-Venta-Comisión'!M36:M42)</f>
        <v>0</v>
      </c>
      <c r="F16" s="508">
        <f t="shared" ca="1" si="0"/>
        <v>0</v>
      </c>
      <c r="G16" s="509">
        <f ca="1">+D16-E16</f>
        <v>0</v>
      </c>
    </row>
    <row r="17" spans="1:7" s="212" customFormat="1">
      <c r="A17" s="512" t="s">
        <v>63</v>
      </c>
      <c r="B17" s="513" t="s">
        <v>82</v>
      </c>
      <c r="C17" s="514" t="s">
        <v>19</v>
      </c>
      <c r="D17" s="515"/>
      <c r="E17" s="516"/>
      <c r="F17" s="558">
        <f t="shared" si="0"/>
        <v>0</v>
      </c>
      <c r="G17" s="517"/>
    </row>
    <row r="18" spans="1:7" s="212" customFormat="1" hidden="1" outlineLevel="1">
      <c r="A18" s="518" t="s">
        <v>64</v>
      </c>
      <c r="B18" s="519" t="s">
        <v>83</v>
      </c>
      <c r="C18" s="519" t="s">
        <v>21</v>
      </c>
      <c r="D18" s="520"/>
      <c r="E18" s="521"/>
      <c r="F18" s="559">
        <f t="shared" si="0"/>
        <v>0</v>
      </c>
      <c r="G18" s="522"/>
    </row>
    <row r="19" spans="1:7" s="212" customFormat="1" hidden="1" outlineLevel="1">
      <c r="A19" s="518" t="s">
        <v>65</v>
      </c>
      <c r="B19" s="519" t="s">
        <v>84</v>
      </c>
      <c r="C19" s="519" t="s">
        <v>21</v>
      </c>
      <c r="D19" s="520"/>
      <c r="E19" s="521"/>
      <c r="F19" s="559">
        <f t="shared" si="0"/>
        <v>0</v>
      </c>
      <c r="G19" s="522"/>
    </row>
    <row r="20" spans="1:7" collapsed="1">
      <c r="A20" s="505" t="s">
        <v>66</v>
      </c>
      <c r="B20" s="506" t="s">
        <v>88</v>
      </c>
      <c r="C20" s="506" t="s">
        <v>24</v>
      </c>
      <c r="D20" s="498">
        <f ca="1">+'4b-Venta-Comisión'!B43</f>
        <v>0</v>
      </c>
      <c r="E20" s="498">
        <f ca="1">+'4b-Venta-Comisión'!I43</f>
        <v>0</v>
      </c>
      <c r="F20" s="508">
        <f t="shared" ca="1" si="0"/>
        <v>0</v>
      </c>
      <c r="G20" s="509">
        <f ca="1">+D20-E20</f>
        <v>0</v>
      </c>
    </row>
    <row r="21" spans="1:7" s="212" customFormat="1">
      <c r="A21" s="512" t="s">
        <v>67</v>
      </c>
      <c r="B21" s="514" t="s">
        <v>85</v>
      </c>
      <c r="C21" s="514" t="s">
        <v>24</v>
      </c>
      <c r="D21" s="510">
        <f ca="1">+'4b-Venta-Comisión'!C43</f>
        <v>0</v>
      </c>
      <c r="E21" s="510">
        <f ca="1">+'4b-Venta-Comisión'!M43</f>
        <v>0</v>
      </c>
      <c r="F21" s="508">
        <f ca="1">IF(E21=0,0,E21/D21)</f>
        <v>0</v>
      </c>
      <c r="G21" s="509">
        <f ca="1">+D21-E21</f>
        <v>0</v>
      </c>
    </row>
    <row r="22" spans="1:7" s="212" customFormat="1">
      <c r="A22" s="512" t="s">
        <v>68</v>
      </c>
      <c r="B22" s="514" t="s">
        <v>86</v>
      </c>
      <c r="C22" s="514" t="s">
        <v>27</v>
      </c>
      <c r="D22" s="510">
        <f ca="1">+'4b-Venta-Comisión'!D49</f>
        <v>0</v>
      </c>
      <c r="E22" s="510">
        <f ca="1">+'4b-Venta-Comisión'!N49</f>
        <v>0</v>
      </c>
      <c r="F22" s="508">
        <f ca="1">IF(E22=0,0,E22/D22)</f>
        <v>0</v>
      </c>
      <c r="G22" s="509">
        <f ca="1">+D22-E22</f>
        <v>0</v>
      </c>
    </row>
    <row r="23" spans="1:7" hidden="1" outlineLevel="1">
      <c r="A23" s="518" t="s">
        <v>69</v>
      </c>
      <c r="B23" s="519" t="s">
        <v>87</v>
      </c>
      <c r="C23" s="519" t="s">
        <v>27</v>
      </c>
      <c r="D23" s="520"/>
      <c r="E23" s="521"/>
      <c r="F23" s="559">
        <f t="shared" si="0"/>
        <v>0</v>
      </c>
      <c r="G23" s="522"/>
    </row>
    <row r="24" spans="1:7" collapsed="1">
      <c r="A24" s="505" t="s">
        <v>70</v>
      </c>
      <c r="B24" s="506" t="s">
        <v>687</v>
      </c>
      <c r="C24" s="506" t="s">
        <v>30</v>
      </c>
      <c r="D24" s="498">
        <f ca="1">+'4b-Venta-Comisión'!D44</f>
        <v>0</v>
      </c>
      <c r="E24" s="498">
        <f ca="1">+'4b-Venta-Comisión'!N44</f>
        <v>0</v>
      </c>
      <c r="F24" s="508">
        <f ca="1">IF(E24=0,0,E24/D24)</f>
        <v>0</v>
      </c>
      <c r="G24" s="509">
        <f ca="1">+D24-E24</f>
        <v>0</v>
      </c>
    </row>
    <row r="25" spans="1:7">
      <c r="A25" s="505" t="s">
        <v>73</v>
      </c>
      <c r="B25" s="506" t="s">
        <v>89</v>
      </c>
      <c r="C25" s="506" t="s">
        <v>32</v>
      </c>
      <c r="D25" s="510">
        <f ca="1">+'4b-Venta-Comisión'!D47</f>
        <v>0</v>
      </c>
      <c r="E25" s="510">
        <f ca="1">+'4b-Venta-Comisión'!N47</f>
        <v>0</v>
      </c>
      <c r="F25" s="508">
        <f ca="1">IF(E25=0,0,E25/D25)</f>
        <v>0</v>
      </c>
      <c r="G25" s="509">
        <f ca="1">+D25-E25</f>
        <v>0</v>
      </c>
    </row>
    <row r="26" spans="1:7">
      <c r="A26" s="505" t="s">
        <v>74</v>
      </c>
      <c r="B26" s="506" t="s">
        <v>90</v>
      </c>
      <c r="C26" s="506" t="s">
        <v>34</v>
      </c>
      <c r="D26" s="510">
        <f ca="1">+'4b-Venta-Comisión'!D46+'4b-Venta-Comisión'!D50</f>
        <v>0</v>
      </c>
      <c r="E26" s="510">
        <f ca="1">+'4b-Venta-Comisión'!N46+'4b-Venta-Comisión'!N50</f>
        <v>0</v>
      </c>
      <c r="F26" s="508">
        <f ca="1">IF(E26=0,0,E26/D26)</f>
        <v>0</v>
      </c>
      <c r="G26" s="509">
        <f ca="1">+D26-E26</f>
        <v>0</v>
      </c>
    </row>
    <row r="27" spans="1:7" hidden="1" outlineLevel="1">
      <c r="A27" s="518" t="s">
        <v>75</v>
      </c>
      <c r="B27" s="519" t="s">
        <v>91</v>
      </c>
      <c r="C27" s="519" t="s">
        <v>36</v>
      </c>
      <c r="D27" s="520"/>
      <c r="E27" s="521"/>
      <c r="F27" s="559">
        <f t="shared" si="0"/>
        <v>0</v>
      </c>
      <c r="G27" s="522"/>
    </row>
    <row r="28" spans="1:7" hidden="1" outlineLevel="1">
      <c r="A28" s="518" t="s">
        <v>76</v>
      </c>
      <c r="B28" s="519" t="s">
        <v>92</v>
      </c>
      <c r="C28" s="519" t="s">
        <v>38</v>
      </c>
      <c r="D28" s="520"/>
      <c r="E28" s="521"/>
      <c r="F28" s="559">
        <f t="shared" si="0"/>
        <v>0</v>
      </c>
      <c r="G28" s="522"/>
    </row>
    <row r="29" spans="1:7" collapsed="1">
      <c r="A29" s="505" t="s">
        <v>77</v>
      </c>
      <c r="B29" s="506" t="s">
        <v>93</v>
      </c>
      <c r="C29" s="506" t="s">
        <v>40</v>
      </c>
      <c r="D29" s="498">
        <f ca="1">+'4b-Venta-Comisión'!D48</f>
        <v>0</v>
      </c>
      <c r="E29" s="498">
        <f ca="1">+'4b-Venta-Comisión'!N48</f>
        <v>0</v>
      </c>
      <c r="F29" s="508">
        <f ca="1">IF(E29=0,0,E29/D29)</f>
        <v>0</v>
      </c>
      <c r="G29" s="509">
        <f ca="1">+D29-E29</f>
        <v>0</v>
      </c>
    </row>
    <row r="30" spans="1:7">
      <c r="A30" s="505" t="s">
        <v>78</v>
      </c>
      <c r="B30" s="513" t="s">
        <v>94</v>
      </c>
      <c r="C30" s="506" t="s">
        <v>42</v>
      </c>
      <c r="D30" s="510"/>
      <c r="E30" s="523"/>
      <c r="F30" s="508">
        <f>IF(E30=0,0,E30/D30)</f>
        <v>0</v>
      </c>
      <c r="G30" s="509"/>
    </row>
    <row r="31" spans="1:7">
      <c r="A31" s="505" t="s">
        <v>79</v>
      </c>
      <c r="B31" s="506" t="s">
        <v>686</v>
      </c>
      <c r="C31" s="506" t="s">
        <v>44</v>
      </c>
      <c r="D31" s="510">
        <f ca="1">+'4b-Venta-Comisión'!D45</f>
        <v>0</v>
      </c>
      <c r="E31" s="498">
        <f ca="1">+'4b-Venta-Comisión'!N45</f>
        <v>0</v>
      </c>
      <c r="F31" s="508">
        <f ca="1">IF(E31=0,0,E31/D31)</f>
        <v>0</v>
      </c>
      <c r="G31" s="509">
        <f ca="1">+D31-E31</f>
        <v>0</v>
      </c>
    </row>
    <row r="32" spans="1:7">
      <c r="A32" s="500"/>
      <c r="B32" s="645" t="str">
        <f>CONCATENATE('3-Item List'!E77," ",'3-Item List'!F77)</f>
        <v>TOTAL COTIZADO 0</v>
      </c>
      <c r="D32" s="525">
        <f ca="1">SUM(D14:D31)</f>
        <v>0</v>
      </c>
      <c r="E32" s="525">
        <f ca="1">SUM(E14:E31)</f>
        <v>0</v>
      </c>
      <c r="F32" s="526">
        <f t="shared" ca="1" si="0"/>
        <v>0</v>
      </c>
      <c r="G32" s="527">
        <f ca="1">SUM(G14:G31)</f>
        <v>0</v>
      </c>
    </row>
    <row r="33" spans="1:7">
      <c r="A33" s="500"/>
      <c r="B33" s="524"/>
      <c r="E33" s="498"/>
      <c r="F33" s="508"/>
      <c r="G33" s="529"/>
    </row>
    <row r="34" spans="1:7">
      <c r="A34" s="500"/>
      <c r="B34" s="524"/>
      <c r="E34" s="637" t="s">
        <v>937</v>
      </c>
      <c r="F34" s="508"/>
      <c r="G34" s="638">
        <f>+'2-Cotización'!G40</f>
        <v>0</v>
      </c>
    </row>
    <row r="35" spans="1:7">
      <c r="A35" s="500"/>
      <c r="B35" s="524"/>
      <c r="E35" s="637" t="s">
        <v>934</v>
      </c>
      <c r="F35" s="635"/>
      <c r="G35" s="529">
        <f ca="1">IF($G$34=0,+D32,+D32*$G$34)</f>
        <v>0</v>
      </c>
    </row>
    <row r="36" spans="1:7">
      <c r="A36" s="500"/>
      <c r="B36" s="524"/>
      <c r="E36" s="634" t="s">
        <v>935</v>
      </c>
      <c r="F36" s="508"/>
      <c r="G36" s="529">
        <f ca="1">IF($G$34=0,+E32,+E32*$G$34)</f>
        <v>0</v>
      </c>
    </row>
    <row r="37" spans="1:7">
      <c r="A37" s="500"/>
      <c r="B37" s="524"/>
      <c r="E37" s="634" t="s">
        <v>936</v>
      </c>
      <c r="F37" s="508"/>
      <c r="G37" s="529">
        <f ca="1">+G35-G36</f>
        <v>0</v>
      </c>
    </row>
    <row r="38" spans="1:7">
      <c r="A38" s="500"/>
      <c r="B38" s="524"/>
      <c r="E38" s="636" t="s">
        <v>507</v>
      </c>
      <c r="F38" s="508">
        <f>+'2-Cotización'!F35</f>
        <v>0.16</v>
      </c>
      <c r="G38" s="529">
        <f ca="1">+F38*G37</f>
        <v>0</v>
      </c>
    </row>
    <row r="39" spans="1:7">
      <c r="A39" s="500"/>
      <c r="B39" s="524"/>
      <c r="E39" s="640" t="s">
        <v>126</v>
      </c>
      <c r="F39" s="526"/>
      <c r="G39" s="641">
        <f ca="1">+G37+G38</f>
        <v>0</v>
      </c>
    </row>
    <row r="40" spans="1:7">
      <c r="A40" s="500"/>
      <c r="B40" s="524"/>
      <c r="E40" s="629"/>
      <c r="F40" s="633"/>
      <c r="G40" s="529"/>
    </row>
    <row r="41" spans="1:7">
      <c r="A41" s="500"/>
      <c r="B41" s="306" t="s">
        <v>45</v>
      </c>
      <c r="D41" s="498">
        <f ca="1">+'4b-Venta-Comisión'!D51</f>
        <v>0</v>
      </c>
      <c r="E41" s="528">
        <f ca="1">+'4b-Venta-Comisión'!N51</f>
        <v>0</v>
      </c>
      <c r="F41" s="218"/>
      <c r="G41" s="529">
        <f ca="1">+D41-E41</f>
        <v>0</v>
      </c>
    </row>
    <row r="42" spans="1:7">
      <c r="A42" s="500"/>
      <c r="B42" s="418" t="str">
        <f ca="1">IF(D42&lt;&gt;0,"Diferencia contra Cotización","OK")</f>
        <v>OK</v>
      </c>
      <c r="D42" s="530">
        <f ca="1">+D32-D41</f>
        <v>0</v>
      </c>
      <c r="E42" s="530">
        <f ca="1">+E32-E41</f>
        <v>0</v>
      </c>
      <c r="G42" s="531">
        <f ca="1">+G32-G41</f>
        <v>0</v>
      </c>
    </row>
    <row r="43" spans="1:7">
      <c r="A43" s="813" t="s">
        <v>688</v>
      </c>
      <c r="B43" s="814"/>
      <c r="C43" s="814"/>
      <c r="D43" s="814"/>
      <c r="E43" s="814"/>
      <c r="F43" s="814"/>
      <c r="G43" s="815"/>
    </row>
    <row r="44" spans="1:7">
      <c r="A44" s="819">
        <v>50004</v>
      </c>
      <c r="B44" s="513" t="s">
        <v>71</v>
      </c>
      <c r="D44" s="510"/>
      <c r="E44" s="642">
        <f ca="1">SUM(E14:E16,E20,E21,E24,E31)</f>
        <v>0</v>
      </c>
      <c r="F44" s="643"/>
      <c r="G44" s="644"/>
    </row>
    <row r="45" spans="1:7">
      <c r="A45" s="819"/>
      <c r="B45" s="513" t="s">
        <v>72</v>
      </c>
      <c r="E45" s="528">
        <f ca="1">SUM(E22,E25,E26,E29)</f>
        <v>0</v>
      </c>
      <c r="G45" s="499"/>
    </row>
    <row r="46" spans="1:7">
      <c r="A46" s="500"/>
      <c r="E46" s="532">
        <f ca="1">SUM(E44:E45)</f>
        <v>0</v>
      </c>
      <c r="G46" s="499"/>
    </row>
    <row r="47" spans="1:7" ht="5.25" customHeight="1">
      <c r="A47" s="533"/>
      <c r="B47" s="502"/>
      <c r="C47" s="502"/>
      <c r="D47" s="534"/>
      <c r="E47" s="502"/>
      <c r="F47" s="502"/>
      <c r="G47" s="535"/>
    </row>
  </sheetData>
  <mergeCells count="3">
    <mergeCell ref="A44:A45"/>
    <mergeCell ref="A43:G43"/>
    <mergeCell ref="D6:G6"/>
  </mergeCells>
  <phoneticPr fontId="3" type="noConversion"/>
  <conditionalFormatting sqref="D42:E42 G42">
    <cfRule type="cellIs" dxfId="1" priority="1" stopIfTrue="1" operator="notEqual">
      <formula>0</formula>
    </cfRule>
  </conditionalFormatting>
  <dataValidations disablePrompts="1" count="1">
    <dataValidation type="list" allowBlank="1" showInputMessage="1" showErrorMessage="1" sqref="B9" xr:uid="{00000000-0002-0000-0800-000000000000}">
      <formula1>Vendedor</formula1>
    </dataValidation>
  </dataValidations>
  <printOptions horizontalCentered="1"/>
  <pageMargins left="0.19685039370078741" right="0.19685039370078741" top="0.39370078740157483" bottom="0.39370078740157483" header="0" footer="0"/>
  <pageSetup scale="83"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38</vt:i4>
      </vt:variant>
    </vt:vector>
  </HeadingPairs>
  <TitlesOfParts>
    <vt:vector size="50" baseType="lpstr">
      <vt:lpstr>1-Resumen</vt:lpstr>
      <vt:lpstr>2-Cotización</vt:lpstr>
      <vt:lpstr>3-Item List</vt:lpstr>
      <vt:lpstr>4a-Venta-Des.</vt:lpstr>
      <vt:lpstr>4b-Venta-Comisión</vt:lpstr>
      <vt:lpstr>5-Subrentas</vt:lpstr>
      <vt:lpstr>6-O.L. and Others</vt:lpstr>
      <vt:lpstr>A-1 Factura Res. CD</vt:lpstr>
      <vt:lpstr>A-2 Factura Res. Hotel</vt:lpstr>
      <vt:lpstr>Detalle Evento</vt:lpstr>
      <vt:lpstr>8-Condicionantes</vt:lpstr>
      <vt:lpstr>9 - Locations</vt:lpstr>
      <vt:lpstr>Anticipo</vt:lpstr>
      <vt:lpstr>'1-Resumen'!Área_de_impresión</vt:lpstr>
      <vt:lpstr>'2-Cotización'!Área_de_impresión</vt:lpstr>
      <vt:lpstr>'3-Item List'!Área_de_impresión</vt:lpstr>
      <vt:lpstr>'4a-Venta-Des.'!Área_de_impresión</vt:lpstr>
      <vt:lpstr>'4b-Venta-Comisión'!Área_de_impresión</vt:lpstr>
      <vt:lpstr>'5-Subrentas'!Área_de_impresión</vt:lpstr>
      <vt:lpstr>'6-O.L. and Others'!Área_de_impresión</vt:lpstr>
      <vt:lpstr>'9 - Locations'!Área_de_impresión</vt:lpstr>
      <vt:lpstr>'A-1 Factura Res. CD'!Área_de_impresión</vt:lpstr>
      <vt:lpstr>'A-2 Factura Res. Hotel'!Área_de_impresión</vt:lpstr>
      <vt:lpstr>CargoInterno</vt:lpstr>
      <vt:lpstr>Categoria1</vt:lpstr>
      <vt:lpstr>Categorias</vt:lpstr>
      <vt:lpstr>CategoriasLabor</vt:lpstr>
      <vt:lpstr>Categoriastraduccion</vt:lpstr>
      <vt:lpstr>CombinacionCI</vt:lpstr>
      <vt:lpstr>Comision_Operadora</vt:lpstr>
      <vt:lpstr>ComisionOperadora</vt:lpstr>
      <vt:lpstr>Descuento</vt:lpstr>
      <vt:lpstr>Descuentos</vt:lpstr>
      <vt:lpstr>Freelances</vt:lpstr>
      <vt:lpstr>HorasoDias</vt:lpstr>
      <vt:lpstr>Idioma</vt:lpstr>
      <vt:lpstr>IVA</vt:lpstr>
      <vt:lpstr>Labor</vt:lpstr>
      <vt:lpstr>Mediodecobro</vt:lpstr>
      <vt:lpstr>Moneda</vt:lpstr>
      <vt:lpstr>SINO</vt:lpstr>
      <vt:lpstr>SINO2</vt:lpstr>
      <vt:lpstr>SINO3</vt:lpstr>
      <vt:lpstr>TC</vt:lpstr>
      <vt:lpstr>'2-Cotización'!Títulos_a_imprimir</vt:lpstr>
      <vt:lpstr>'3-Item List'!Títulos_a_imprimir</vt:lpstr>
      <vt:lpstr>'6-O.L. and Others'!Títulos_a_imprimir</vt:lpstr>
      <vt:lpstr>'9 - Locations'!Títulos_a_imprimir</vt:lpstr>
      <vt:lpstr>Vendedor</vt:lpstr>
      <vt:lpstr>VTS</vt:lpstr>
    </vt:vector>
  </TitlesOfParts>
  <Company>PSAV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amontiel</dc:creator>
  <cp:lastModifiedBy>luis briseño</cp:lastModifiedBy>
  <cp:lastPrinted>2011-10-05T16:42:01Z</cp:lastPrinted>
  <dcterms:created xsi:type="dcterms:W3CDTF">2008-03-12T22:29:56Z</dcterms:created>
  <dcterms:modified xsi:type="dcterms:W3CDTF">2017-11-15T20:40:32Z</dcterms:modified>
</cp:coreProperties>
</file>