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3.xml" ContentType="application/vnd.openxmlformats-officedocument.drawing+xml"/>
  <Override PartName="/xl/comments14.xml" ContentType="application/vnd.openxmlformats-officedocument.spreadsheetml.comments+xml"/>
  <Override PartName="/xl/charts/chart8.xml" ContentType="application/vnd.openxmlformats-officedocument.drawingml.chart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xin/Desktop/"/>
    </mc:Choice>
  </mc:AlternateContent>
  <xr:revisionPtr revIDLastSave="0" documentId="8_{22D5E5C7-1C47-8349-A2C0-670E8409E082}" xr6:coauthVersionLast="36" xr6:coauthVersionMax="36" xr10:uidLastSave="{00000000-0000-0000-0000-000000000000}"/>
  <bookViews>
    <workbookView xWindow="1240" yWindow="1380" windowWidth="31060" windowHeight="16700" xr2:uid="{00000000-000D-0000-FFFF-FFFF00000000}"/>
  </bookViews>
  <sheets>
    <sheet name="Req (rearranged)" sheetId="25" r:id="rId1"/>
    <sheet name="1" sheetId="2" r:id="rId2"/>
    <sheet name="2a4a6a" sheetId="22" r:id="rId3"/>
    <sheet name="3" sheetId="4" r:id="rId4"/>
    <sheet name="3a2" sheetId="17" r:id="rId5"/>
    <sheet name="5a" sheetId="18" r:id="rId6"/>
    <sheet name="7a1" sheetId="33" r:id="rId7"/>
    <sheet name="7a2" sheetId="34" r:id="rId8"/>
    <sheet name="8" sheetId="8" r:id="rId9"/>
    <sheet name="9" sheetId="38" r:id="rId10"/>
    <sheet name="10" sheetId="14" r:id="rId11"/>
    <sheet name="11" sheetId="23" r:id="rId12"/>
    <sheet name="9c" sheetId="39" r:id="rId13"/>
    <sheet name="12" sheetId="28" r:id="rId14"/>
    <sheet name="13" sheetId="9" r:id="rId15"/>
    <sheet name="14a" sheetId="10" r:id="rId16"/>
    <sheet name="15a" sheetId="12" r:id="rId17"/>
    <sheet name="18" sheetId="13" r:id="rId18"/>
    <sheet name="28" sheetId="29" r:id="rId19"/>
    <sheet name="4b" sheetId="19" r:id="rId20"/>
    <sheet name="5b" sheetId="20" r:id="rId21"/>
    <sheet name="6b" sheetId="24" r:id="rId22"/>
    <sheet name="7b" sheetId="30" r:id="rId23"/>
    <sheet name="9b2" sheetId="41" r:id="rId24"/>
    <sheet name="10b" sheetId="31" r:id="rId25"/>
    <sheet name="31-35" sheetId="36" r:id="rId26"/>
    <sheet name="1c" sheetId="37" r:id="rId27"/>
    <sheet name="25a&amp;8b" sheetId="16" r:id="rId28"/>
    <sheet name="25b" sheetId="15" r:id="rId29"/>
    <sheet name="Dynamic loads" sheetId="40" r:id="rId30"/>
    <sheet name="Notes" sheetId="35" r:id="rId31"/>
  </sheets>
  <externalReferences>
    <externalReference r:id="rId32"/>
  </externalReferences>
  <calcPr calcId="181029"/>
</workbook>
</file>

<file path=xl/calcChain.xml><?xml version="1.0" encoding="utf-8"?>
<calcChain xmlns="http://schemas.openxmlformats.org/spreadsheetml/2006/main">
  <c r="K16" i="4" l="1"/>
  <c r="I17" i="4"/>
  <c r="E111" i="25"/>
  <c r="E110" i="25"/>
  <c r="E109" i="25"/>
  <c r="F109" i="25" s="1"/>
  <c r="B9" i="41"/>
  <c r="D9" i="41" s="1"/>
  <c r="B10" i="41"/>
  <c r="D10" i="41" s="1"/>
  <c r="C13" i="41"/>
  <c r="E108" i="25" s="1"/>
  <c r="F108" i="25" s="1"/>
  <c r="D20" i="41"/>
  <c r="D27" i="41"/>
  <c r="C29" i="41"/>
  <c r="D36" i="41" s="1"/>
  <c r="C5" i="23"/>
  <c r="B5" i="23"/>
  <c r="B4" i="23"/>
  <c r="C4" i="23"/>
  <c r="D4" i="23"/>
  <c r="C4" i="14"/>
  <c r="D7" i="40"/>
  <c r="E6" i="40"/>
  <c r="E5" i="40"/>
  <c r="D49" i="25"/>
  <c r="D50" i="25"/>
  <c r="C11" i="12"/>
  <c r="C12" i="12" s="1"/>
  <c r="C13" i="12" s="1"/>
  <c r="C15" i="12" s="1"/>
  <c r="C16" i="12" s="1"/>
  <c r="D11" i="12"/>
  <c r="D12" i="12" s="1"/>
  <c r="D13" i="12" s="1"/>
  <c r="D15" i="12" s="1"/>
  <c r="D16" i="12" s="1"/>
  <c r="D13" i="10"/>
  <c r="D14" i="10" s="1"/>
  <c r="D15" i="10" s="1"/>
  <c r="D17" i="10" s="1"/>
  <c r="D18" i="10" s="1"/>
  <c r="C13" i="10"/>
  <c r="C14" i="10" s="1"/>
  <c r="C15" i="10" s="1"/>
  <c r="C17" i="10" s="1"/>
  <c r="C18" i="10" s="1"/>
  <c r="D8" i="17"/>
  <c r="D9" i="17" s="1"/>
  <c r="D10" i="17" s="1"/>
  <c r="D12" i="17" s="1"/>
  <c r="E8" i="17"/>
  <c r="E9" i="17" s="1"/>
  <c r="E10" i="17" s="1"/>
  <c r="E12" i="17" s="1"/>
  <c r="E31" i="18"/>
  <c r="D31" i="18"/>
  <c r="H6" i="34"/>
  <c r="H7" i="34"/>
  <c r="D19" i="34" s="1"/>
  <c r="H8" i="34"/>
  <c r="C39" i="22"/>
  <c r="C38" i="22"/>
  <c r="G6" i="4"/>
  <c r="D19" i="22"/>
  <c r="D26" i="22" s="1"/>
  <c r="E9" i="25" s="1"/>
  <c r="E7" i="25"/>
  <c r="O6" i="25" s="1"/>
  <c r="B25" i="24"/>
  <c r="E37" i="25"/>
  <c r="C2" i="29"/>
  <c r="F7" i="29" s="1"/>
  <c r="F80" i="25" s="1"/>
  <c r="E80" i="25" s="1"/>
  <c r="F32" i="25"/>
  <c r="F5" i="39"/>
  <c r="F6" i="39"/>
  <c r="F7" i="39"/>
  <c r="F8" i="39"/>
  <c r="F9" i="39"/>
  <c r="D10" i="39"/>
  <c r="F10" i="39" s="1"/>
  <c r="F19" i="39"/>
  <c r="K19" i="39"/>
  <c r="F20" i="39"/>
  <c r="L20" i="39" s="1"/>
  <c r="K20" i="39"/>
  <c r="O20" i="39"/>
  <c r="F21" i="39"/>
  <c r="O21" i="39" s="1"/>
  <c r="K21" i="39"/>
  <c r="D22" i="39"/>
  <c r="F22" i="39" s="1"/>
  <c r="J22" i="39"/>
  <c r="K22" i="39"/>
  <c r="F23" i="39"/>
  <c r="L23" i="39" s="1"/>
  <c r="K23" i="39"/>
  <c r="O23" i="39"/>
  <c r="F24" i="39"/>
  <c r="K24" i="39"/>
  <c r="L24" i="39"/>
  <c r="O24" i="39"/>
  <c r="F25" i="39"/>
  <c r="L25" i="39" s="1"/>
  <c r="E60" i="25"/>
  <c r="C6" i="10"/>
  <c r="D4" i="12" s="1"/>
  <c r="D6" i="12" s="1"/>
  <c r="D24" i="12" s="1"/>
  <c r="E53" i="25" s="1"/>
  <c r="F53" i="25" s="1"/>
  <c r="D6" i="10"/>
  <c r="C4" i="12" s="1"/>
  <c r="C6" i="12" s="1"/>
  <c r="E10" i="18"/>
  <c r="D9" i="18"/>
  <c r="D11" i="18" s="1"/>
  <c r="E9" i="18"/>
  <c r="E11" i="18" s="1"/>
  <c r="E14" i="18" s="1"/>
  <c r="D8" i="2"/>
  <c r="D10" i="2"/>
  <c r="D14" i="2" s="1"/>
  <c r="D11" i="2"/>
  <c r="D15" i="2" s="1"/>
  <c r="E8" i="2"/>
  <c r="E10" i="2" s="1"/>
  <c r="C15" i="20"/>
  <c r="C17" i="20" s="1"/>
  <c r="C18" i="20" s="1"/>
  <c r="C22" i="20" s="1"/>
  <c r="D8" i="34"/>
  <c r="D7" i="34"/>
  <c r="M28" i="33"/>
  <c r="V28" i="33"/>
  <c r="E27" i="33"/>
  <c r="AB27" i="33" s="1"/>
  <c r="AL27" i="33" s="1"/>
  <c r="L28" i="33"/>
  <c r="O28" i="33" s="1"/>
  <c r="W28" i="33"/>
  <c r="G27" i="33"/>
  <c r="AD27" i="33" s="1"/>
  <c r="AN27" i="33" s="1"/>
  <c r="M25" i="33"/>
  <c r="V25" i="33" s="1"/>
  <c r="W25" i="33" s="1"/>
  <c r="E24" i="33"/>
  <c r="L25" i="33"/>
  <c r="G24" i="33"/>
  <c r="AD24" i="33" s="1"/>
  <c r="AN24" i="33" s="1"/>
  <c r="F24" i="33"/>
  <c r="AC24" i="33"/>
  <c r="AM24" i="33"/>
  <c r="C27" i="33"/>
  <c r="Z27" i="33"/>
  <c r="AJ27" i="33"/>
  <c r="D27" i="33"/>
  <c r="AA27" i="33" s="1"/>
  <c r="AK27" i="33" s="1"/>
  <c r="F27" i="33"/>
  <c r="AC27" i="33"/>
  <c r="AM27" i="33" s="1"/>
  <c r="C24" i="33"/>
  <c r="Z24" i="33" s="1"/>
  <c r="AJ24" i="33" s="1"/>
  <c r="D24" i="33"/>
  <c r="AA24" i="33"/>
  <c r="AK24" i="33" s="1"/>
  <c r="AB24" i="33"/>
  <c r="AL24" i="33"/>
  <c r="M19" i="33"/>
  <c r="V19" i="33" s="1"/>
  <c r="W19" i="33" s="1"/>
  <c r="L19" i="33"/>
  <c r="M12" i="33"/>
  <c r="V12" i="33" s="1"/>
  <c r="W12" i="33" s="1"/>
  <c r="L12" i="33"/>
  <c r="G22" i="34"/>
  <c r="M10" i="33"/>
  <c r="V10" i="33" s="1"/>
  <c r="W10" i="33" s="1"/>
  <c r="L10" i="33"/>
  <c r="M17" i="33"/>
  <c r="V17" i="33"/>
  <c r="L17" i="33"/>
  <c r="D13" i="34"/>
  <c r="D14" i="34"/>
  <c r="D20" i="22"/>
  <c r="D27" i="22" s="1"/>
  <c r="E48" i="25" s="1"/>
  <c r="F48" i="25" s="1"/>
  <c r="E93" i="25"/>
  <c r="F93" i="25" s="1"/>
  <c r="Z7" i="33"/>
  <c r="AJ7" i="33"/>
  <c r="Z9" i="33"/>
  <c r="AA9" i="33"/>
  <c r="AB9" i="33"/>
  <c r="AC9" i="33"/>
  <c r="AD9" i="33"/>
  <c r="AE9" i="33"/>
  <c r="AF9" i="33"/>
  <c r="AJ9" i="33"/>
  <c r="AK9" i="33"/>
  <c r="AL9" i="33"/>
  <c r="AM9" i="33"/>
  <c r="AN9" i="33"/>
  <c r="AO9" i="33"/>
  <c r="AP9" i="33"/>
  <c r="Z11" i="33"/>
  <c r="AA11" i="33"/>
  <c r="AB11" i="33"/>
  <c r="AC11" i="33"/>
  <c r="AD11" i="33"/>
  <c r="AE11" i="33"/>
  <c r="AF11" i="33"/>
  <c r="AJ11" i="33"/>
  <c r="AK11" i="33"/>
  <c r="AL11" i="33"/>
  <c r="AM11" i="33"/>
  <c r="AN11" i="33"/>
  <c r="AO11" i="33"/>
  <c r="AP11" i="33"/>
  <c r="O12" i="33"/>
  <c r="AD12" i="33" s="1"/>
  <c r="Z14" i="33"/>
  <c r="AJ14" i="33"/>
  <c r="Z16" i="33"/>
  <c r="AA16" i="33"/>
  <c r="AB16" i="33"/>
  <c r="AC16" i="33"/>
  <c r="AD16" i="33"/>
  <c r="AJ16" i="33"/>
  <c r="AK16" i="33"/>
  <c r="AL16" i="33"/>
  <c r="AM16" i="33"/>
  <c r="AN16" i="33"/>
  <c r="Z18" i="33"/>
  <c r="AA18" i="33"/>
  <c r="AB18" i="33"/>
  <c r="AC18" i="33"/>
  <c r="AD18" i="33"/>
  <c r="AJ18" i="33"/>
  <c r="AK18" i="33"/>
  <c r="AL18" i="33"/>
  <c r="AM18" i="33"/>
  <c r="AN18" i="33"/>
  <c r="Z21" i="33"/>
  <c r="AJ21" i="33"/>
  <c r="Q28" i="33"/>
  <c r="E98" i="25"/>
  <c r="F98" i="25" s="1"/>
  <c r="F110" i="25"/>
  <c r="C18" i="31"/>
  <c r="C20" i="31" s="1"/>
  <c r="C21" i="31" s="1"/>
  <c r="C22" i="31" s="1"/>
  <c r="C26" i="31" s="1"/>
  <c r="B14" i="31"/>
  <c r="E99" i="25" s="1"/>
  <c r="C9" i="31"/>
  <c r="C10" i="31" s="1"/>
  <c r="C29" i="31" s="1"/>
  <c r="B5" i="31"/>
  <c r="E95" i="25"/>
  <c r="F95" i="25" s="1"/>
  <c r="D15" i="24"/>
  <c r="D17" i="24" s="1"/>
  <c r="D18" i="24" s="1"/>
  <c r="D19" i="24" s="1"/>
  <c r="E91" i="25" s="1"/>
  <c r="C10" i="28"/>
  <c r="F68" i="25" s="1"/>
  <c r="D3" i="28"/>
  <c r="E3" i="28" s="1"/>
  <c r="D4" i="28"/>
  <c r="E4" i="28" s="1"/>
  <c r="G4" i="28" s="1"/>
  <c r="D5" i="28"/>
  <c r="E5" i="28" s="1"/>
  <c r="C6" i="28"/>
  <c r="E6" i="28"/>
  <c r="D7" i="28"/>
  <c r="E7" i="28"/>
  <c r="D8" i="28"/>
  <c r="E8" i="28"/>
  <c r="D14" i="22"/>
  <c r="E44" i="25" s="1"/>
  <c r="F44" i="25" s="1"/>
  <c r="D13" i="22"/>
  <c r="E5" i="25" s="1"/>
  <c r="E94" i="25"/>
  <c r="F94" i="25" s="1"/>
  <c r="E46" i="25"/>
  <c r="F46" i="25" s="1"/>
  <c r="E66" i="25"/>
  <c r="F72" i="25"/>
  <c r="B5" i="24"/>
  <c r="C10" i="19"/>
  <c r="C22" i="10"/>
  <c r="C23" i="10" s="1"/>
  <c r="C24" i="10" s="1"/>
  <c r="D54" i="4"/>
  <c r="D55" i="4" s="1"/>
  <c r="C4" i="20"/>
  <c r="C9" i="20" s="1"/>
  <c r="E107" i="25" s="1"/>
  <c r="H92" i="19"/>
  <c r="I92" i="19" s="1"/>
  <c r="H5" i="19"/>
  <c r="I5" i="19" s="1"/>
  <c r="H6" i="19"/>
  <c r="I6" i="19" s="1"/>
  <c r="H7" i="19"/>
  <c r="I7" i="19" s="1"/>
  <c r="H8" i="19"/>
  <c r="I8" i="19" s="1"/>
  <c r="H9" i="19"/>
  <c r="I9" i="19" s="1"/>
  <c r="H10" i="19"/>
  <c r="I10" i="19" s="1"/>
  <c r="H11" i="19"/>
  <c r="I11" i="19" s="1"/>
  <c r="H12" i="19"/>
  <c r="I12" i="19" s="1"/>
  <c r="H13" i="19"/>
  <c r="I13" i="19" s="1"/>
  <c r="H14" i="19"/>
  <c r="I14" i="19" s="1"/>
  <c r="H15" i="19"/>
  <c r="I15" i="19" s="1"/>
  <c r="H16" i="19"/>
  <c r="I16" i="19" s="1"/>
  <c r="H17" i="19"/>
  <c r="I17" i="19" s="1"/>
  <c r="H18" i="19"/>
  <c r="I18" i="19" s="1"/>
  <c r="H19" i="19"/>
  <c r="I19" i="19" s="1"/>
  <c r="H20" i="19"/>
  <c r="I20" i="19" s="1"/>
  <c r="H21" i="19"/>
  <c r="I21" i="19" s="1"/>
  <c r="H22" i="19"/>
  <c r="I22" i="19" s="1"/>
  <c r="H23" i="19"/>
  <c r="I23" i="19" s="1"/>
  <c r="H24" i="19"/>
  <c r="I24" i="19" s="1"/>
  <c r="H25" i="19"/>
  <c r="I25" i="19" s="1"/>
  <c r="H26" i="19"/>
  <c r="I26" i="19" s="1"/>
  <c r="H27" i="19"/>
  <c r="I27" i="19" s="1"/>
  <c r="H28" i="19"/>
  <c r="I28" i="19" s="1"/>
  <c r="H29" i="19"/>
  <c r="I29" i="19" s="1"/>
  <c r="H30" i="19"/>
  <c r="I30" i="19" s="1"/>
  <c r="H31" i="19"/>
  <c r="I31" i="19" s="1"/>
  <c r="H32" i="19"/>
  <c r="I32" i="19" s="1"/>
  <c r="H33" i="19"/>
  <c r="I33" i="19" s="1"/>
  <c r="H34" i="19"/>
  <c r="I34" i="19" s="1"/>
  <c r="H35" i="19"/>
  <c r="I35" i="19" s="1"/>
  <c r="H36" i="19"/>
  <c r="I36" i="19" s="1"/>
  <c r="H37" i="19"/>
  <c r="I37" i="19" s="1"/>
  <c r="H38" i="19"/>
  <c r="I38" i="19" s="1"/>
  <c r="H39" i="19"/>
  <c r="I39" i="19" s="1"/>
  <c r="H40" i="19"/>
  <c r="I40" i="19" s="1"/>
  <c r="H41" i="19"/>
  <c r="I41" i="19" s="1"/>
  <c r="H42" i="19"/>
  <c r="I42" i="19" s="1"/>
  <c r="H43" i="19"/>
  <c r="I43" i="19" s="1"/>
  <c r="H44" i="19"/>
  <c r="I44" i="19" s="1"/>
  <c r="H45" i="19"/>
  <c r="I45" i="19" s="1"/>
  <c r="H46" i="19"/>
  <c r="I46" i="19" s="1"/>
  <c r="H47" i="19"/>
  <c r="I47" i="19" s="1"/>
  <c r="H48" i="19"/>
  <c r="I48" i="19" s="1"/>
  <c r="H49" i="19"/>
  <c r="I49" i="19" s="1"/>
  <c r="H50" i="19"/>
  <c r="I50" i="19" s="1"/>
  <c r="H51" i="19"/>
  <c r="I51" i="19" s="1"/>
  <c r="H52" i="19"/>
  <c r="I52" i="19" s="1"/>
  <c r="H53" i="19"/>
  <c r="I53" i="19" s="1"/>
  <c r="H54" i="19"/>
  <c r="I54" i="19" s="1"/>
  <c r="H55" i="19"/>
  <c r="I55" i="19" s="1"/>
  <c r="H56" i="19"/>
  <c r="I56" i="19" s="1"/>
  <c r="H57" i="19"/>
  <c r="I57" i="19" s="1"/>
  <c r="H58" i="19"/>
  <c r="I58" i="19" s="1"/>
  <c r="H59" i="19"/>
  <c r="I59" i="19" s="1"/>
  <c r="H60" i="19"/>
  <c r="I60" i="19" s="1"/>
  <c r="H61" i="19"/>
  <c r="I61" i="19" s="1"/>
  <c r="H62" i="19"/>
  <c r="I62" i="19" s="1"/>
  <c r="H63" i="19"/>
  <c r="I63" i="19" s="1"/>
  <c r="H64" i="19"/>
  <c r="I64" i="19" s="1"/>
  <c r="H65" i="19"/>
  <c r="I65" i="19" s="1"/>
  <c r="H66" i="19"/>
  <c r="I66" i="19" s="1"/>
  <c r="H67" i="19"/>
  <c r="I67" i="19" s="1"/>
  <c r="H68" i="19"/>
  <c r="I68" i="19" s="1"/>
  <c r="H69" i="19"/>
  <c r="I69" i="19" s="1"/>
  <c r="H70" i="19"/>
  <c r="I70" i="19" s="1"/>
  <c r="H71" i="19"/>
  <c r="I71" i="19" s="1"/>
  <c r="H72" i="19"/>
  <c r="I72" i="19" s="1"/>
  <c r="H73" i="19"/>
  <c r="I73" i="19" s="1"/>
  <c r="H74" i="19"/>
  <c r="I74" i="19" s="1"/>
  <c r="H75" i="19"/>
  <c r="I75" i="19" s="1"/>
  <c r="H76" i="19"/>
  <c r="I76" i="19" s="1"/>
  <c r="H77" i="19"/>
  <c r="I77" i="19" s="1"/>
  <c r="H78" i="19"/>
  <c r="I78" i="19" s="1"/>
  <c r="H79" i="19"/>
  <c r="I79" i="19" s="1"/>
  <c r="H80" i="19"/>
  <c r="I80" i="19" s="1"/>
  <c r="H81" i="19"/>
  <c r="I81" i="19" s="1"/>
  <c r="H82" i="19"/>
  <c r="I82" i="19" s="1"/>
  <c r="H83" i="19"/>
  <c r="I83" i="19" s="1"/>
  <c r="H84" i="19"/>
  <c r="I84" i="19" s="1"/>
  <c r="H85" i="19"/>
  <c r="I85" i="19" s="1"/>
  <c r="H86" i="19"/>
  <c r="I86" i="19" s="1"/>
  <c r="H87" i="19"/>
  <c r="I87" i="19" s="1"/>
  <c r="H88" i="19"/>
  <c r="I88" i="19" s="1"/>
  <c r="H89" i="19"/>
  <c r="I89" i="19" s="1"/>
  <c r="H90" i="19"/>
  <c r="I90" i="19" s="1"/>
  <c r="H91" i="19"/>
  <c r="I91" i="19" s="1"/>
  <c r="H4" i="19"/>
  <c r="I4" i="19" s="1"/>
  <c r="C12" i="19"/>
  <c r="C7" i="19"/>
  <c r="C8" i="19" s="1"/>
  <c r="C14" i="19" s="1"/>
  <c r="E31" i="4"/>
  <c r="E32" i="4"/>
  <c r="D8" i="4" s="1"/>
  <c r="F46" i="4"/>
  <c r="E46" i="4"/>
  <c r="F36" i="4"/>
  <c r="F37" i="4"/>
  <c r="F38" i="4"/>
  <c r="E36" i="4"/>
  <c r="E38" i="4" s="1"/>
  <c r="E37" i="4"/>
  <c r="F31" i="4"/>
  <c r="F32" i="4"/>
  <c r="E8" i="4" s="1"/>
  <c r="D28" i="4"/>
  <c r="D24" i="18" s="1"/>
  <c r="D25" i="18" s="1"/>
  <c r="D27" i="18" s="1"/>
  <c r="E4" i="8"/>
  <c r="D5" i="8"/>
  <c r="D6" i="8" s="1"/>
  <c r="E6" i="8" s="1"/>
  <c r="E13" i="16"/>
  <c r="E18" i="16" s="1"/>
  <c r="E16" i="25" s="1"/>
  <c r="D13" i="16"/>
  <c r="D18" i="16" s="1"/>
  <c r="F16" i="25" s="1"/>
  <c r="D6" i="16"/>
  <c r="D7" i="16"/>
  <c r="D8" i="16"/>
  <c r="D9" i="16"/>
  <c r="D5" i="16"/>
  <c r="E10" i="16"/>
  <c r="J19" i="15"/>
  <c r="H27" i="15" s="1"/>
  <c r="G27" i="15"/>
  <c r="I23" i="15"/>
  <c r="F26" i="15" s="1"/>
  <c r="E27" i="15"/>
  <c r="D19" i="15"/>
  <c r="D15" i="15"/>
  <c r="D14" i="15"/>
  <c r="E14" i="15" s="1"/>
  <c r="D13" i="15"/>
  <c r="C4" i="13"/>
  <c r="O22" i="39" l="1"/>
  <c r="L22" i="39"/>
  <c r="I27" i="15"/>
  <c r="O10" i="33"/>
  <c r="O17" i="33"/>
  <c r="E7" i="40"/>
  <c r="D11" i="40" s="1"/>
  <c r="D12" i="40" s="1"/>
  <c r="AL28" i="33"/>
  <c r="D9" i="28"/>
  <c r="E9" i="28" s="1"/>
  <c r="Q19" i="33"/>
  <c r="R19" i="33" s="1"/>
  <c r="N10" i="33"/>
  <c r="W17" i="33"/>
  <c r="AJ17" i="33" s="1"/>
  <c r="Q10" i="33"/>
  <c r="R10" i="33" s="1"/>
  <c r="F11" i="39"/>
  <c r="H26" i="15"/>
  <c r="H28" i="15" s="1"/>
  <c r="N19" i="33"/>
  <c r="Q17" i="33"/>
  <c r="R17" i="33" s="1"/>
  <c r="N17" i="33"/>
  <c r="AE12" i="33"/>
  <c r="AM28" i="33"/>
  <c r="D16" i="15"/>
  <c r="E13" i="15"/>
  <c r="D10" i="16"/>
  <c r="Q12" i="33"/>
  <c r="R12" i="33" s="1"/>
  <c r="D20" i="34"/>
  <c r="F28" i="39"/>
  <c r="O19" i="33"/>
  <c r="R28" i="33"/>
  <c r="F27" i="39"/>
  <c r="N12" i="33"/>
  <c r="I36" i="4"/>
  <c r="F7" i="25"/>
  <c r="E6" i="29"/>
  <c r="F6" i="29"/>
  <c r="F79" i="25" s="1"/>
  <c r="E79" i="25" s="1"/>
  <c r="E7" i="29"/>
  <c r="F116" i="25"/>
  <c r="C6" i="23"/>
  <c r="E67" i="25" s="1"/>
  <c r="F99" i="25"/>
  <c r="F117" i="25" s="1"/>
  <c r="E117" i="25"/>
  <c r="O8" i="25"/>
  <c r="F9" i="25"/>
  <c r="AD28" i="33"/>
  <c r="AC28" i="33"/>
  <c r="AB28" i="33"/>
  <c r="Z28" i="33"/>
  <c r="AA28" i="33"/>
  <c r="E10" i="28"/>
  <c r="D12" i="18"/>
  <c r="D15" i="18" s="1"/>
  <c r="D14" i="18"/>
  <c r="J12" i="19"/>
  <c r="K12" i="19" s="1"/>
  <c r="L12" i="19" s="1"/>
  <c r="J20" i="19"/>
  <c r="K20" i="19" s="1"/>
  <c r="L20" i="19" s="1"/>
  <c r="J28" i="19"/>
  <c r="K28" i="19" s="1"/>
  <c r="L28" i="19" s="1"/>
  <c r="J36" i="19"/>
  <c r="K36" i="19" s="1"/>
  <c r="L36" i="19" s="1"/>
  <c r="J44" i="19"/>
  <c r="K44" i="19" s="1"/>
  <c r="L44" i="19" s="1"/>
  <c r="J52" i="19"/>
  <c r="K52" i="19" s="1"/>
  <c r="L52" i="19" s="1"/>
  <c r="J68" i="19"/>
  <c r="K68" i="19" s="1"/>
  <c r="L68" i="19" s="1"/>
  <c r="J76" i="19"/>
  <c r="K76" i="19" s="1"/>
  <c r="L76" i="19" s="1"/>
  <c r="J84" i="19"/>
  <c r="K84" i="19" s="1"/>
  <c r="L84" i="19" s="1"/>
  <c r="J4" i="19"/>
  <c r="K4" i="19" s="1"/>
  <c r="L4" i="19" s="1"/>
  <c r="J11" i="19"/>
  <c r="K11" i="19" s="1"/>
  <c r="L11" i="19" s="1"/>
  <c r="J19" i="19"/>
  <c r="K19" i="19" s="1"/>
  <c r="L19" i="19" s="1"/>
  <c r="J27" i="19"/>
  <c r="K27" i="19" s="1"/>
  <c r="L27" i="19" s="1"/>
  <c r="J35" i="19"/>
  <c r="K35" i="19" s="1"/>
  <c r="L35" i="19" s="1"/>
  <c r="J43" i="19"/>
  <c r="K43" i="19" s="1"/>
  <c r="L43" i="19" s="1"/>
  <c r="J51" i="19"/>
  <c r="K51" i="19" s="1"/>
  <c r="L51" i="19" s="1"/>
  <c r="J59" i="19"/>
  <c r="K59" i="19" s="1"/>
  <c r="L59" i="19" s="1"/>
  <c r="J67" i="19"/>
  <c r="K67" i="19" s="1"/>
  <c r="L67" i="19" s="1"/>
  <c r="J75" i="19"/>
  <c r="K75" i="19" s="1"/>
  <c r="L75" i="19" s="1"/>
  <c r="J83" i="19"/>
  <c r="K83" i="19" s="1"/>
  <c r="L83" i="19" s="1"/>
  <c r="J91" i="19"/>
  <c r="K91" i="19" s="1"/>
  <c r="L91" i="19" s="1"/>
  <c r="J92" i="19"/>
  <c r="K92" i="19" s="1"/>
  <c r="L92" i="19" s="1"/>
  <c r="J10" i="19"/>
  <c r="K10" i="19" s="1"/>
  <c r="L10" i="19" s="1"/>
  <c r="J18" i="19"/>
  <c r="K18" i="19" s="1"/>
  <c r="L18" i="19" s="1"/>
  <c r="J26" i="19"/>
  <c r="K26" i="19" s="1"/>
  <c r="L26" i="19" s="1"/>
  <c r="J34" i="19"/>
  <c r="K34" i="19" s="1"/>
  <c r="L34" i="19" s="1"/>
  <c r="J42" i="19"/>
  <c r="K42" i="19" s="1"/>
  <c r="L42" i="19" s="1"/>
  <c r="J50" i="19"/>
  <c r="K50" i="19" s="1"/>
  <c r="L50" i="19" s="1"/>
  <c r="J58" i="19"/>
  <c r="K58" i="19" s="1"/>
  <c r="L58" i="19" s="1"/>
  <c r="J66" i="19"/>
  <c r="K66" i="19" s="1"/>
  <c r="L66" i="19" s="1"/>
  <c r="J74" i="19"/>
  <c r="K74" i="19" s="1"/>
  <c r="L74" i="19" s="1"/>
  <c r="J82" i="19"/>
  <c r="K82" i="19" s="1"/>
  <c r="L82" i="19" s="1"/>
  <c r="J90" i="19"/>
  <c r="K90" i="19" s="1"/>
  <c r="L90" i="19" s="1"/>
  <c r="J41" i="19"/>
  <c r="K41" i="19" s="1"/>
  <c r="L41" i="19" s="1"/>
  <c r="J65" i="19"/>
  <c r="K65" i="19" s="1"/>
  <c r="L65" i="19" s="1"/>
  <c r="J81" i="19"/>
  <c r="K81" i="19" s="1"/>
  <c r="L81" i="19" s="1"/>
  <c r="J9" i="19"/>
  <c r="K9" i="19" s="1"/>
  <c r="L9" i="19" s="1"/>
  <c r="J17" i="19"/>
  <c r="K17" i="19" s="1"/>
  <c r="L17" i="19" s="1"/>
  <c r="J25" i="19"/>
  <c r="K25" i="19" s="1"/>
  <c r="L25" i="19" s="1"/>
  <c r="J33" i="19"/>
  <c r="K33" i="19" s="1"/>
  <c r="L33" i="19" s="1"/>
  <c r="J49" i="19"/>
  <c r="K49" i="19" s="1"/>
  <c r="L49" i="19" s="1"/>
  <c r="J57" i="19"/>
  <c r="K57" i="19" s="1"/>
  <c r="L57" i="19" s="1"/>
  <c r="J73" i="19"/>
  <c r="K73" i="19" s="1"/>
  <c r="L73" i="19" s="1"/>
  <c r="J89" i="19"/>
  <c r="K89" i="19" s="1"/>
  <c r="L89" i="19" s="1"/>
  <c r="C16" i="19"/>
  <c r="J8" i="19"/>
  <c r="K8" i="19" s="1"/>
  <c r="L8" i="19" s="1"/>
  <c r="J16" i="19"/>
  <c r="K16" i="19" s="1"/>
  <c r="L16" i="19" s="1"/>
  <c r="J24" i="19"/>
  <c r="K24" i="19" s="1"/>
  <c r="L24" i="19" s="1"/>
  <c r="J32" i="19"/>
  <c r="K32" i="19" s="1"/>
  <c r="L32" i="19" s="1"/>
  <c r="J40" i="19"/>
  <c r="K40" i="19" s="1"/>
  <c r="L40" i="19" s="1"/>
  <c r="J48" i="19"/>
  <c r="K48" i="19" s="1"/>
  <c r="L48" i="19" s="1"/>
  <c r="J56" i="19"/>
  <c r="K56" i="19" s="1"/>
  <c r="L56" i="19" s="1"/>
  <c r="J64" i="19"/>
  <c r="K64" i="19" s="1"/>
  <c r="L64" i="19" s="1"/>
  <c r="J72" i="19"/>
  <c r="K72" i="19" s="1"/>
  <c r="L72" i="19" s="1"/>
  <c r="J80" i="19"/>
  <c r="K80" i="19" s="1"/>
  <c r="L80" i="19" s="1"/>
  <c r="J88" i="19"/>
  <c r="K88" i="19" s="1"/>
  <c r="L88" i="19" s="1"/>
  <c r="J22" i="19"/>
  <c r="K22" i="19" s="1"/>
  <c r="L22" i="19" s="1"/>
  <c r="C19" i="19"/>
  <c r="J7" i="19"/>
  <c r="K7" i="19" s="1"/>
  <c r="L7" i="19" s="1"/>
  <c r="J15" i="19"/>
  <c r="K15" i="19" s="1"/>
  <c r="L15" i="19" s="1"/>
  <c r="J23" i="19"/>
  <c r="K23" i="19" s="1"/>
  <c r="L23" i="19" s="1"/>
  <c r="J31" i="19"/>
  <c r="K31" i="19" s="1"/>
  <c r="L31" i="19" s="1"/>
  <c r="J39" i="19"/>
  <c r="K39" i="19" s="1"/>
  <c r="L39" i="19" s="1"/>
  <c r="J47" i="19"/>
  <c r="K47" i="19" s="1"/>
  <c r="L47" i="19" s="1"/>
  <c r="J55" i="19"/>
  <c r="K55" i="19" s="1"/>
  <c r="L55" i="19" s="1"/>
  <c r="J63" i="19"/>
  <c r="K63" i="19" s="1"/>
  <c r="L63" i="19" s="1"/>
  <c r="J71" i="19"/>
  <c r="K71" i="19" s="1"/>
  <c r="L71" i="19" s="1"/>
  <c r="J79" i="19"/>
  <c r="K79" i="19" s="1"/>
  <c r="L79" i="19" s="1"/>
  <c r="J87" i="19"/>
  <c r="K87" i="19" s="1"/>
  <c r="L87" i="19" s="1"/>
  <c r="J6" i="19"/>
  <c r="K6" i="19" s="1"/>
  <c r="L6" i="19" s="1"/>
  <c r="J14" i="19"/>
  <c r="K14" i="19" s="1"/>
  <c r="L14" i="19" s="1"/>
  <c r="J30" i="19"/>
  <c r="K30" i="19" s="1"/>
  <c r="L30" i="19" s="1"/>
  <c r="J38" i="19"/>
  <c r="K38" i="19" s="1"/>
  <c r="L38" i="19" s="1"/>
  <c r="J46" i="19"/>
  <c r="K46" i="19" s="1"/>
  <c r="L46" i="19" s="1"/>
  <c r="J54" i="19"/>
  <c r="K54" i="19" s="1"/>
  <c r="L54" i="19" s="1"/>
  <c r="J62" i="19"/>
  <c r="K62" i="19" s="1"/>
  <c r="L62" i="19" s="1"/>
  <c r="J70" i="19"/>
  <c r="K70" i="19" s="1"/>
  <c r="L70" i="19" s="1"/>
  <c r="J78" i="19"/>
  <c r="K78" i="19" s="1"/>
  <c r="L78" i="19" s="1"/>
  <c r="J86" i="19"/>
  <c r="K86" i="19" s="1"/>
  <c r="L86" i="19" s="1"/>
  <c r="J5" i="19"/>
  <c r="K5" i="19" s="1"/>
  <c r="L5" i="19" s="1"/>
  <c r="J13" i="19"/>
  <c r="K13" i="19" s="1"/>
  <c r="L13" i="19" s="1"/>
  <c r="J21" i="19"/>
  <c r="K21" i="19" s="1"/>
  <c r="L21" i="19" s="1"/>
  <c r="J29" i="19"/>
  <c r="K29" i="19" s="1"/>
  <c r="L29" i="19" s="1"/>
  <c r="J37" i="19"/>
  <c r="K37" i="19" s="1"/>
  <c r="L37" i="19" s="1"/>
  <c r="J45" i="19"/>
  <c r="K45" i="19" s="1"/>
  <c r="L45" i="19" s="1"/>
  <c r="J53" i="19"/>
  <c r="K53" i="19" s="1"/>
  <c r="L53" i="19" s="1"/>
  <c r="J61" i="19"/>
  <c r="K61" i="19" s="1"/>
  <c r="L61" i="19" s="1"/>
  <c r="J69" i="19"/>
  <c r="K69" i="19" s="1"/>
  <c r="L69" i="19" s="1"/>
  <c r="J77" i="19"/>
  <c r="K77" i="19" s="1"/>
  <c r="L77" i="19" s="1"/>
  <c r="J85" i="19"/>
  <c r="K85" i="19" s="1"/>
  <c r="L85" i="19" s="1"/>
  <c r="J60" i="19"/>
  <c r="K60" i="19" s="1"/>
  <c r="L60" i="19" s="1"/>
  <c r="AP10" i="33"/>
  <c r="C7" i="22"/>
  <c r="E7" i="22" s="1"/>
  <c r="AO10" i="33"/>
  <c r="AN10" i="33"/>
  <c r="AM10" i="33"/>
  <c r="AL10" i="33"/>
  <c r="AK10" i="33"/>
  <c r="C7" i="34"/>
  <c r="E7" i="34" s="1"/>
  <c r="AJ10" i="33"/>
  <c r="E47" i="4"/>
  <c r="E48" i="4" s="1"/>
  <c r="E49" i="4" s="1"/>
  <c r="E39" i="4"/>
  <c r="E40" i="4" s="1"/>
  <c r="E41" i="4" s="1"/>
  <c r="O4" i="25"/>
  <c r="F5" i="25"/>
  <c r="AM19" i="33"/>
  <c r="AL19" i="33"/>
  <c r="AK19" i="33"/>
  <c r="AJ19" i="33"/>
  <c r="C14" i="22"/>
  <c r="F14" i="22" s="1"/>
  <c r="C14" i="34"/>
  <c r="F14" i="34" s="1"/>
  <c r="AN19" i="33"/>
  <c r="AL25" i="33"/>
  <c r="AK25" i="33"/>
  <c r="AJ25" i="33"/>
  <c r="AN25" i="33"/>
  <c r="C19" i="34"/>
  <c r="E19" i="34" s="1"/>
  <c r="C19" i="22"/>
  <c r="E19" i="22" s="1"/>
  <c r="AM25" i="33"/>
  <c r="E16" i="15"/>
  <c r="E26" i="15" s="1"/>
  <c r="G26" i="15" s="1"/>
  <c r="I26" i="15" s="1"/>
  <c r="I28" i="15" s="1"/>
  <c r="C5" i="15" s="1"/>
  <c r="C6" i="15" s="1"/>
  <c r="E92" i="25"/>
  <c r="F91" i="25"/>
  <c r="F92" i="25" s="1"/>
  <c r="E14" i="4"/>
  <c r="H13" i="4" s="1"/>
  <c r="D14" i="4"/>
  <c r="G13" i="4" s="1"/>
  <c r="AD17" i="33"/>
  <c r="AC17" i="33"/>
  <c r="AB17" i="33"/>
  <c r="AA17" i="33"/>
  <c r="Z17" i="33"/>
  <c r="F47" i="4"/>
  <c r="F48" i="4" s="1"/>
  <c r="F49" i="4" s="1"/>
  <c r="F39" i="4"/>
  <c r="F40" i="4" s="1"/>
  <c r="F41" i="4" s="1"/>
  <c r="AL17" i="33"/>
  <c r="AK17" i="33"/>
  <c r="AP12" i="33"/>
  <c r="C8" i="34"/>
  <c r="F8" i="34" s="1"/>
  <c r="AO12" i="33"/>
  <c r="C8" i="22"/>
  <c r="F8" i="22" s="1"/>
  <c r="AN12" i="33"/>
  <c r="AM12" i="33"/>
  <c r="AL12" i="33"/>
  <c r="AK12" i="33"/>
  <c r="AJ12" i="33"/>
  <c r="E14" i="2"/>
  <c r="E11" i="2"/>
  <c r="E15" i="2" s="1"/>
  <c r="C24" i="12"/>
  <c r="E14" i="25"/>
  <c r="F14" i="25" s="1"/>
  <c r="D32" i="4"/>
  <c r="C13" i="19"/>
  <c r="C10" i="20"/>
  <c r="C24" i="20" s="1"/>
  <c r="AA19" i="33"/>
  <c r="AF12" i="33"/>
  <c r="AF10" i="33"/>
  <c r="E12" i="18"/>
  <c r="E15" i="18" s="1"/>
  <c r="C8" i="10"/>
  <c r="C9" i="10" s="1"/>
  <c r="C29" i="10" s="1"/>
  <c r="D10" i="28"/>
  <c r="E116" i="25"/>
  <c r="AB19" i="33"/>
  <c r="C20" i="22"/>
  <c r="F20" i="22" s="1"/>
  <c r="E9" i="4"/>
  <c r="L21" i="39"/>
  <c r="L19" i="39"/>
  <c r="E5" i="8"/>
  <c r="E97" i="25"/>
  <c r="AC19" i="33"/>
  <c r="Z12" i="33"/>
  <c r="Z10" i="33"/>
  <c r="D9" i="4"/>
  <c r="O19" i="39"/>
  <c r="O25" i="39" s="1"/>
  <c r="E28" i="25" s="1"/>
  <c r="Q25" i="33"/>
  <c r="R25" i="33" s="1"/>
  <c r="AA12" i="33"/>
  <c r="AA10" i="33"/>
  <c r="C20" i="34"/>
  <c r="AN28" i="33"/>
  <c r="D8" i="10"/>
  <c r="D9" i="10" s="1"/>
  <c r="D29" i="10" s="1"/>
  <c r="AB12" i="33"/>
  <c r="AB10" i="33"/>
  <c r="AJ28" i="33"/>
  <c r="AC12" i="33"/>
  <c r="AC10" i="33"/>
  <c r="O25" i="33"/>
  <c r="AK28" i="33"/>
  <c r="F20" i="34" l="1"/>
  <c r="AM17" i="33"/>
  <c r="AN17" i="33"/>
  <c r="AD10" i="33"/>
  <c r="AE10" i="33"/>
  <c r="AD19" i="33"/>
  <c r="Z19" i="33"/>
  <c r="C13" i="34"/>
  <c r="E13" i="34" s="1"/>
  <c r="C13" i="22"/>
  <c r="E13" i="22" s="1"/>
  <c r="D32" i="10"/>
  <c r="E13" i="25"/>
  <c r="F13" i="25" s="1"/>
  <c r="D10" i="4"/>
  <c r="E10" i="4"/>
  <c r="C17" i="19"/>
  <c r="C26" i="19"/>
  <c r="F21" i="22"/>
  <c r="E21" i="22"/>
  <c r="C32" i="10"/>
  <c r="E52" i="25"/>
  <c r="F52" i="25" s="1"/>
  <c r="E7" i="4"/>
  <c r="D7" i="4"/>
  <c r="E115" i="25"/>
  <c r="F97" i="25"/>
  <c r="F115" i="25" s="1"/>
  <c r="E11" i="4"/>
  <c r="D11" i="4"/>
  <c r="AB25" i="33"/>
  <c r="AA25" i="33"/>
  <c r="Z25" i="33"/>
  <c r="AD25" i="33"/>
  <c r="AC25" i="33"/>
  <c r="F21" i="34"/>
  <c r="E21" i="34"/>
  <c r="G21" i="34" s="1"/>
  <c r="H12" i="4" l="1"/>
  <c r="G12" i="4"/>
  <c r="D15" i="4"/>
  <c r="D17" i="4" s="1"/>
  <c r="E15" i="4"/>
  <c r="E17" i="4" s="1"/>
  <c r="E106" i="25"/>
  <c r="C22" i="19"/>
  <c r="C23" i="19"/>
  <c r="F106" i="25" s="1"/>
  <c r="D32" i="18" l="1"/>
  <c r="D33" i="18" s="1"/>
  <c r="D34" i="18" s="1"/>
  <c r="D19" i="4"/>
  <c r="D22" i="4" s="1"/>
  <c r="D21" i="4"/>
  <c r="E21" i="4"/>
  <c r="E19" i="4"/>
  <c r="E22" i="4" s="1"/>
  <c r="E32" i="18"/>
  <c r="E33" i="18" s="1"/>
  <c r="E34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  <author>dneill</author>
  </authors>
  <commentList>
    <comment ref="L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The .32 is the estimate used by Chile, while the 0.4 is the estimate used in US</t>
        </r>
      </text>
    </comment>
    <comment ref="E68" authorId="1" shapeId="0" xr:uid="{00000000-0006-0000-0000-000002000000}">
      <text>
        <r>
          <rPr>
            <b/>
            <sz val="10"/>
            <color indexed="81"/>
            <rFont val="Tahoma"/>
            <family val="2"/>
          </rPr>
          <t>dneill:</t>
        </r>
        <r>
          <rPr>
            <sz val="10"/>
            <color indexed="81"/>
            <rFont val="Tahoma"/>
            <family val="2"/>
          </rPr>
          <t xml:space="preserve">
This value was increased from 800 to 1000 by transfering budget from the Offset to the hexapod flange.</t>
        </r>
      </text>
    </comment>
    <comment ref="L75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This value requires agreement on camera design envelope with SLAC which does not yet exist.</t>
        </r>
      </text>
    </comment>
    <comment ref="L76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This value requires agreement on camera design envelope with SLAC which does not yet exist.</t>
        </r>
      </text>
    </comment>
    <comment ref="L8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The .32 is the estimate used by Chile, while the 0.4 is the estimate used in US</t>
        </r>
      </text>
    </comment>
    <comment ref="D133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telecon between camera and telescope group on 2/5/07</t>
        </r>
      </text>
    </comment>
    <comment ref="D134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Camera Review
13 Sept 2005
Kirk Gilmore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C4" authorId="0" shapeId="0" xr:uid="{00000000-0006-0000-0D00-000001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CSA study</t>
        </r>
      </text>
    </comment>
    <comment ref="B6" authorId="0" shapeId="0" xr:uid="{00000000-0006-0000-0D00-000002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Kaydon Bearings11666</t>
        </r>
      </text>
    </comment>
    <comment ref="B8" authorId="0" shapeId="0" xr:uid="{00000000-0006-0000-0D00-000003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encoder w tape
motors
bolts
etc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  <author xml:space="preserve"> Douglas R Neill</author>
  </authors>
  <commentList>
    <comment ref="B1" authorId="0" shapeId="0" xr:uid="{00000000-0006-0000-0F00-000001000000}">
      <text>
        <r>
          <rPr>
            <b/>
            <sz val="10"/>
            <color indexed="81"/>
            <rFont val="Tahoma"/>
            <family val="2"/>
          </rPr>
          <t>na:</t>
        </r>
        <r>
          <rPr>
            <sz val="10"/>
            <color indexed="81"/>
            <rFont val="Tahoma"/>
            <family val="2"/>
          </rPr>
          <t xml:space="preserve">
The positioning speed specified is ~twice that needed to slew 3.5 degrees in 2 seconds.</t>
        </r>
      </text>
    </comment>
    <comment ref="B7" authorId="1" shapeId="0" xr:uid="{00000000-0006-0000-0F00-000002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From"Preliminary Determination of the Gravitationally Induced Displacements of the LSST Optics"
Douglas R. Neill1 / 26 / 06
</t>
        </r>
      </text>
    </comment>
    <comment ref="B28" authorId="0" shapeId="0" xr:uid="{00000000-0006-0000-0F00-000003000000}">
      <text>
        <r>
          <rPr>
            <b/>
            <sz val="10"/>
            <color indexed="81"/>
            <rFont val="Tahoma"/>
            <family val="2"/>
          </rPr>
          <t>na:</t>
        </r>
        <r>
          <rPr>
            <sz val="10"/>
            <color indexed="81"/>
            <rFont val="Tahoma"/>
            <family val="2"/>
          </rPr>
          <t xml:space="preserve">
The speed specified allows the hexapod to keep up with a maximum 90 elevation slew.
This is actually twice as fast as needed for the actual requirement of a 3.5 degree slew in 2 seconds, which in its self is conservative because 5 seconds is aloted for the actual slew (and settle time) consequently, no "buffer" was applied.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C6" authorId="0" shapeId="0" xr:uid="{00000000-0006-0000-1400-000001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oversample 20 is 0.2/20=0.01arcsec in FP</t>
        </r>
      </text>
    </comment>
    <comment ref="C9" authorId="0" shapeId="0" xr:uid="{00000000-0006-0000-1400-000002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oversample 20 is 0.2/20=0.01arcsec in FP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C4" authorId="0" shapeId="0" xr:uid="{00000000-0006-0000-1600-000001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Consitant with telescope slew and settle.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D15" authorId="0" shapeId="0" xr:uid="{00000000-0006-0000-1700-000001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1/20 ofa pixel
</t>
        </r>
      </text>
    </comment>
    <comment ref="B17" authorId="0" shapeId="0" xr:uid="{00000000-0006-0000-1700-000002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From
MW email</t>
        </r>
      </text>
    </comment>
    <comment ref="D31" authorId="0" shapeId="0" xr:uid="{00000000-0006-0000-1700-000003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1/20 ofa pixel
</t>
        </r>
      </text>
    </comment>
    <comment ref="B33" authorId="0" shapeId="0" xr:uid="{00000000-0006-0000-1700-000004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From
MW email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C8" authorId="0" shapeId="0" xr:uid="{00000000-0006-0000-1800-000001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This is consistent with the synthetic data that shows the requirements over 1 degree are equal to 1/100 time the total</t>
        </r>
      </text>
    </comment>
    <comment ref="C22" authorId="0" shapeId="0" xr:uid="{00000000-0006-0000-1800-000002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Fro reference only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C18" authorId="0" shapeId="0" xr:uid="{00000000-0006-0000-1B00-000001000000}">
      <text>
        <r>
          <rPr>
            <b/>
            <sz val="10"/>
            <color indexed="81"/>
            <rFont val="Tahoma"/>
            <family val="2"/>
          </rPr>
          <t>na:</t>
        </r>
        <r>
          <rPr>
            <sz val="10"/>
            <color indexed="81"/>
            <rFont val="Tahoma"/>
            <family val="2"/>
          </rPr>
          <t xml:space="preserve">
Since the heat from the SMA only passes thru the light pass once it should be &lt; 1/3 as detrimental as the heat from the camera hexapod which crosses the path 3 times and impinges on the SM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From"Preliminary Determination of the Gravitationally Induced Displacements of the LSST Optics"
Douglas R. Neill1 / 26 / 06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D7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Per the CSA mike cash email: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"Resolution, defined as moving in the direction you want to go with 50% accuracy, could be in the 10s of nm (.01 um)."
The resolution was tightened to the largest value that would have negligile error (~20% of budget).  It would not produce an practical benefit to produce a tighter resolution.</t>
        </r>
      </text>
    </comment>
    <comment ref="D13" authorId="0" shapeId="0" xr:uid="{00000000-0006-0000-0200-000002000000}">
      <text>
        <r>
          <rPr>
            <b/>
            <sz val="10"/>
            <color indexed="81"/>
            <rFont val="Tahoma"/>
            <family val="2"/>
          </rPr>
          <t xml:space="preserve"> Douglas R Neill:
Per CSA Mike Cash Email:</t>
        </r>
        <r>
          <rPr>
            <sz val="10"/>
            <color indexed="81"/>
            <rFont val="Tahoma"/>
            <family val="2"/>
          </rPr>
          <t xml:space="preserve">
In the X and Y direction, an order of magnitude is probably too much, you can probably reduce this to a factor of 4-5 without a problem. 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D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The conservative assumption was made that the SM hexapod did not remove focus</t>
        </r>
      </text>
    </comment>
    <comment ref="D16" authorId="0" shapeId="0" xr:uid="{00000000-0006-0000-0300-000002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Unlike the X and Y transverse directions, the Z direction position can me easily modified by adding/removing spacers between the hexapod and offset, consequently, less static positioning uncertanty results.  The Z direction also dominates the hexapod requirements.</t>
        </r>
      </text>
    </comment>
    <comment ref="C32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The change in focus is half the change in radius of curvature</t>
        </r>
      </text>
    </comment>
    <comment ref="C44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The focus error produced by radial gradients is removed principly by bending focus not zernicke focus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D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A normalized value of 1 um is used.</t>
        </r>
      </text>
    </comment>
    <comment ref="B10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Per Aperration Therory Made Simple Page 9
Ad = n dR / (8 * F^2) or
dR = Ad * 8 * F^2 /n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  <author>na</author>
  </authors>
  <commentList>
    <comment ref="C4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 Douglas R Neill:</t>
        </r>
        <r>
          <rPr>
            <sz val="8"/>
            <color indexed="81"/>
            <rFont val="Tahoma"/>
            <family val="2"/>
          </rPr>
          <t xml:space="preserve">
From"Preliminary Determination of the Gravitationally Induced Displacements of the LSST Optics"
Douglas R. Neill1 / 26 / 06
</t>
        </r>
      </text>
    </comment>
    <comment ref="E11" authorId="1" shapeId="0" xr:uid="{00000000-0006-0000-0500-000002000000}">
      <text>
        <r>
          <rPr>
            <b/>
            <sz val="10"/>
            <color indexed="81"/>
            <rFont val="Tahoma"/>
            <family val="2"/>
          </rPr>
          <t>na:</t>
        </r>
        <r>
          <rPr>
            <sz val="10"/>
            <color indexed="81"/>
            <rFont val="Tahoma"/>
            <family val="2"/>
          </rPr>
          <t xml:space="preserve">
scaled by ratio of hexapod diameters
</t>
        </r>
      </text>
    </comment>
    <comment ref="D34" authorId="0" shapeId="0" xr:uid="{00000000-0006-0000-0500-000003000000}">
      <text>
        <r>
          <rPr>
            <b/>
            <sz val="10"/>
            <color indexed="81"/>
            <rFont val="Tahoma"/>
            <family val="2"/>
          </rPr>
          <t xml:space="preserve"> Douglas R Neill:</t>
        </r>
        <r>
          <rPr>
            <sz val="10"/>
            <color indexed="81"/>
            <rFont val="Tahoma"/>
            <family val="2"/>
          </rPr>
          <t xml:space="preserve">
Meeting the 0.64 degree requirement will be automatically met.  If the system is capable of meeting the dz requirement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Douglas R Neill</author>
  </authors>
  <commentList>
    <comment ref="A1" authorId="0" shapeId="0" xr:uid="{00000000-0006-0000-0700-000001000000}">
      <text>
        <r>
          <rPr>
            <b/>
            <sz val="10"/>
            <color indexed="81"/>
            <rFont val="Tahoma"/>
            <family val="2"/>
          </rPr>
          <t xml:space="preserve"> Douglas R Neill:
From Mike Cash CSA email.</t>
        </r>
        <r>
          <rPr>
            <sz val="10"/>
            <color indexed="81"/>
            <rFont val="Tahoma"/>
            <family val="2"/>
          </rPr>
          <t xml:space="preserve">
"But that assumes backlash is totally removed.  Repeatability is expected to be about 1-2 um though, again, no roller screw manufacturer will sign up to guarantee it as it is extremely application dependent."
</t>
        </r>
        <r>
          <rPr>
            <b/>
            <sz val="10"/>
            <color indexed="81"/>
            <rFont val="Tahoma"/>
            <family val="2"/>
          </rPr>
          <t>The resolution requirement was tightened from 2 x5 = 10 um to 5 um.
The goal was then set to 2um.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E2" authorId="0" shapeId="0" xr:uid="{00000000-0006-0000-0A00-000001000000}">
      <text>
        <r>
          <rPr>
            <b/>
            <sz val="10"/>
            <color indexed="81"/>
            <rFont val="Tahoma"/>
            <family val="2"/>
          </rPr>
          <t>na:</t>
        </r>
        <r>
          <rPr>
            <sz val="10"/>
            <color indexed="81"/>
            <rFont val="Tahoma"/>
            <family val="2"/>
          </rPr>
          <t xml:space="preserve">
Camera-Telescope Mechanical ICD</t>
        </r>
      </text>
    </comment>
    <comment ref="E3" authorId="0" shapeId="0" xr:uid="{00000000-0006-0000-0A00-000002000000}">
      <text>
        <r>
          <rPr>
            <b/>
            <sz val="10"/>
            <color indexed="81"/>
            <rFont val="Tahoma"/>
            <family val="2"/>
          </rPr>
          <t>na:</t>
        </r>
        <r>
          <rPr>
            <sz val="10"/>
            <color indexed="81"/>
            <rFont val="Tahoma"/>
            <family val="2"/>
          </rPr>
          <t xml:space="preserve">
Camera to Telescope Interface Drawing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J18" authorId="0" shapeId="0" xr:uid="{00000000-0006-0000-0C00-000001000000}">
      <text>
        <r>
          <rPr>
            <b/>
            <sz val="10"/>
            <color indexed="81"/>
            <rFont val="Tahoma"/>
            <family val="2"/>
          </rPr>
          <t>na:</t>
        </r>
        <r>
          <rPr>
            <sz val="10"/>
            <color indexed="81"/>
            <rFont val="Tahoma"/>
            <family val="2"/>
          </rPr>
          <t xml:space="preserve">
Distance from back plane (hexapod interface)</t>
        </r>
      </text>
    </comment>
    <comment ref="L25" authorId="0" shapeId="0" xr:uid="{00000000-0006-0000-0C00-000002000000}">
      <text>
        <r>
          <rPr>
            <b/>
            <sz val="10"/>
            <color indexed="81"/>
            <rFont val="Tahoma"/>
            <family val="2"/>
          </rPr>
          <t>na:</t>
        </r>
        <r>
          <rPr>
            <sz val="10"/>
            <color indexed="81"/>
            <rFont val="Tahoma"/>
            <family val="2"/>
          </rPr>
          <t xml:space="preserve">
Actuator Half Mass</t>
        </r>
      </text>
    </comment>
  </commentList>
</comments>
</file>

<file path=xl/sharedStrings.xml><?xml version="1.0" encoding="utf-8"?>
<sst xmlns="http://schemas.openxmlformats.org/spreadsheetml/2006/main" count="1505" uniqueCount="715">
  <si>
    <t>#</t>
  </si>
  <si>
    <t>Unit</t>
  </si>
  <si>
    <t>Item</t>
  </si>
  <si>
    <t>Range Translation Z</t>
  </si>
  <si>
    <t>Resolution Translation Z</t>
  </si>
  <si>
    <t>Resolution Translation XY</t>
  </si>
  <si>
    <t>Resolution Rotation XY</t>
  </si>
  <si>
    <t>Hz</t>
  </si>
  <si>
    <t>0-90</t>
  </si>
  <si>
    <t>Environment</t>
  </si>
  <si>
    <t>Air</t>
  </si>
  <si>
    <t>Altitude</t>
  </si>
  <si>
    <t>Braking</t>
  </si>
  <si>
    <t>No Backdrive</t>
  </si>
  <si>
    <t>Payload Mass - Camera Only</t>
  </si>
  <si>
    <t>Requirement</t>
  </si>
  <si>
    <t>Goal</t>
  </si>
  <si>
    <t>4b</t>
  </si>
  <si>
    <t>5b</t>
  </si>
  <si>
    <t>6b</t>
  </si>
  <si>
    <t>Operation Angles From Zenith</t>
  </si>
  <si>
    <t>Years</t>
  </si>
  <si>
    <t>n.a.</t>
  </si>
  <si>
    <t>Kg</t>
  </si>
  <si>
    <t>Life Time @ 50% duty cycle</t>
  </si>
  <si>
    <t>Slew 0 -90</t>
  </si>
  <si>
    <t>Time</t>
  </si>
  <si>
    <t>sec</t>
  </si>
  <si>
    <t>Displace</t>
  </si>
  <si>
    <t>mm</t>
  </si>
  <si>
    <t>speed</t>
  </si>
  <si>
    <t>mm/sec</t>
  </si>
  <si>
    <t>um/sec</t>
  </si>
  <si>
    <t>Positioning Speed Translation</t>
  </si>
  <si>
    <t>Positioning Speed Rotation</t>
  </si>
  <si>
    <t>Rotation</t>
  </si>
  <si>
    <t>degrees</t>
  </si>
  <si>
    <t>degrees/sec</t>
  </si>
  <si>
    <t>deg/sec</t>
  </si>
  <si>
    <t>-10 to 25</t>
  </si>
  <si>
    <t>C</t>
  </si>
  <si>
    <t>Temperature Range - Operational</t>
  </si>
  <si>
    <t>Temperature Range - Survival</t>
  </si>
  <si>
    <t>M</t>
  </si>
  <si>
    <t>Repeatability</t>
  </si>
  <si>
    <t>Cerro Pachon</t>
  </si>
  <si>
    <t>ft</t>
  </si>
  <si>
    <t>Las Campanas</t>
  </si>
  <si>
    <t>San Pedro Martir</t>
  </si>
  <si>
    <t>Heat Dissipation / leg - Average Operating</t>
  </si>
  <si>
    <t>Background Heat of Top End</t>
  </si>
  <si>
    <t>Steel</t>
  </si>
  <si>
    <t>Integrating Structure</t>
  </si>
  <si>
    <t>slugglets</t>
  </si>
  <si>
    <t>Spiders</t>
  </si>
  <si>
    <t>SM cell</t>
  </si>
  <si>
    <t>Glass</t>
  </si>
  <si>
    <t>SM</t>
  </si>
  <si>
    <t>lb</t>
  </si>
  <si>
    <t>Total</t>
  </si>
  <si>
    <t>Heat</t>
  </si>
  <si>
    <t>J / (Kg K)</t>
  </si>
  <si>
    <t>BTU/Lb F</t>
  </si>
  <si>
    <t>Kj/Kgk</t>
  </si>
  <si>
    <t>J / Kj G</t>
  </si>
  <si>
    <t>J /K</t>
  </si>
  <si>
    <t>C/hr</t>
  </si>
  <si>
    <t>C/Sec</t>
  </si>
  <si>
    <t>K/s</t>
  </si>
  <si>
    <t>J/s (watt)</t>
  </si>
  <si>
    <t>The background optical path</t>
  </si>
  <si>
    <t>heat loss is</t>
  </si>
  <si>
    <t>watts</t>
  </si>
  <si>
    <t>Assuming all camera</t>
  </si>
  <si>
    <t>heat is removed</t>
  </si>
  <si>
    <t>Max</t>
  </si>
  <si>
    <t>Typ</t>
  </si>
  <si>
    <t>min</t>
  </si>
  <si>
    <t xml:space="preserve">Actuation Type </t>
  </si>
  <si>
    <t>No Hydraulics</t>
  </si>
  <si>
    <t>Heat Disipation</t>
  </si>
  <si>
    <t>Source</t>
  </si>
  <si>
    <t xml:space="preserve">Goal </t>
  </si>
  <si>
    <t>Camera</t>
  </si>
  <si>
    <t>Camera Rotator</t>
  </si>
  <si>
    <t>Camera Hexapod</t>
  </si>
  <si>
    <t>Secondary Mirror</t>
  </si>
  <si>
    <t>Secondary Hexapod</t>
  </si>
  <si>
    <t>Watts</t>
  </si>
  <si>
    <t>TOTAL</t>
  </si>
  <si>
    <t>Budget</t>
  </si>
  <si>
    <t>Camera Hexapod/leg</t>
  </si>
  <si>
    <t>7b</t>
  </si>
  <si>
    <t>Relative Z displacement</t>
  </si>
  <si>
    <t>Oversampling factor</t>
  </si>
  <si>
    <t>um</t>
  </si>
  <si>
    <t>Filter Change</t>
  </si>
  <si>
    <t>Thermal Def Steel</t>
  </si>
  <si>
    <t>Bulk Focus Primary</t>
  </si>
  <si>
    <t>Thermal Dis Focus Primary</t>
  </si>
  <si>
    <t>Thermal Dis Focus Tertiary</t>
  </si>
  <si>
    <t>Bulk Focus Tertiary</t>
  </si>
  <si>
    <t>Gressler</t>
  </si>
  <si>
    <t>CTE</t>
  </si>
  <si>
    <t>Delta T</t>
  </si>
  <si>
    <t>L</t>
  </si>
  <si>
    <t>CTE /F</t>
  </si>
  <si>
    <t>/C</t>
  </si>
  <si>
    <t>Primary</t>
  </si>
  <si>
    <t>BS</t>
  </si>
  <si>
    <t>delta L</t>
  </si>
  <si>
    <t>Tertiary</t>
  </si>
  <si>
    <t>Translation Z</t>
  </si>
  <si>
    <t>Note: Secondary is made of real glass and has negligible thermal expansion</t>
  </si>
  <si>
    <t>Structure</t>
  </si>
  <si>
    <t>Rc</t>
  </si>
  <si>
    <t>na</t>
  </si>
  <si>
    <t>M1</t>
  </si>
  <si>
    <t>M3</t>
  </si>
  <si>
    <t>Determination of Focus to Remove SE</t>
  </si>
  <si>
    <t>Ad</t>
  </si>
  <si>
    <t>Peak Value of SE</t>
  </si>
  <si>
    <t>n</t>
  </si>
  <si>
    <t>refractive index = 1</t>
  </si>
  <si>
    <t>dR</t>
  </si>
  <si>
    <t>Focus Shift</t>
  </si>
  <si>
    <t>F#</t>
  </si>
  <si>
    <t>R/2a</t>
  </si>
  <si>
    <t>R</t>
  </si>
  <si>
    <t>Radius of curvature</t>
  </si>
  <si>
    <t>PM</t>
  </si>
  <si>
    <t>TM</t>
  </si>
  <si>
    <t>Radius of Aperture</t>
  </si>
  <si>
    <t>dR/Ad</t>
  </si>
  <si>
    <t>Check from FEA</t>
  </si>
  <si>
    <t>RMS SE/C</t>
  </si>
  <si>
    <t>PV SE/C</t>
  </si>
  <si>
    <t>mm/C</t>
  </si>
  <si>
    <t>mm/c</t>
  </si>
  <si>
    <t>PV SE</t>
  </si>
  <si>
    <t>dR/Ad where Ad = PV</t>
  </si>
  <si>
    <t xml:space="preserve">dR </t>
  </si>
  <si>
    <t>Gravity Dis Focus Primary</t>
  </si>
  <si>
    <t>Gravity Dis Focus Tertiary</t>
  </si>
  <si>
    <t>Thermal Distortion (0.1C)</t>
  </si>
  <si>
    <t>PV SE radial 1C</t>
  </si>
  <si>
    <t>PV SE Axial 1C</t>
  </si>
  <si>
    <t>PV SE 0.1C</t>
  </si>
  <si>
    <t>From FEA</t>
  </si>
  <si>
    <t>Static Position Uncertanty</t>
  </si>
  <si>
    <t>Analysis Uncertanty Buffer</t>
  </si>
  <si>
    <t>Accuracy</t>
  </si>
  <si>
    <t>Translation XY</t>
  </si>
  <si>
    <t>Gravity Dis 0-90</t>
  </si>
  <si>
    <t>Neill</t>
  </si>
  <si>
    <t>deg</t>
  </si>
  <si>
    <t>Thermal distortion</t>
  </si>
  <si>
    <t>L1</t>
  </si>
  <si>
    <t>L2</t>
  </si>
  <si>
    <t>dt</t>
  </si>
  <si>
    <t>Max delta T</t>
  </si>
  <si>
    <t>steels CTE</t>
  </si>
  <si>
    <t>dL1</t>
  </si>
  <si>
    <t>dL2</t>
  </si>
  <si>
    <t>Change in Length of L1</t>
  </si>
  <si>
    <t>Change in Length of L2</t>
  </si>
  <si>
    <t>Wid</t>
  </si>
  <si>
    <t>One side of TEA SS</t>
  </si>
  <si>
    <t>Other side of TEA SS</t>
  </si>
  <si>
    <t>/K</t>
  </si>
  <si>
    <t>Minimum Zenith Angle</t>
  </si>
  <si>
    <t>Earth rotation</t>
  </si>
  <si>
    <t>seconds</t>
  </si>
  <si>
    <t>rads</t>
  </si>
  <si>
    <t>rads/sec</t>
  </si>
  <si>
    <t>Wr</t>
  </si>
  <si>
    <t>theta deg</t>
  </si>
  <si>
    <t>theta rads</t>
  </si>
  <si>
    <t>Tan theta</t>
  </si>
  <si>
    <t>Rotator Speed (Wr)</t>
  </si>
  <si>
    <t>Wr/We</t>
  </si>
  <si>
    <t>Deg/sec</t>
  </si>
  <si>
    <t>Wr at SF 1.25</t>
  </si>
  <si>
    <t>Wr at SF 1.5</t>
  </si>
  <si>
    <t>8b</t>
  </si>
  <si>
    <t xml:space="preserve">Rotator Range: </t>
  </si>
  <si>
    <t>+/- deg</t>
  </si>
  <si>
    <t>G</t>
  </si>
  <si>
    <t>Diameter</t>
  </si>
  <si>
    <t>Radius</t>
  </si>
  <si>
    <t>pixel</t>
  </si>
  <si>
    <t>Oversample</t>
  </si>
  <si>
    <t>Velocity Tol</t>
  </si>
  <si>
    <t>Rotator Speed - Tracking:            ZERO to</t>
  </si>
  <si>
    <t>2x Res</t>
  </si>
  <si>
    <t>5x Res</t>
  </si>
  <si>
    <t>Width between SS</t>
  </si>
  <si>
    <t>dA</t>
  </si>
  <si>
    <t>Change in angle</t>
  </si>
  <si>
    <t>Gravity on Structure</t>
  </si>
  <si>
    <t>Gravity Structure</t>
  </si>
  <si>
    <t>fz</t>
  </si>
  <si>
    <t>g</t>
  </si>
  <si>
    <t>delg(m)</t>
  </si>
  <si>
    <t>delg(mm)</t>
  </si>
  <si>
    <t>review date</t>
  </si>
  <si>
    <t>range/rev</t>
  </si>
  <si>
    <t>A</t>
  </si>
  <si>
    <t>Reference</t>
  </si>
  <si>
    <t>Important notes on Mass</t>
  </si>
  <si>
    <t>Ref A</t>
  </si>
  <si>
    <t>-5 to 20</t>
  </si>
  <si>
    <t>attached</t>
  </si>
  <si>
    <t>B</t>
  </si>
  <si>
    <t>Camera Review</t>
  </si>
  <si>
    <t>Ref B</t>
  </si>
  <si>
    <t>&gt;25</t>
  </si>
  <si>
    <t>From the study LSST Camera and Telescope Mount Vibration Coupling Analysis, DR Neill 2/2/07</t>
  </si>
  <si>
    <t>A minimum mounted frequency of 12.6 Hz is required to prevent coupling.</t>
  </si>
  <si>
    <t xml:space="preserve">From the hexapod only model this equates to a fixed base fn of 16 Hz </t>
  </si>
  <si>
    <t>&gt; 16</t>
  </si>
  <si>
    <t>Telescope Requirements Document-2389</t>
  </si>
  <si>
    <t>Ref C</t>
  </si>
  <si>
    <t>Hexapod + Rotator Mass Budget</t>
  </si>
  <si>
    <t>ELECTRONICS AND CONTROLS</t>
  </si>
  <si>
    <t>2a</t>
  </si>
  <si>
    <t>4a</t>
  </si>
  <si>
    <t>5a</t>
  </si>
  <si>
    <t>6a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</si>
  <si>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</si>
  <si>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</si>
  <si>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</si>
  <si>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</si>
  <si>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</si>
  <si>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</si>
  <si>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</si>
  <si>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</si>
  <si>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</si>
  <si>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</si>
  <si>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</si>
  <si>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</si>
  <si>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</si>
  <si>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</si>
  <si>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</si>
  <si>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</si>
  <si>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</si>
  <si>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</si>
  <si>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</si>
  <si>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</si>
  <si>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</si>
  <si>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</si>
  <si>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</si>
  <si>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</si>
  <si>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</si>
  <si>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</si>
  <si>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`</t>
  </si>
  <si>
    <t>+/-90</t>
  </si>
  <si>
    <t>+/-180</t>
  </si>
  <si>
    <t>LSST Camera Positioning Sensitivities</t>
  </si>
  <si>
    <t>No Hexapod Corrections</t>
  </si>
  <si>
    <t>Element piston sensitivity</t>
  </si>
  <si>
    <t>QUADRATURE</t>
  </si>
  <si>
    <t>Step</t>
  </si>
  <si>
    <t>Half Step Degredation</t>
  </si>
  <si>
    <t xml:space="preserve">Sensitivity </t>
  </si>
  <si>
    <t>Resolution</t>
  </si>
  <si>
    <t>dd50ave</t>
  </si>
  <si>
    <t>Element Name</t>
  </si>
  <si>
    <t>dd50 arcsec/mm</t>
  </si>
  <si>
    <t>Secondary</t>
  </si>
  <si>
    <t>Element decenter sensitivities</t>
  </si>
  <si>
    <t>Element tilt sensitivities</t>
  </si>
  <si>
    <t>dd50 arcsec/min</t>
  </si>
  <si>
    <t>Solid Works</t>
  </si>
  <si>
    <t>Rotation XY</t>
  </si>
  <si>
    <t>EQUIVALENT DZ</t>
  </si>
  <si>
    <t>Hexapod Diameter</t>
  </si>
  <si>
    <t>D</t>
  </si>
  <si>
    <t>dz</t>
  </si>
  <si>
    <t>Axial Range</t>
  </si>
  <si>
    <t>angle</t>
  </si>
  <si>
    <t>Elevation Speed</t>
  </si>
  <si>
    <t>Angle max</t>
  </si>
  <si>
    <t xml:space="preserve">deg </t>
  </si>
  <si>
    <t>secs</t>
  </si>
  <si>
    <t>distance</t>
  </si>
  <si>
    <t>Speed</t>
  </si>
  <si>
    <t>Note:  the speed will be limited by the time to slew from horizon to zenith</t>
  </si>
  <si>
    <t>requirement</t>
  </si>
  <si>
    <t>Slew 0-90</t>
  </si>
  <si>
    <t>If they Vz requirement can be met, the Rx, Ry requirement should automatically be met</t>
  </si>
  <si>
    <t>TBR</t>
  </si>
  <si>
    <t>Ultimate &amp; Buckling Design Safety Factor</t>
  </si>
  <si>
    <t>Eng Judge</t>
  </si>
  <si>
    <t>ref C</t>
  </si>
  <si>
    <t>HEAT BUDGET FROM JSB</t>
  </si>
  <si>
    <t>RefC</t>
  </si>
  <si>
    <t>C1</t>
  </si>
  <si>
    <t>C2</t>
  </si>
  <si>
    <t>Relationship Between Field Of View Azimuth Angle Change and Telescope Azimuth Angle Change</t>
  </si>
  <si>
    <t>Attached</t>
  </si>
  <si>
    <t>Diameter FP</t>
  </si>
  <si>
    <t>degress</t>
  </si>
  <si>
    <t>email M Warner</t>
  </si>
  <si>
    <t>Complete System</t>
  </si>
  <si>
    <t>VAC</t>
  </si>
  <si>
    <t xml:space="preserve">Hexapod </t>
  </si>
  <si>
    <t>Rotator</t>
  </si>
  <si>
    <t>Both</t>
  </si>
  <si>
    <t>x</t>
  </si>
  <si>
    <t>Cylindrical Design Envelope  OD</t>
  </si>
  <si>
    <t>Fixed Base Loaded Natural Frequency</t>
  </si>
  <si>
    <t>Positioning Speed, Rot X and Y</t>
  </si>
  <si>
    <t>Positioning Speed, Trans X, Y and Z</t>
  </si>
  <si>
    <t>15.2 (+/-7.6)</t>
  </si>
  <si>
    <t>22.8 (+/-11.4)</t>
  </si>
  <si>
    <t>17.4 (+/- 8.7)</t>
  </si>
  <si>
    <t>26.2 (+/-13.1)</t>
  </si>
  <si>
    <t>0.95 (+/-0.475)</t>
  </si>
  <si>
    <t>Power Off</t>
  </si>
  <si>
    <t>Per email MW Used by cadence simulator</t>
  </si>
  <si>
    <t>deg/sec2</t>
  </si>
  <si>
    <t>deg/s2</t>
  </si>
  <si>
    <t>9b</t>
  </si>
  <si>
    <t>dd50error</t>
  </si>
  <si>
    <t>Arc Sec</t>
  </si>
  <si>
    <t>arcmin</t>
  </si>
  <si>
    <t>Rotational Axis Accuracy-Tilt</t>
  </si>
  <si>
    <t>decenter</t>
  </si>
  <si>
    <t>Altitude:                     Sea Level To</t>
  </si>
  <si>
    <t>settling time</t>
  </si>
  <si>
    <t>Camera CG Rotator Interface Distance</t>
  </si>
  <si>
    <t>Camera CG Hex Base Interface Distance</t>
  </si>
  <si>
    <t>Voltages Available</t>
  </si>
  <si>
    <t>Cables</t>
  </si>
  <si>
    <t>Power Supplies</t>
  </si>
  <si>
    <t>Design Accel Vertical: Gravity Y &amp; Z</t>
  </si>
  <si>
    <t>Operational Test Mass @ Camera CG</t>
  </si>
  <si>
    <t>Survival Test Mass @ Camera CG</t>
  </si>
  <si>
    <t>Command Update rate</t>
  </si>
  <si>
    <t>Rotator Absolute Accuracy</t>
  </si>
  <si>
    <t>A target must be located on a wave front detector.</t>
  </si>
  <si>
    <t>detector size</t>
  </si>
  <si>
    <t xml:space="preserve">Radius to </t>
  </si>
  <si>
    <t>fill factor</t>
  </si>
  <si>
    <t>target size</t>
  </si>
  <si>
    <t>Round to</t>
  </si>
  <si>
    <t>CSA input</t>
  </si>
  <si>
    <t>KG</t>
  </si>
  <si>
    <t>Lbs</t>
  </si>
  <si>
    <t>Slugglets</t>
  </si>
  <si>
    <t>Hex to Tel plate</t>
  </si>
  <si>
    <t>hex legs</t>
  </si>
  <si>
    <t>Hes to Rot plate</t>
  </si>
  <si>
    <t>rot bearing</t>
  </si>
  <si>
    <t>Rot to camera plate</t>
  </si>
  <si>
    <t>Misc</t>
  </si>
  <si>
    <t>Contingentcy 10%</t>
  </si>
  <si>
    <t>Camera Mass</t>
  </si>
  <si>
    <t>Operational</t>
  </si>
  <si>
    <t>Survival</t>
  </si>
  <si>
    <t>Factors</t>
  </si>
  <si>
    <t>Req</t>
  </si>
  <si>
    <t>Loads Kg</t>
  </si>
  <si>
    <t xml:space="preserve">um </t>
  </si>
  <si>
    <t>REQUIREMENTS: ROTATOR ONLY - TRACKING</t>
  </si>
  <si>
    <t xml:space="preserve">Rotator Speed Accuracy </t>
  </si>
  <si>
    <t>Rotational Axis Accuracy- Radial Runout</t>
  </si>
  <si>
    <t>Rotational Axis Accuracy- Axial Runout</t>
  </si>
  <si>
    <t>Piston</t>
  </si>
  <si>
    <t xml:space="preserve">320 *sin1.5e-6 </t>
  </si>
  <si>
    <t>This is the focus change at the edge of the field</t>
  </si>
  <si>
    <t>rms</t>
  </si>
  <si>
    <t>10b</t>
  </si>
  <si>
    <t>Total Indicator Runout - Axial</t>
  </si>
  <si>
    <t>No specific requirement presently exists for piston.  A value twice the radial runout was set to prevent unreaslistic values.</t>
  </si>
  <si>
    <t>REQUIREMENTS: ROTATOR ONLY - SLEWING</t>
  </si>
  <si>
    <t>Per JSB</t>
  </si>
  <si>
    <t>the total indicator runout should not exceed 30 um.  this value is equal to</t>
  </si>
  <si>
    <t>BAESD ON A CMAERA POINTING ALLOCATION OF</t>
  </si>
  <si>
    <t>sec rms</t>
  </si>
  <si>
    <t>Rotator Accelerations Repositioning</t>
  </si>
  <si>
    <t>Command Update Rate</t>
  </si>
  <si>
    <t>Yield (no damage) Design Safety Factor</t>
  </si>
  <si>
    <t>Sensitivity</t>
  </si>
  <si>
    <t>Trial</t>
  </si>
  <si>
    <t>Error in arcsec FWHM</t>
  </si>
  <si>
    <t>Bin</t>
  </si>
  <si>
    <t>Frequency</t>
  </si>
  <si>
    <t>Cumulative %</t>
  </si>
  <si>
    <t>tilt</t>
  </si>
  <si>
    <t>More</t>
  </si>
  <si>
    <t xml:space="preserve">Total Tilt </t>
  </si>
  <si>
    <t>Distance focal plane to rotator bearing</t>
  </si>
  <si>
    <t>Lfb</t>
  </si>
  <si>
    <t>T +/-</t>
  </si>
  <si>
    <t>degs</t>
  </si>
  <si>
    <t>Tilt allowable</t>
  </si>
  <si>
    <t>linear displacement from tilt</t>
  </si>
  <si>
    <t>del Tr +-</t>
  </si>
  <si>
    <t>Del Tr PV</t>
  </si>
  <si>
    <t>~rms</t>
  </si>
  <si>
    <t>um rms</t>
  </si>
  <si>
    <t>Change to arc seconds on sky</t>
  </si>
  <si>
    <t>scale</t>
  </si>
  <si>
    <t>sec/um</t>
  </si>
  <si>
    <t>Pointing error from tilt in arc second on sky</t>
  </si>
  <si>
    <t>rms arc secs</t>
  </si>
  <si>
    <t>Combine Decenter and Tilt</t>
  </si>
  <si>
    <t>RSS</t>
  </si>
  <si>
    <t>TTR</t>
  </si>
  <si>
    <t>Ped</t>
  </si>
  <si>
    <t>Pet</t>
  </si>
  <si>
    <t>Pointing error from decenter in arc second on sky</t>
  </si>
  <si>
    <t>T PV</t>
  </si>
  <si>
    <t>Total Indicator Runout - Radial</t>
  </si>
  <si>
    <t xml:space="preserve">Design Accel Vertical: Earthquake X,Z  </t>
  </si>
  <si>
    <t xml:space="preserve">Design Accel Horiz: Earthquake X,Y,Z </t>
  </si>
  <si>
    <t>Rotator Speed - Repositioning      ZERO to</t>
  </si>
  <si>
    <t>Cylindrical Design Envelope  Length</t>
  </si>
  <si>
    <t>Cylindrical Design Envelope  ID</t>
  </si>
  <si>
    <t xml:space="preserve">Unit </t>
  </si>
  <si>
    <t>deg/sec rms</t>
  </si>
  <si>
    <t>deg rms</t>
  </si>
  <si>
    <t>Note:  RMS (root-mean-square) values must be maintained over 15 seconds</t>
  </si>
  <si>
    <t>0.64 (+/-.32)</t>
  </si>
  <si>
    <t>+/-25x Res</t>
  </si>
  <si>
    <t>Nominal average dd50 diameter in arcsec</t>
  </si>
  <si>
    <t>LINEAR</t>
  </si>
  <si>
    <t>Element</t>
  </si>
  <si>
    <t>Tolerance</t>
  </si>
  <si>
    <t>ZEMAX</t>
  </si>
  <si>
    <t>Errors in</t>
  </si>
  <si>
    <t xml:space="preserve">dd50  </t>
  </si>
  <si>
    <t>Relative</t>
  </si>
  <si>
    <t>error dd80</t>
  </si>
  <si>
    <t>in arcsec</t>
  </si>
  <si>
    <t>degradation %</t>
  </si>
  <si>
    <t>arcsec/mm</t>
  </si>
  <si>
    <t>arcsec/min</t>
  </si>
  <si>
    <t>self locking mechanism or mechanical friction.</t>
  </si>
  <si>
    <t>The heat dissipation requirement is the average during normal operation.</t>
  </si>
  <si>
    <t>The telescope has a 30 year design life.</t>
  </si>
  <si>
    <t>and the maintenance requirements should be minimized.</t>
  </si>
  <si>
    <t>To facilitate the incorporation of a UPS the computer must be single phase.</t>
  </si>
  <si>
    <t>Notes</t>
  </si>
  <si>
    <t>AA</t>
  </si>
  <si>
    <t>AB</t>
  </si>
  <si>
    <t>AC</t>
  </si>
  <si>
    <t>AD</t>
  </si>
  <si>
    <t>All XY requirements are radial and separate X and Y values need not be combined.</t>
  </si>
  <si>
    <t>AE</t>
  </si>
  <si>
    <t>AF</t>
  </si>
  <si>
    <t>AH</t>
  </si>
  <si>
    <t>AG</t>
  </si>
  <si>
    <t>AA &amp; AD</t>
  </si>
  <si>
    <t>AB &amp; AD</t>
  </si>
  <si>
    <t>AI</t>
  </si>
  <si>
    <t>AJ</t>
  </si>
  <si>
    <t>AK</t>
  </si>
  <si>
    <t>AM</t>
  </si>
  <si>
    <t xml:space="preserve">To insure long term performance, the hexapod and rotator (assembly) must be tested </t>
  </si>
  <si>
    <t xml:space="preserve">The assembly is expected to be in operation 50% of the time.  </t>
  </si>
  <si>
    <t>AL</t>
  </si>
  <si>
    <t xml:space="preserve">The assembly is to be supplied with a complete operational control system, </t>
  </si>
  <si>
    <t>The assembly, etc must be able to operate in both Chile and the U.S.</t>
  </si>
  <si>
    <t>AN</t>
  </si>
  <si>
    <t>AO</t>
  </si>
  <si>
    <t>AP</t>
  </si>
  <si>
    <t>AQ</t>
  </si>
  <si>
    <t>AR</t>
  </si>
  <si>
    <t>AS</t>
  </si>
  <si>
    <t>AT</t>
  </si>
  <si>
    <t>AU</t>
  </si>
  <si>
    <t>Encoder Repeatability &amp; Resolution</t>
  </si>
  <si>
    <t>Encoder Accuracy</t>
  </si>
  <si>
    <t>Hard Stops - Over travel</t>
  </si>
  <si>
    <t>see note</t>
  </si>
  <si>
    <t>Limit Switches</t>
  </si>
  <si>
    <t>for 31-35 see sincle actuator spec</t>
  </si>
  <si>
    <t>Post Repositioning Settling Time</t>
  </si>
  <si>
    <t>Average Heat Dissipation - Tracking</t>
  </si>
  <si>
    <t>Rotator Encoder Accuracy</t>
  </si>
  <si>
    <t>y</t>
  </si>
  <si>
    <t>Reliability</t>
  </si>
  <si>
    <t>AV</t>
  </si>
  <si>
    <t>Mass budget does not include cabling or remote electronics not attached to the hexapod or rotator</t>
  </si>
  <si>
    <t>AW</t>
  </si>
  <si>
    <t>Hexapod in mean operating position</t>
  </si>
  <si>
    <t xml:space="preserve">The hexapod is not intended to be self correcting for temperature, load or gravitational variations.  </t>
  </si>
  <si>
    <t xml:space="preserve">An absolute encoder system must be provided that does not loose position during a power interruption.  </t>
  </si>
  <si>
    <t xml:space="preserve">Reliability is of exceptional importance.  Mean time between failures should be as high as practical </t>
  </si>
  <si>
    <t>The assembly present a drip hazard therefore, no hydraulics may be used and all lubricating systems must be sealed</t>
  </si>
  <si>
    <t>AJ &amp; AK</t>
  </si>
  <si>
    <t>All performance requirements are for any constant gravitational orientation and any constant temperature within</t>
  </si>
  <si>
    <t xml:space="preserve">the operational range. However, they must be met over the load reversal in the individual assemblies. </t>
  </si>
  <si>
    <t>AX</t>
  </si>
  <si>
    <t>Control Interface</t>
  </si>
  <si>
    <t>The control interface shall be able to receive a command and produce the required motions in the hexapod and rotator.</t>
  </si>
  <si>
    <t>items 201 &amp; 204 (note AC) without buckling or ultimate failure.</t>
  </si>
  <si>
    <t>This only requires applying a dead weight force of twice the camera payload mass with the assembly in the zenith and horizon orientation.</t>
  </si>
  <si>
    <t>To insure reliability, the assembly must be designed to operate up to 2.0x the payload described in items 201 (note AC)</t>
  </si>
  <si>
    <t>The assembly must be proof tested at 2.0x the payload described in item 201 (note AC).</t>
  </si>
  <si>
    <t xml:space="preserve">The assembly must be designed to survive at least 3.0x the  payload described in </t>
  </si>
  <si>
    <t>operationally at 1.5x the  payload described in item 201 (note AC)</t>
  </si>
  <si>
    <t>AK &amp; AL</t>
  </si>
  <si>
    <t>Payload out of balance tolerance</t>
  </si>
  <si>
    <t>email from martin May 20 09</t>
  </si>
  <si>
    <t>AY</t>
  </si>
  <si>
    <t>All design and testing shall assume the CG of the payload is at least 10 mm transverse from the axis of rotation</t>
  </si>
  <si>
    <t>Rotator tracking requirements apply for a single 15 second, 1.0 degree rotation exposure</t>
  </si>
  <si>
    <t>as a minimum this shall include the control interface, power supply and cables.</t>
  </si>
  <si>
    <t>UPDATE Aug09 with new sensitivity analysis</t>
  </si>
  <si>
    <t>+/-4x Res</t>
  </si>
  <si>
    <t>Camera Values updated 9/17/09 LSST document-7450</t>
  </si>
  <si>
    <t>Secondary Values updated 9/17/09 LSST Document 7578</t>
  </si>
  <si>
    <t>rotator angle to cover pixel at the edge of the field</t>
  </si>
  <si>
    <t>arcsec</t>
  </si>
  <si>
    <t>Error Measured by guider</t>
  </si>
  <si>
    <t>in a given time</t>
  </si>
  <si>
    <t>Guiders are at the edge of the field</t>
  </si>
  <si>
    <t>Error in rotator angle speed</t>
  </si>
  <si>
    <t>arcsec/sec</t>
  </si>
  <si>
    <t>arcsec / sec</t>
  </si>
  <si>
    <t>ratio error vs accuracy</t>
  </si>
  <si>
    <t>REQUIREMENTS: CAMERA HEXAPOD ONLY</t>
  </si>
  <si>
    <t>REQUIREMENTS: CAMERA HEXAPOD AND ROTATOR</t>
  </si>
  <si>
    <t>1S</t>
  </si>
  <si>
    <t>13S</t>
  </si>
  <si>
    <t>camera</t>
  </si>
  <si>
    <t>13.4 (+/-6.7)</t>
  </si>
  <si>
    <t>req</t>
  </si>
  <si>
    <t>goal</t>
  </si>
  <si>
    <t>Half values</t>
  </si>
  <si>
    <t>20.1 (+/-10.1)</t>
  </si>
  <si>
    <t>half values</t>
  </si>
  <si>
    <t>SMA</t>
  </si>
  <si>
    <t>SMA Hex Leg</t>
  </si>
  <si>
    <t>3S</t>
  </si>
  <si>
    <t>5S</t>
  </si>
  <si>
    <t>6S</t>
  </si>
  <si>
    <t>10S</t>
  </si>
  <si>
    <t>11S</t>
  </si>
  <si>
    <t>1C</t>
  </si>
  <si>
    <t>3C</t>
  </si>
  <si>
    <t>5C</t>
  </si>
  <si>
    <t>6C</t>
  </si>
  <si>
    <t>10C</t>
  </si>
  <si>
    <t>11C</t>
  </si>
  <si>
    <t>13C</t>
  </si>
  <si>
    <t>11.9 (+/- 5.9)</t>
  </si>
  <si>
    <t>17.8 (+/-8.9)</t>
  </si>
  <si>
    <t>0.23 (+/-.12)</t>
  </si>
  <si>
    <t>0.35 (+/-0.17)</t>
  </si>
  <si>
    <t>21C</t>
  </si>
  <si>
    <t xml:space="preserve">From </t>
  </si>
  <si>
    <t>LSST Camera</t>
  </si>
  <si>
    <t>Utility Panel Box / Cable Connection</t>
  </si>
  <si>
    <t>Envelope</t>
  </si>
  <si>
    <t>Document # 8603</t>
  </si>
  <si>
    <t>clearance of 20 mm</t>
  </si>
  <si>
    <t>Total radial clearance</t>
  </si>
  <si>
    <t>less fab tolerance</t>
  </si>
  <si>
    <t>less min clearance</t>
  </si>
  <si>
    <t>AZ</t>
  </si>
  <si>
    <t>Not to Exceed Radial Displacement (+/-)</t>
  </si>
  <si>
    <t>201S</t>
  </si>
  <si>
    <t>Payload Mass SMA</t>
  </si>
  <si>
    <t>201C</t>
  </si>
  <si>
    <t>202C</t>
  </si>
  <si>
    <t>202S</t>
  </si>
  <si>
    <t>SMA CG to Hexapod Interface</t>
  </si>
  <si>
    <t>Maximum payload under normal operating conditions.  Hexapods and rotator (assembly) must support payload and own mass.</t>
  </si>
  <si>
    <t>9c</t>
  </si>
  <si>
    <t>1c</t>
  </si>
  <si>
    <t>ROM Mass Estimate for LSST SMA (lbs)</t>
  </si>
  <si>
    <t>Solid Meniscus</t>
  </si>
  <si>
    <t>Mass</t>
  </si>
  <si>
    <t># of</t>
  </si>
  <si>
    <t xml:space="preserve">Mirror (ULE) </t>
  </si>
  <si>
    <t>Per Item</t>
  </si>
  <si>
    <t>Items</t>
  </si>
  <si>
    <t>Subtotals</t>
  </si>
  <si>
    <t>Mirror Cell</t>
  </si>
  <si>
    <t>Axial Actuators</t>
  </si>
  <si>
    <t>Tangent Actuators</t>
  </si>
  <si>
    <t>Baffle</t>
  </si>
  <si>
    <t>Hexapod Actuators</t>
  </si>
  <si>
    <t xml:space="preserve">ROM Mass Estimate for LSST SMA (Kgs): </t>
  </si>
  <si>
    <t>m3</t>
  </si>
  <si>
    <t xml:space="preserve">mass </t>
  </si>
  <si>
    <t>Mirror (ULE)</t>
  </si>
  <si>
    <t>Volume</t>
  </si>
  <si>
    <t>density</t>
  </si>
  <si>
    <t>CG</t>
  </si>
  <si>
    <t>CG (in)</t>
  </si>
  <si>
    <t>Moment</t>
  </si>
  <si>
    <t>SWM</t>
  </si>
  <si>
    <t>wag</t>
  </si>
  <si>
    <t>Baffle Base</t>
  </si>
  <si>
    <t>Baffle Half</t>
  </si>
  <si>
    <t>CSA est *1.5</t>
  </si>
  <si>
    <t>WO Hexapod</t>
  </si>
  <si>
    <t>Note 0.18 m from top of cell to transverse actuator mounts</t>
  </si>
  <si>
    <t>REQUIREMENTS: SECONDARY MIRROR ASM HEXAPOD CONT.</t>
  </si>
  <si>
    <t>To prevent vibration coupling, the natural frequency of the secondary mirror hexapod</t>
  </si>
  <si>
    <t>while loaded should be higher than the camera.</t>
  </si>
  <si>
    <t>Per FEA models actuators that will provide 16 Hz natural frequency of the</t>
  </si>
  <si>
    <t>camera will provide a natural frequency of  24 Hz</t>
  </si>
  <si>
    <t>JS: The ICD between Telescope and camera splits the 120sec for filter change into 30sec for rotator and 90sec for filter change</t>
  </si>
  <si>
    <t>rotator is 90deg max from 0</t>
  </si>
  <si>
    <t>rotator speed needed</t>
  </si>
  <si>
    <t>range/res</t>
  </si>
  <si>
    <t>M2</t>
  </si>
  <si>
    <t>LSE-11</t>
  </si>
  <si>
    <t>p12</t>
  </si>
  <si>
    <t>OK</t>
  </si>
  <si>
    <t>2.6mm</t>
  </si>
  <si>
    <t>for +-20C</t>
  </si>
  <si>
    <t>um/C</t>
  </si>
  <si>
    <t>Total PV SE/C</t>
  </si>
  <si>
    <t>RMS Wave degradation from Ming</t>
  </si>
  <si>
    <t>1.7 um/C</t>
  </si>
  <si>
    <t>see thermal_analysis_mingfeb2009_1.xls</t>
  </si>
  <si>
    <t>JS</t>
  </si>
  <si>
    <t>doc-7334</t>
  </si>
  <si>
    <t>Static Optical Alignment Allocation</t>
  </si>
  <si>
    <t>when used separately</t>
  </si>
  <si>
    <t>Thermal Defocus</t>
  </si>
  <si>
    <t>Compensator Sensitivity</t>
  </si>
  <si>
    <t>Temperature Change Allowed</t>
  </si>
  <si>
    <t>Resolution in Z required</t>
  </si>
  <si>
    <t>JS - Doc-7334</t>
  </si>
  <si>
    <t>Open Loop Predictabillity</t>
  </si>
  <si>
    <t>7a2</t>
  </si>
  <si>
    <t>REQUIREMENTS: SECONDARY MIRROR ASM HEXAPOD</t>
  </si>
  <si>
    <t>Range Translation in XY Plane</t>
  </si>
  <si>
    <t>Range Rotation about any axis in XY plane</t>
  </si>
  <si>
    <t>Repeatability: Translation and Rotation</t>
  </si>
  <si>
    <t xml:space="preserve">Absolute Accuracy: Translation and Rotation </t>
  </si>
  <si>
    <t>The hexapod must be able to meet all the XY and the Z translation and rotation requirements simultaneously</t>
  </si>
  <si>
    <t xml:space="preserve">The assembly must have power off braking for both the actuators and rotator.  This may be accomplished by power off brakes, </t>
  </si>
  <si>
    <t>The actuators must have hard stops to physically limit the motion of the hexapod legs, they must not be able to unscrew themselves</t>
  </si>
  <si>
    <t xml:space="preserve">The rotator must have physical hard stops that allow at least the required rotation and not more than the goal rotation, </t>
  </si>
  <si>
    <t>Slew 3.5</t>
  </si>
  <si>
    <t>worst case 0-3.5</t>
  </si>
  <si>
    <t>% of 0-90</t>
  </si>
  <si>
    <t>delta</t>
  </si>
  <si>
    <t>time</t>
  </si>
  <si>
    <t>u/sec</t>
  </si>
  <si>
    <t>No buffer</t>
  </si>
  <si>
    <t>For example, the camera range translation XY requirement in any direction in the XY plane is 15.2 mm.</t>
  </si>
  <si>
    <t>a x</t>
  </si>
  <si>
    <t>Az</t>
  </si>
  <si>
    <t>in</t>
  </si>
  <si>
    <t>Rotational</t>
  </si>
  <si>
    <t>Linear</t>
  </si>
  <si>
    <t>in/sec2</t>
  </si>
  <si>
    <t>measured at a height of 4.18 M above the specified center of rotation.</t>
  </si>
  <si>
    <t>This motion should be limited by the inherent maximum displacement of actuators (hard stops).</t>
  </si>
  <si>
    <t>Distance L1 to CG of camera</t>
  </si>
  <si>
    <t>m</t>
  </si>
  <si>
    <t>Document-6568</t>
  </si>
  <si>
    <t>Distance L1 to Interface</t>
  </si>
  <si>
    <t>Drawing LSE-18</t>
  </si>
  <si>
    <t>CG to Rotator Fange</t>
  </si>
  <si>
    <t>203C</t>
  </si>
  <si>
    <t>AA &amp; AB</t>
  </si>
  <si>
    <t>BA</t>
  </si>
  <si>
    <t>9S</t>
  </si>
  <si>
    <t>Center of Rotaton: Below Camera Flange</t>
  </si>
  <si>
    <t>Center of rotation about optics vertex</t>
  </si>
  <si>
    <t>SMA vertex to hex flange</t>
  </si>
  <si>
    <t>L1 vertex to hexapod flange</t>
  </si>
  <si>
    <t>Center of Rotaton below hexapod flange</t>
  </si>
  <si>
    <t>9C</t>
  </si>
  <si>
    <t>In regard to interpreting the specifications, the center of rotation is 1.937 meters below the rotator to camera flange (for the camera)</t>
  </si>
  <si>
    <t>However, the software shall have the capacity to change the position of the center of rotation.</t>
  </si>
  <si>
    <t>LSST Hexapod And Rotator:  Notes V4</t>
  </si>
  <si>
    <t>LSST Hexapod And Rotator:  Notes V4 : Continued</t>
  </si>
  <si>
    <t>and the center of rotation is 0.703 meters below the hexapod flange (for the secondary mirror)</t>
  </si>
  <si>
    <t>BB</t>
  </si>
  <si>
    <t>This covering shall have removable panels adequate to provide access to the camera utility trunk access locations shown in LSE-18</t>
  </si>
  <si>
    <t>Conditioning of the trapped air will be provided by the LSST telescope.</t>
  </si>
  <si>
    <t>If a flexible covering is utilized to capture heated air from the hexapod/rotator, the flexible covering shall be supplied by the hexapod vendor.</t>
  </si>
  <si>
    <t>Typical hexapod operation is 30 seconds of hold followed by a 0.1 mm motion over 5 seconds.</t>
  </si>
  <si>
    <t>The not to exceed radial displacement is the maximum combined XY motions from translation and rotation of the camera</t>
  </si>
  <si>
    <t>Mass budget, item 204, does not include remote electronics not attached to the hexapod / rotator or cabling.</t>
  </si>
  <si>
    <t>To prevent contact with the hard stops, the actuators and rotator shall have software limits, limit switches that signal the drives to stop,</t>
  </si>
  <si>
    <t>and limit switches that disable the drives. The rotator and hexapod control system must be capable of interfacing with the telescope mount</t>
  </si>
  <si>
    <t>emergency-stop system to stop all motion. This interface mechanism must be safety rated per ANSI/RIA R16.06-1999.</t>
  </si>
  <si>
    <t>kg</t>
  </si>
  <si>
    <t>°C</t>
  </si>
  <si>
    <r>
      <t>°</t>
    </r>
    <r>
      <rPr>
        <sz val="10"/>
        <rFont val="Arial"/>
        <family val="2"/>
      </rPr>
      <t>C</t>
    </r>
  </si>
  <si>
    <t>USA for Testing</t>
  </si>
  <si>
    <t>120V, 60 Hz</t>
  </si>
  <si>
    <t>Chile for Operations</t>
  </si>
  <si>
    <t>Note: Computers and Controllers Single Phase</t>
  </si>
  <si>
    <t>230V, 50 Hz</t>
  </si>
  <si>
    <t>(The hexapod may not "jump" when the load on an actuator reverses between tension and compression)</t>
  </si>
  <si>
    <t>Temperature measurement accuracy</t>
  </si>
  <si>
    <t>RMS values from MonteCarlo Analysis</t>
  </si>
  <si>
    <t>Piston um</t>
  </si>
  <si>
    <t>Dx mm</t>
  </si>
  <si>
    <t>Dy mm</t>
  </si>
  <si>
    <t>Tx Deg</t>
  </si>
  <si>
    <t>Ty Deg</t>
  </si>
  <si>
    <t>STD</t>
  </si>
  <si>
    <t>Error budget allocation</t>
  </si>
  <si>
    <t>0.015arcsec</t>
  </si>
  <si>
    <t>Result from Monte Carlo Analysis in Zemax (run-9)</t>
  </si>
  <si>
    <t>micron</t>
  </si>
  <si>
    <t>Defocus</t>
  </si>
  <si>
    <t>LSST Transverse Hexapod Motion Budget (mm)</t>
  </si>
  <si>
    <t>LSST Hexapods Axial Motion Budget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</si>
</sst>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E+00"/>
    <numFmt numFmtId="170" formatCode="0.0000000"/>
    <numFmt numFmtId="171" formatCode="0.00000&quot;''&quot;"/>
    <numFmt numFmtId="172" formatCode="#,##0.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3" fillId="0" borderId="0" xfId="0" applyFont="1"/>
    <xf numFmtId="1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/>
    <xf numFmtId="9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1" fontId="6" fillId="0" borderId="0" xfId="0" applyNumberFormat="1" applyFont="1" applyAlignment="1">
      <alignment horizontal="center"/>
    </xf>
    <xf numFmtId="0" fontId="0" fillId="2" borderId="0" xfId="0" applyFill="1"/>
    <xf numFmtId="167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7" fontId="0" fillId="3" borderId="5" xfId="0" applyNumberForma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0" applyNumberFormat="1"/>
    <xf numFmtId="0" fontId="3" fillId="0" borderId="0" xfId="0" applyFont="1" applyAlignment="1"/>
    <xf numFmtId="0" fontId="0" fillId="0" borderId="0" xfId="0" applyAlignment="1"/>
    <xf numFmtId="2" fontId="0" fillId="0" borderId="0" xfId="0" applyNumberFormat="1" applyAlignment="1"/>
    <xf numFmtId="11" fontId="0" fillId="0" borderId="0" xfId="0" applyNumberFormat="1" applyAlignment="1"/>
    <xf numFmtId="165" fontId="0" fillId="0" borderId="0" xfId="0" applyNumberFormat="1" applyAlignment="1"/>
    <xf numFmtId="166" fontId="0" fillId="4" borderId="0" xfId="0" applyNumberFormat="1" applyFill="1" applyAlignment="1"/>
    <xf numFmtId="0" fontId="0" fillId="4" borderId="0" xfId="0" applyFill="1" applyAlignment="1"/>
    <xf numFmtId="0" fontId="10" fillId="0" borderId="0" xfId="0" applyFont="1"/>
    <xf numFmtId="169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1" fontId="0" fillId="3" borderId="4" xfId="0" applyNumberForma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1" fontId="0" fillId="3" borderId="0" xfId="0" quotePrefix="1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3" borderId="4" xfId="0" quotePrefix="1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169" fontId="0" fillId="3" borderId="0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12" fillId="0" borderId="13" xfId="0" applyFont="1" applyFill="1" applyBorder="1" applyAlignment="1">
      <alignment horizontal="center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4" xfId="0" applyFill="1" applyBorder="1" applyAlignment="1"/>
    <xf numFmtId="10" fontId="0" fillId="0" borderId="14" xfId="0" applyNumberFormat="1" applyFill="1" applyBorder="1" applyAlignment="1"/>
    <xf numFmtId="168" fontId="0" fillId="0" borderId="0" xfId="0" applyNumberFormat="1"/>
    <xf numFmtId="167" fontId="0" fillId="0" borderId="0" xfId="0" applyNumberFormat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167" fontId="0" fillId="3" borderId="0" xfId="0" quotePrefix="1" applyNumberFormat="1" applyFill="1" applyBorder="1" applyAlignment="1">
      <alignment horizontal="center"/>
    </xf>
    <xf numFmtId="167" fontId="0" fillId="3" borderId="4" xfId="0" quotePrefix="1" applyNumberFormat="1" applyFill="1" applyBorder="1" applyAlignment="1">
      <alignment horizontal="center"/>
    </xf>
    <xf numFmtId="0" fontId="0" fillId="0" borderId="5" xfId="0" applyBorder="1" applyAlignment="1"/>
    <xf numFmtId="0" fontId="0" fillId="3" borderId="0" xfId="0" applyFill="1" applyAlignment="1"/>
    <xf numFmtId="0" fontId="0" fillId="5" borderId="0" xfId="0" applyFill="1" applyAlignment="1"/>
    <xf numFmtId="0" fontId="13" fillId="5" borderId="0" xfId="0" applyFont="1" applyFill="1" applyAlignment="1"/>
    <xf numFmtId="171" fontId="3" fillId="0" borderId="0" xfId="0" applyNumberFormat="1" applyFont="1" applyAlignment="1"/>
    <xf numFmtId="0" fontId="3" fillId="2" borderId="17" xfId="0" applyFont="1" applyFill="1" applyBorder="1" applyAlignment="1"/>
    <xf numFmtId="0" fontId="3" fillId="2" borderId="0" xfId="0" applyFont="1" applyFill="1" applyBorder="1" applyAlignment="1"/>
    <xf numFmtId="0" fontId="3" fillId="3" borderId="0" xfId="0" applyFont="1" applyFill="1" applyAlignment="1"/>
    <xf numFmtId="0" fontId="3" fillId="5" borderId="0" xfId="0" applyFont="1" applyFill="1" applyAlignment="1"/>
    <xf numFmtId="165" fontId="3" fillId="0" borderId="0" xfId="0" applyNumberFormat="1" applyFont="1" applyAlignment="1"/>
    <xf numFmtId="0" fontId="3" fillId="4" borderId="17" xfId="0" applyFont="1" applyFill="1" applyBorder="1" applyAlignment="1"/>
    <xf numFmtId="0" fontId="3" fillId="0" borderId="5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0" xfId="0" applyFont="1" applyBorder="1" applyAlignment="1"/>
    <xf numFmtId="0" fontId="3" fillId="3" borderId="0" xfId="0" applyFont="1" applyFill="1" applyBorder="1" applyAlignment="1"/>
    <xf numFmtId="0" fontId="3" fillId="5" borderId="0" xfId="0" applyFont="1" applyFill="1" applyBorder="1" applyAlignment="1"/>
    <xf numFmtId="165" fontId="3" fillId="0" borderId="3" xfId="0" applyNumberFormat="1" applyFont="1" applyFill="1" applyBorder="1" applyAlignment="1"/>
    <xf numFmtId="165" fontId="3" fillId="0" borderId="4" xfId="0" applyNumberFormat="1" applyFont="1" applyBorder="1" applyAlignment="1"/>
    <xf numFmtId="166" fontId="3" fillId="0" borderId="0" xfId="0" applyNumberFormat="1" applyFont="1" applyAlignment="1"/>
    <xf numFmtId="0" fontId="14" fillId="5" borderId="0" xfId="0" applyFont="1" applyFill="1" applyAlignment="1"/>
    <xf numFmtId="166" fontId="0" fillId="0" borderId="5" xfId="0" applyNumberFormat="1" applyBorder="1" applyAlignment="1"/>
    <xf numFmtId="165" fontId="0" fillId="0" borderId="5" xfId="0" applyNumberFormat="1" applyBorder="1" applyAlignment="1"/>
    <xf numFmtId="10" fontId="0" fillId="0" borderId="5" xfId="0" applyNumberFormat="1" applyBorder="1" applyAlignment="1"/>
    <xf numFmtId="166" fontId="0" fillId="0" borderId="0" xfId="0" applyNumberFormat="1" applyBorder="1" applyAlignment="1"/>
    <xf numFmtId="165" fontId="6" fillId="0" borderId="0" xfId="0" applyNumberFormat="1" applyFont="1" applyBorder="1" applyAlignment="1"/>
    <xf numFmtId="166" fontId="0" fillId="3" borderId="0" xfId="0" applyNumberFormat="1" applyFill="1" applyBorder="1" applyAlignment="1"/>
    <xf numFmtId="166" fontId="0" fillId="5" borderId="0" xfId="0" applyNumberFormat="1" applyFill="1" applyBorder="1" applyAlignment="1"/>
    <xf numFmtId="166" fontId="0" fillId="0" borderId="0" xfId="0" applyNumberFormat="1" applyAlignment="1"/>
    <xf numFmtId="166" fontId="0" fillId="3" borderId="0" xfId="0" applyNumberFormat="1" applyFill="1" applyAlignment="1"/>
    <xf numFmtId="166" fontId="0" fillId="5" borderId="0" xfId="0" applyNumberFormat="1" applyFill="1" applyAlignment="1"/>
    <xf numFmtId="0" fontId="0" fillId="0" borderId="4" xfId="0" applyBorder="1" applyAlignment="1"/>
    <xf numFmtId="166" fontId="3" fillId="0" borderId="0" xfId="0" applyNumberFormat="1" applyFont="1" applyBorder="1" applyAlignment="1"/>
    <xf numFmtId="2" fontId="0" fillId="0" borderId="0" xfId="0" applyNumberFormat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/>
    <xf numFmtId="2" fontId="0" fillId="0" borderId="5" xfId="0" applyNumberFormat="1" applyBorder="1" applyAlignment="1"/>
    <xf numFmtId="0" fontId="3" fillId="2" borderId="0" xfId="0" applyFont="1" applyFill="1"/>
    <xf numFmtId="0" fontId="3" fillId="2" borderId="16" xfId="0" applyFont="1" applyFill="1" applyBorder="1" applyAlignment="1">
      <alignment horizontal="center"/>
    </xf>
    <xf numFmtId="0" fontId="9" fillId="2" borderId="18" xfId="0" applyFont="1" applyFill="1" applyBorder="1" applyAlignment="1"/>
    <xf numFmtId="0" fontId="9" fillId="2" borderId="19" xfId="0" applyFont="1" applyFill="1" applyBorder="1" applyAlignment="1"/>
    <xf numFmtId="0" fontId="3" fillId="3" borderId="11" xfId="0" applyFont="1" applyFill="1" applyBorder="1" applyAlignment="1">
      <alignment horizontal="center"/>
    </xf>
    <xf numFmtId="0" fontId="0" fillId="3" borderId="19" xfId="0" applyFill="1" applyBorder="1"/>
    <xf numFmtId="0" fontId="3" fillId="3" borderId="7" xfId="0" applyFont="1" applyFill="1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3" fillId="3" borderId="4" xfId="0" applyFont="1" applyFill="1" applyBorder="1" applyAlignment="1">
      <alignment horizontal="center"/>
    </xf>
    <xf numFmtId="0" fontId="0" fillId="3" borderId="6" xfId="0" applyFill="1" applyBorder="1"/>
    <xf numFmtId="167" fontId="0" fillId="3" borderId="0" xfId="0" applyNumberFormat="1" applyFill="1" applyBorder="1" applyAlignment="1">
      <alignment horizontal="center"/>
    </xf>
    <xf numFmtId="167" fontId="0" fillId="3" borderId="4" xfId="0" applyNumberForma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" fontId="0" fillId="3" borderId="11" xfId="0" quotePrefix="1" applyNumberFormat="1" applyFill="1" applyBorder="1" applyAlignment="1">
      <alignment horizontal="center"/>
    </xf>
    <xf numFmtId="0" fontId="6" fillId="3" borderId="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" fontId="0" fillId="3" borderId="18" xfId="0" quotePrefix="1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8" xfId="0" applyFill="1" applyBorder="1" applyAlignment="1">
      <alignment horizontal="left"/>
    </xf>
    <xf numFmtId="0" fontId="0" fillId="3" borderId="9" xfId="0" applyFill="1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1" fontId="0" fillId="3" borderId="3" xfId="0" applyNumberFormat="1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6" borderId="5" xfId="0" applyFill="1" applyBorder="1"/>
    <xf numFmtId="0" fontId="0" fillId="6" borderId="0" xfId="0" applyFill="1"/>
    <xf numFmtId="166" fontId="0" fillId="6" borderId="5" xfId="0" applyNumberFormat="1" applyFill="1" applyBorder="1" applyAlignment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6" borderId="0" xfId="0" applyFill="1" applyAlignment="1"/>
    <xf numFmtId="0" fontId="0" fillId="6" borderId="5" xfId="0" applyFill="1" applyBorder="1" applyAlignment="1"/>
    <xf numFmtId="166" fontId="0" fillId="3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/>
    <xf numFmtId="166" fontId="0" fillId="4" borderId="5" xfId="0" applyNumberFormat="1" applyFill="1" applyBorder="1" applyAlignment="1"/>
    <xf numFmtId="166" fontId="0" fillId="4" borderId="0" xfId="0" applyNumberFormat="1" applyFill="1"/>
    <xf numFmtId="0" fontId="0" fillId="4" borderId="5" xfId="0" applyFill="1" applyBorder="1" applyAlignment="1"/>
    <xf numFmtId="165" fontId="3" fillId="0" borderId="0" xfId="0" applyNumberFormat="1" applyFont="1" applyBorder="1" applyAlignment="1"/>
    <xf numFmtId="0" fontId="0" fillId="7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167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68" fontId="0" fillId="2" borderId="5" xfId="0" applyNumberForma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15" fillId="0" borderId="0" xfId="0" applyFont="1"/>
    <xf numFmtId="0" fontId="16" fillId="0" borderId="0" xfId="0" applyFont="1"/>
    <xf numFmtId="2" fontId="15" fillId="0" borderId="0" xfId="0" applyNumberFormat="1" applyFont="1"/>
    <xf numFmtId="0" fontId="6" fillId="3" borderId="0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" fontId="0" fillId="3" borderId="9" xfId="0" quotePrefix="1" applyNumberForma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168" fontId="0" fillId="3" borderId="4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" fontId="0" fillId="3" borderId="3" xfId="0" quotePrefix="1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8" fontId="0" fillId="3" borderId="3" xfId="0" applyNumberForma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72" fontId="0" fillId="3" borderId="3" xfId="0" applyNumberForma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167" fontId="6" fillId="3" borderId="3" xfId="0" applyNumberFormat="1" applyFont="1" applyFill="1" applyBorder="1" applyAlignment="1">
      <alignment horizontal="center"/>
    </xf>
    <xf numFmtId="1" fontId="0" fillId="3" borderId="1" xfId="0" quotePrefix="1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70" fontId="0" fillId="3" borderId="5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167" fontId="0" fillId="3" borderId="3" xfId="0" applyNumberFormat="1" applyFill="1" applyBorder="1" applyAlignment="1">
      <alignment horizontal="center"/>
    </xf>
    <xf numFmtId="0" fontId="0" fillId="3" borderId="10" xfId="0" applyFill="1" applyBorder="1" applyAlignment="1">
      <alignment wrapText="1"/>
    </xf>
    <xf numFmtId="0" fontId="3" fillId="3" borderId="11" xfId="0" applyFont="1" applyFill="1" applyBorder="1"/>
    <xf numFmtId="0" fontId="0" fillId="3" borderId="11" xfId="0" applyFill="1" applyBorder="1"/>
    <xf numFmtId="0" fontId="0" fillId="0" borderId="7" xfId="0" applyBorder="1"/>
    <xf numFmtId="0" fontId="0" fillId="8" borderId="20" xfId="0" applyFill="1" applyBorder="1"/>
    <xf numFmtId="0" fontId="0" fillId="8" borderId="2" xfId="0" applyFill="1" applyBorder="1"/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6" borderId="0" xfId="0" applyFill="1" applyBorder="1" applyAlignment="1"/>
    <xf numFmtId="10" fontId="0" fillId="6" borderId="0" xfId="0" applyNumberFormat="1" applyFill="1" applyBorder="1" applyAlignment="1"/>
    <xf numFmtId="2" fontId="0" fillId="3" borderId="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168" fontId="0" fillId="3" borderId="16" xfId="0" applyNumberFormat="1" applyFill="1" applyBorder="1" applyAlignment="1">
      <alignment horizontal="center"/>
    </xf>
    <xf numFmtId="168" fontId="0" fillId="3" borderId="5" xfId="0" applyNumberForma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9" fillId="9" borderId="15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 Piston No Comp</a:t>
            </a:r>
          </a:p>
        </c:rich>
      </c:tx>
      <c:layout>
        <c:manualLayout>
          <c:xMode val="edge"/>
          <c:yMode val="edge"/>
          <c:x val="0.35542238371922047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5001970777579"/>
          <c:y val="0.1713557127104389"/>
          <c:w val="0.75502156089506633"/>
          <c:h val="0.64705963157822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'7a1'!$G$8</c:f>
              <c:strCache>
                <c:ptCount val="1"/>
                <c:pt idx="0">
                  <c:v>ZEMAX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'7a1'!$D$9:$J$9</c:f>
              <c:numCache>
                <c:formatCode>General</c:formatCode>
                <c:ptCount val="7"/>
                <c:pt idx="0">
                  <c:v>-1.7999999999999999E-2</c:v>
                </c:pt>
                <c:pt idx="1">
                  <c:v>-1.2E-2</c:v>
                </c:pt>
                <c:pt idx="2">
                  <c:v>-6.0000000000000001E-3</c:v>
                </c:pt>
                <c:pt idx="3">
                  <c:v>0</c:v>
                </c:pt>
                <c:pt idx="4">
                  <c:v>6.0000000000000001E-3</c:v>
                </c:pt>
                <c:pt idx="5">
                  <c:v>1.2E-2</c:v>
                </c:pt>
                <c:pt idx="6">
                  <c:v>1.7999999999999999E-2</c:v>
                </c:pt>
              </c:numCache>
            </c:numRef>
          </c:xVal>
          <c:yVal>
            <c:numRef>
              <c:f>'7a1'!$D$10:$J$10</c:f>
              <c:numCache>
                <c:formatCode>General</c:formatCode>
                <c:ptCount val="7"/>
                <c:pt idx="0">
                  <c:v>0.26523999999999998</c:v>
                </c:pt>
                <c:pt idx="1">
                  <c:v>0.19117000000000001</c:v>
                </c:pt>
                <c:pt idx="2">
                  <c:v>0.12789</c:v>
                </c:pt>
                <c:pt idx="3">
                  <c:v>9.7339999999999996E-2</c:v>
                </c:pt>
                <c:pt idx="4">
                  <c:v>0.11366999999999999</c:v>
                </c:pt>
                <c:pt idx="5">
                  <c:v>0.17172000000000001</c:v>
                </c:pt>
                <c:pt idx="6">
                  <c:v>0.24621000000000001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E-394C-AC79-8FFD6AE114A7}"/>
            </c:ext>
          </c:extLst>
        </c:ser>
        <c:ser>
          <c:idx val="1"/>
          <c:order val="1"/>
          <c:tx>
            <c:strRef>
              <c:f>'7a1'!$O$7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'7a1'!$Z$9:$AF$9</c:f>
              <c:numCache>
                <c:formatCode>0.0000</c:formatCode>
                <c:ptCount val="7"/>
                <c:pt idx="0">
                  <c:v>-1.7999999999999999E-2</c:v>
                </c:pt>
                <c:pt idx="1">
                  <c:v>-1.2E-2</c:v>
                </c:pt>
                <c:pt idx="2">
                  <c:v>-6.0000000000000001E-3</c:v>
                </c:pt>
                <c:pt idx="3">
                  <c:v>0</c:v>
                </c:pt>
                <c:pt idx="4">
                  <c:v>6.0000000000000001E-3</c:v>
                </c:pt>
                <c:pt idx="5">
                  <c:v>1.2E-2</c:v>
                </c:pt>
                <c:pt idx="6">
                  <c:v>1.7999999999999999E-2</c:v>
                </c:pt>
              </c:numCache>
            </c:numRef>
          </c:xVal>
          <c:yVal>
            <c:numRef>
              <c:f>'7a1'!$Z$10:$AF$10</c:f>
              <c:numCache>
                <c:formatCode>0.0000</c:formatCode>
                <c:ptCount val="7"/>
                <c:pt idx="0">
                  <c:v>0.23808499999999999</c:v>
                </c:pt>
                <c:pt idx="1">
                  <c:v>0.19117000000000001</c:v>
                </c:pt>
                <c:pt idx="2">
                  <c:v>0.14425499999999999</c:v>
                </c:pt>
                <c:pt idx="3">
                  <c:v>9.7339999999999996E-2</c:v>
                </c:pt>
                <c:pt idx="4">
                  <c:v>0.14425499999999999</c:v>
                </c:pt>
                <c:pt idx="5">
                  <c:v>0.19117000000000001</c:v>
                </c:pt>
                <c:pt idx="6">
                  <c:v>0.23808499999999999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3E-394C-AC79-8FFD6AE114A7}"/>
            </c:ext>
          </c:extLst>
        </c:ser>
        <c:ser>
          <c:idx val="2"/>
          <c:order val="2"/>
          <c:tx>
            <c:strRef>
              <c:f>'7a1'!$W$7</c:f>
              <c:strCache>
                <c:ptCount val="1"/>
                <c:pt idx="0">
                  <c:v>QUADRATURE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'7a1'!$AJ$9:$AP$9</c:f>
              <c:numCache>
                <c:formatCode>General</c:formatCode>
                <c:ptCount val="7"/>
                <c:pt idx="0">
                  <c:v>-1.7999999999999999E-2</c:v>
                </c:pt>
                <c:pt idx="1">
                  <c:v>-1.2E-2</c:v>
                </c:pt>
                <c:pt idx="2">
                  <c:v>-6.0000000000000001E-3</c:v>
                </c:pt>
                <c:pt idx="3">
                  <c:v>0</c:v>
                </c:pt>
                <c:pt idx="4">
                  <c:v>6.0000000000000001E-3</c:v>
                </c:pt>
                <c:pt idx="5">
                  <c:v>1.2E-2</c:v>
                </c:pt>
                <c:pt idx="6">
                  <c:v>1.7999999999999999E-2</c:v>
                </c:pt>
              </c:numCache>
            </c:numRef>
          </c:xVal>
          <c:yVal>
            <c:numRef>
              <c:f>'7a1'!$AJ$10:$AP$10</c:f>
              <c:numCache>
                <c:formatCode>General</c:formatCode>
                <c:ptCount val="7"/>
                <c:pt idx="0">
                  <c:v>0.26530093389394616</c:v>
                </c:pt>
                <c:pt idx="1">
                  <c:v>0.19117000000000001</c:v>
                </c:pt>
                <c:pt idx="2">
                  <c:v>0.12744723977003189</c:v>
                </c:pt>
                <c:pt idx="3">
                  <c:v>9.7339999999999996E-2</c:v>
                </c:pt>
                <c:pt idx="4">
                  <c:v>0.12744723977003189</c:v>
                </c:pt>
                <c:pt idx="5">
                  <c:v>0.19117000000000001</c:v>
                </c:pt>
                <c:pt idx="6">
                  <c:v>0.26530093389394616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3E-394C-AC79-8FFD6AE1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4896"/>
        <c:axId val="109207936"/>
      </c:scatterChart>
      <c:valAx>
        <c:axId val="109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5140631158679952"/>
              <c:y val="0.91560216642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07936"/>
        <c:crosses val="autoZero"/>
        <c:crossBetween val="midCat"/>
      </c:valAx>
      <c:valAx>
        <c:axId val="10920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dd 50 arcsec</a:t>
                </a:r>
              </a:p>
            </c:rich>
          </c:tx>
          <c:layout>
            <c:manualLayout>
              <c:xMode val="edge"/>
              <c:yMode val="edge"/>
              <c:x val="2.0080360662102843E-2"/>
              <c:y val="0.37595954878260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84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622599034024833"/>
          <c:y val="0.63938698772551816"/>
          <c:w val="0.29116522960049102"/>
          <c:h val="0.17902835656314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 Decenter No Comp</a:t>
            </a:r>
          </a:p>
        </c:rich>
      </c:tx>
      <c:layout>
        <c:manualLayout>
          <c:xMode val="edge"/>
          <c:yMode val="edge"/>
          <c:x val="0.3326616178073199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27435034411075"/>
          <c:y val="0.15856797295592859"/>
          <c:w val="0.72580716612506113"/>
          <c:h val="0.664962467234539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'7a1'!$G$8</c:f>
              <c:strCache>
                <c:ptCount val="1"/>
                <c:pt idx="0">
                  <c:v>ZEMAX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'7a1'!$C$16:$G$16</c:f>
              <c:numCache>
                <c:formatCode>General</c:formatCode>
                <c:ptCount val="5"/>
                <c:pt idx="0">
                  <c:v>0</c:v>
                </c:pt>
                <c:pt idx="1">
                  <c:v>0.14000000000000001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0.56000000000000005</c:v>
                </c:pt>
              </c:numCache>
            </c:numRef>
          </c:xVal>
          <c:yVal>
            <c:numRef>
              <c:f>'7a1'!$C$17:$G$17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0.12162000000000001</c:v>
                </c:pt>
                <c:pt idx="2">
                  <c:v>0.17685000000000001</c:v>
                </c:pt>
                <c:pt idx="3">
                  <c:v>0.24001</c:v>
                </c:pt>
                <c:pt idx="4">
                  <c:v>0.3039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3-AB44-B23E-0C30F9C1FC6B}"/>
            </c:ext>
          </c:extLst>
        </c:ser>
        <c:ser>
          <c:idx val="1"/>
          <c:order val="1"/>
          <c:tx>
            <c:strRef>
              <c:f>'7a1'!$O$7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'7a1'!$Z$16:$AD$16</c:f>
              <c:numCache>
                <c:formatCode>General</c:formatCode>
                <c:ptCount val="5"/>
                <c:pt idx="0">
                  <c:v>0</c:v>
                </c:pt>
                <c:pt idx="1">
                  <c:v>0.14000000000000001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0.56000000000000005</c:v>
                </c:pt>
              </c:numCache>
            </c:numRef>
          </c:xVal>
          <c:yVal>
            <c:numRef>
              <c:f>'7a1'!$Z$17:$AD$17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0.14489666666666667</c:v>
                </c:pt>
                <c:pt idx="2">
                  <c:v>0.19245333333333337</c:v>
                </c:pt>
                <c:pt idx="3">
                  <c:v>0.24001</c:v>
                </c:pt>
                <c:pt idx="4">
                  <c:v>0.28756666666666675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3-AB44-B23E-0C30F9C1FC6B}"/>
            </c:ext>
          </c:extLst>
        </c:ser>
        <c:ser>
          <c:idx val="2"/>
          <c:order val="2"/>
          <c:tx>
            <c:strRef>
              <c:f>'7a1'!$W$7</c:f>
              <c:strCache>
                <c:ptCount val="1"/>
                <c:pt idx="0">
                  <c:v>QUADRATURE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'7a1'!$AJ$16:$AN$16</c:f>
              <c:numCache>
                <c:formatCode>General</c:formatCode>
                <c:ptCount val="5"/>
                <c:pt idx="0">
                  <c:v>0</c:v>
                </c:pt>
                <c:pt idx="1">
                  <c:v>0.14000000000000001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0.56000000000000005</c:v>
                </c:pt>
              </c:numCache>
            </c:numRef>
          </c:xVal>
          <c:yVal>
            <c:numRef>
              <c:f>'7a1'!$AJ$17:$AN$17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0.12174901546487622</c:v>
                </c:pt>
                <c:pt idx="2">
                  <c:v>0.17568740497447927</c:v>
                </c:pt>
                <c:pt idx="3">
                  <c:v>0.24001000000000003</c:v>
                </c:pt>
                <c:pt idx="4">
                  <c:v>0.30828400909983428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03-AB44-B23E-0C30F9C1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42240"/>
        <c:axId val="109576576"/>
      </c:scatterChart>
      <c:valAx>
        <c:axId val="1092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306489323267168"/>
              <c:y val="0.91815971437384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76576"/>
        <c:crosses val="autoZero"/>
        <c:crossBetween val="midCat"/>
      </c:valAx>
      <c:valAx>
        <c:axId val="10957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dd 50 arcsec</a:t>
                </a:r>
              </a:p>
            </c:rich>
          </c:tx>
          <c:layout>
            <c:manualLayout>
              <c:xMode val="edge"/>
              <c:yMode val="edge"/>
              <c:x val="1.814517915312654E-2"/>
              <c:y val="0.37340200083170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42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282317408720354"/>
          <c:y val="0.64194453567642074"/>
          <c:w val="0.29233899746703867"/>
          <c:h val="0.17902835656314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 Tilt No Comp</a:t>
            </a:r>
          </a:p>
        </c:rich>
      </c:tx>
      <c:layout>
        <c:manualLayout>
          <c:xMode val="edge"/>
          <c:yMode val="edge"/>
          <c:x val="0.37701650018162913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2595729306845"/>
          <c:y val="0.15601042500502652"/>
          <c:w val="0.7217749040910334"/>
          <c:h val="0.67263511108724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'7a1'!$G$8</c:f>
              <c:strCache>
                <c:ptCount val="1"/>
                <c:pt idx="0">
                  <c:v>ZEMAX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'7a1'!$C$24:$G$24</c:f>
              <c:numCache>
                <c:formatCode>General</c:formatCode>
                <c:ptCount val="5"/>
                <c:pt idx="0">
                  <c:v>0</c:v>
                </c:pt>
                <c:pt idx="1">
                  <c:v>6.9000000000000006E-2</c:v>
                </c:pt>
                <c:pt idx="2">
                  <c:v>0.13800000000000001</c:v>
                </c:pt>
                <c:pt idx="3">
                  <c:v>0.20699999999999999</c:v>
                </c:pt>
                <c:pt idx="4">
                  <c:v>0.27600000000000002</c:v>
                </c:pt>
              </c:numCache>
            </c:numRef>
          </c:xVal>
          <c:yVal>
            <c:numRef>
              <c:f>'7a1'!$C$25:$G$25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0.11959</c:v>
                </c:pt>
                <c:pt idx="2">
                  <c:v>0.17147000000000001</c:v>
                </c:pt>
                <c:pt idx="3">
                  <c:v>0.23216000000000001</c:v>
                </c:pt>
                <c:pt idx="4">
                  <c:v>0.29441000000000001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9-3142-B7BD-3356891A6995}"/>
            </c:ext>
          </c:extLst>
        </c:ser>
        <c:ser>
          <c:idx val="1"/>
          <c:order val="1"/>
          <c:tx>
            <c:strRef>
              <c:f>'7a1'!$O$7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'7a1'!$Z$24:$AD$24</c:f>
              <c:numCache>
                <c:formatCode>General</c:formatCode>
                <c:ptCount val="5"/>
                <c:pt idx="0">
                  <c:v>0</c:v>
                </c:pt>
                <c:pt idx="1">
                  <c:v>6.9000000000000006E-2</c:v>
                </c:pt>
                <c:pt idx="2">
                  <c:v>0.13800000000000001</c:v>
                </c:pt>
                <c:pt idx="3">
                  <c:v>0.20699999999999999</c:v>
                </c:pt>
                <c:pt idx="4">
                  <c:v>0.27600000000000002</c:v>
                </c:pt>
              </c:numCache>
            </c:numRef>
          </c:xVal>
          <c:yVal>
            <c:numRef>
              <c:f>'7a1'!$Z$25:$AD$25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0.134405</c:v>
                </c:pt>
                <c:pt idx="2">
                  <c:v>0.17147000000000001</c:v>
                </c:pt>
                <c:pt idx="3">
                  <c:v>0.208535</c:v>
                </c:pt>
                <c:pt idx="4">
                  <c:v>0.24560000000000004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D9-3142-B7BD-3356891A6995}"/>
            </c:ext>
          </c:extLst>
        </c:ser>
        <c:ser>
          <c:idx val="2"/>
          <c:order val="2"/>
          <c:tx>
            <c:strRef>
              <c:f>'7a1'!$W$7</c:f>
              <c:strCache>
                <c:ptCount val="1"/>
                <c:pt idx="0">
                  <c:v>QUADRATURE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'7a1'!$AJ$24:$AN$24</c:f>
              <c:numCache>
                <c:formatCode>General</c:formatCode>
                <c:ptCount val="5"/>
                <c:pt idx="0">
                  <c:v>0</c:v>
                </c:pt>
                <c:pt idx="1">
                  <c:v>6.9000000000000006E-2</c:v>
                </c:pt>
                <c:pt idx="2">
                  <c:v>0.13800000000000001</c:v>
                </c:pt>
                <c:pt idx="3">
                  <c:v>0.20699999999999999</c:v>
                </c:pt>
                <c:pt idx="4">
                  <c:v>0.27600000000000002</c:v>
                </c:pt>
              </c:numCache>
            </c:numRef>
          </c:xVal>
          <c:yVal>
            <c:numRef>
              <c:f>'7a1'!$AJ$25:$AN$25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0.12023642095887585</c:v>
                </c:pt>
                <c:pt idx="2">
                  <c:v>0.17147000000000001</c:v>
                </c:pt>
                <c:pt idx="3">
                  <c:v>0.23304627764673691</c:v>
                </c:pt>
                <c:pt idx="4">
                  <c:v>0.29863458741411719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D9-3142-B7BD-3356891A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9168"/>
        <c:axId val="109662208"/>
      </c:scatterChart>
      <c:valAx>
        <c:axId val="1096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Tilt (arc min)</a:t>
                </a:r>
              </a:p>
            </c:rich>
          </c:tx>
          <c:layout>
            <c:manualLayout>
              <c:xMode val="edge"/>
              <c:yMode val="edge"/>
              <c:x val="0.42137138255593831"/>
              <c:y val="0.91815971437384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62208"/>
        <c:crosses val="autoZero"/>
        <c:crossBetween val="midCat"/>
      </c:valAx>
      <c:valAx>
        <c:axId val="10966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dd 50 arcsec</a:t>
                </a:r>
              </a:p>
            </c:rich>
          </c:tx>
          <c:layout>
            <c:manualLayout>
              <c:xMode val="edge"/>
              <c:yMode val="edge"/>
              <c:x val="1.2096786102084346E-2"/>
              <c:y val="0.37340200083170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39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74251900213326"/>
          <c:y val="0.64450208362732231"/>
          <c:w val="0.29233899746703867"/>
          <c:h val="0.17902835656314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Camera Piston  No Comp</a:t>
            </a:r>
          </a:p>
        </c:rich>
      </c:tx>
      <c:layout>
        <c:manualLayout>
          <c:xMode val="edge"/>
          <c:yMode val="edge"/>
          <c:x val="0.31927773452743496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43394757535529"/>
          <c:y val="0.1713557127104389"/>
          <c:w val="0.76104566909369775"/>
          <c:h val="0.652174727480028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'7a1'!$G$8</c:f>
              <c:strCache>
                <c:ptCount val="1"/>
                <c:pt idx="0">
                  <c:v>ZEMAX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'7a1'!$D$11:$J$11</c:f>
              <c:numCache>
                <c:formatCode>General</c:formatCode>
                <c:ptCount val="7"/>
                <c:pt idx="0">
                  <c:v>-1.6500000000000001E-2</c:v>
                </c:pt>
                <c:pt idx="1">
                  <c:v>-1.0999999999999999E-2</c:v>
                </c:pt>
                <c:pt idx="2">
                  <c:v>-5.4999999999999997E-3</c:v>
                </c:pt>
                <c:pt idx="3">
                  <c:v>0</c:v>
                </c:pt>
                <c:pt idx="4">
                  <c:v>5.4999999999999997E-3</c:v>
                </c:pt>
                <c:pt idx="5">
                  <c:v>1.0999999999999999E-2</c:v>
                </c:pt>
                <c:pt idx="6">
                  <c:v>1.6500000000000001E-2</c:v>
                </c:pt>
              </c:numCache>
            </c:numRef>
          </c:xVal>
          <c:yVal>
            <c:numRef>
              <c:f>'7a1'!$D$12:$J$12</c:f>
              <c:numCache>
                <c:formatCode>General</c:formatCode>
                <c:ptCount val="7"/>
                <c:pt idx="0">
                  <c:v>0.25435000000000002</c:v>
                </c:pt>
                <c:pt idx="1">
                  <c:v>0.18440999999999999</c:v>
                </c:pt>
                <c:pt idx="2">
                  <c:v>0.12542</c:v>
                </c:pt>
                <c:pt idx="3">
                  <c:v>9.7339999999999996E-2</c:v>
                </c:pt>
                <c:pt idx="4">
                  <c:v>0.11176999999999999</c:v>
                </c:pt>
                <c:pt idx="5">
                  <c:v>0.16500999999999999</c:v>
                </c:pt>
                <c:pt idx="6">
                  <c:v>0.23469000000000001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C-394E-92A4-619B9E256CE8}"/>
            </c:ext>
          </c:extLst>
        </c:ser>
        <c:ser>
          <c:idx val="1"/>
          <c:order val="1"/>
          <c:tx>
            <c:strRef>
              <c:f>'7a1'!$O$7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'7a1'!$Z$11:$AF$11</c:f>
              <c:numCache>
                <c:formatCode>0.0000</c:formatCode>
                <c:ptCount val="7"/>
                <c:pt idx="0">
                  <c:v>-1.6500000000000001E-2</c:v>
                </c:pt>
                <c:pt idx="1">
                  <c:v>-1.0999999999999999E-2</c:v>
                </c:pt>
                <c:pt idx="2">
                  <c:v>-5.4999999999999997E-3</c:v>
                </c:pt>
                <c:pt idx="3">
                  <c:v>0</c:v>
                </c:pt>
                <c:pt idx="4">
                  <c:v>5.4999999999999997E-3</c:v>
                </c:pt>
                <c:pt idx="5">
                  <c:v>1.0999999999999999E-2</c:v>
                </c:pt>
                <c:pt idx="6">
                  <c:v>1.6500000000000001E-2</c:v>
                </c:pt>
              </c:numCache>
            </c:numRef>
          </c:xVal>
          <c:yVal>
            <c:numRef>
              <c:f>'7a1'!$Z$12:$AF$12</c:f>
              <c:numCache>
                <c:formatCode>0.0000</c:formatCode>
                <c:ptCount val="7"/>
                <c:pt idx="0">
                  <c:v>0.21339499999999997</c:v>
                </c:pt>
                <c:pt idx="1">
                  <c:v>0.17470999999999998</c:v>
                </c:pt>
                <c:pt idx="2">
                  <c:v>0.13602499999999998</c:v>
                </c:pt>
                <c:pt idx="3">
                  <c:v>9.7339999999999996E-2</c:v>
                </c:pt>
                <c:pt idx="4">
                  <c:v>0.13602499999999998</c:v>
                </c:pt>
                <c:pt idx="5">
                  <c:v>0.17470999999999998</c:v>
                </c:pt>
                <c:pt idx="6">
                  <c:v>0.21339499999999997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4C-394E-92A4-619B9E256CE8}"/>
            </c:ext>
          </c:extLst>
        </c:ser>
        <c:ser>
          <c:idx val="2"/>
          <c:order val="2"/>
          <c:tx>
            <c:strRef>
              <c:f>'7a1'!$W$7</c:f>
              <c:strCache>
                <c:ptCount val="1"/>
                <c:pt idx="0">
                  <c:v>QUADRATURE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'7a1'!$AJ$11:$AP$11</c:f>
              <c:numCache>
                <c:formatCode>General</c:formatCode>
                <c:ptCount val="7"/>
                <c:pt idx="0">
                  <c:v>-1.6500000000000001E-2</c:v>
                </c:pt>
                <c:pt idx="1">
                  <c:v>-1.0999999999999999E-2</c:v>
                </c:pt>
                <c:pt idx="2">
                  <c:v>-5.4999999999999997E-3</c:v>
                </c:pt>
                <c:pt idx="3">
                  <c:v>0</c:v>
                </c:pt>
                <c:pt idx="4">
                  <c:v>5.4999999999999997E-3</c:v>
                </c:pt>
                <c:pt idx="5">
                  <c:v>1.0999999999999999E-2</c:v>
                </c:pt>
                <c:pt idx="6">
                  <c:v>1.6500000000000001E-2</c:v>
                </c:pt>
              </c:numCache>
            </c:numRef>
          </c:xVal>
          <c:yVal>
            <c:numRef>
              <c:f>'7a1'!$AJ$12:$AP$12</c:f>
              <c:numCache>
                <c:formatCode>General</c:formatCode>
                <c:ptCount val="7"/>
                <c:pt idx="0">
                  <c:v>0.23839928633492172</c:v>
                </c:pt>
                <c:pt idx="1">
                  <c:v>0.17470999999999998</c:v>
                </c:pt>
                <c:pt idx="2">
                  <c:v>0.12139688103489314</c:v>
                </c:pt>
                <c:pt idx="3">
                  <c:v>9.7339999999999996E-2</c:v>
                </c:pt>
                <c:pt idx="4">
                  <c:v>0.12139688103489314</c:v>
                </c:pt>
                <c:pt idx="5">
                  <c:v>0.17470999999999998</c:v>
                </c:pt>
                <c:pt idx="6">
                  <c:v>0.23839928633492172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4C-394E-92A4-619B9E25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3840"/>
        <c:axId val="109686144"/>
      </c:scatterChart>
      <c:valAx>
        <c:axId val="1096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4939827552058939"/>
              <c:y val="0.91815971437384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86144"/>
        <c:crosses val="autoZero"/>
        <c:crossBetween val="midCat"/>
      </c:valAx>
      <c:valAx>
        <c:axId val="10968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dd 50 arcsec</a:t>
                </a:r>
              </a:p>
            </c:rich>
          </c:tx>
          <c:layout>
            <c:manualLayout>
              <c:xMode val="edge"/>
              <c:yMode val="edge"/>
              <c:x val="1.6064288529682263E-2"/>
              <c:y val="0.378517096733506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8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032242313477178"/>
          <c:y val="0.64194453567642074"/>
          <c:w val="0.29116522960049102"/>
          <c:h val="0.17902835656314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Camera Decenter No Comp</a:t>
            </a:r>
          </a:p>
        </c:rich>
      </c:tx>
      <c:layout>
        <c:manualLayout>
          <c:xMode val="edge"/>
          <c:yMode val="edge"/>
          <c:x val="0.3046095165032372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37693783752849"/>
          <c:y val="0.15601042500502652"/>
          <c:w val="0.66933933231632492"/>
          <c:h val="0.667520015185441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'7a1'!$G$8</c:f>
              <c:strCache>
                <c:ptCount val="1"/>
                <c:pt idx="0">
                  <c:v>ZEMAX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'7a1'!$C$18:$G$18</c:f>
              <c:numCache>
                <c:formatCode>0.0000</c:formatCode>
                <c:ptCount val="5"/>
                <c:pt idx="0">
                  <c:v>0</c:v>
                </c:pt>
                <c:pt idx="1">
                  <c:v>0.47499999999999998</c:v>
                </c:pt>
                <c:pt idx="2">
                  <c:v>0.95</c:v>
                </c:pt>
                <c:pt idx="3">
                  <c:v>1.425</c:v>
                </c:pt>
                <c:pt idx="4">
                  <c:v>1.9</c:v>
                </c:pt>
              </c:numCache>
            </c:numRef>
          </c:xVal>
          <c:yVal>
            <c:numRef>
              <c:f>'7a1'!$C$19:$G$19</c:f>
              <c:numCache>
                <c:formatCode>0.0000</c:formatCode>
                <c:ptCount val="5"/>
                <c:pt idx="0">
                  <c:v>9.7339999999999996E-2</c:v>
                </c:pt>
                <c:pt idx="1">
                  <c:v>0.11877</c:v>
                </c:pt>
                <c:pt idx="2">
                  <c:v>0.16872000000000001</c:v>
                </c:pt>
                <c:pt idx="3">
                  <c:v>0.22967000000000001</c:v>
                </c:pt>
                <c:pt idx="4">
                  <c:v>0.29441000000000001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5-2A41-AAB4-7F934EACA6A8}"/>
            </c:ext>
          </c:extLst>
        </c:ser>
        <c:ser>
          <c:idx val="1"/>
          <c:order val="1"/>
          <c:tx>
            <c:strRef>
              <c:f>'7a1'!$O$7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'7a1'!$Z$18:$AD$18</c:f>
              <c:numCache>
                <c:formatCode>General</c:formatCode>
                <c:ptCount val="5"/>
                <c:pt idx="0">
                  <c:v>0</c:v>
                </c:pt>
                <c:pt idx="1">
                  <c:v>0.47499999999999998</c:v>
                </c:pt>
                <c:pt idx="2">
                  <c:v>0.95</c:v>
                </c:pt>
                <c:pt idx="3">
                  <c:v>1.425</c:v>
                </c:pt>
                <c:pt idx="4">
                  <c:v>1.9</c:v>
                </c:pt>
              </c:numCache>
            </c:numRef>
          </c:xVal>
          <c:yVal>
            <c:numRef>
              <c:f>'7a1'!$Z$19:$AD$19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0.14144999999999999</c:v>
                </c:pt>
                <c:pt idx="2">
                  <c:v>0.18556</c:v>
                </c:pt>
                <c:pt idx="3">
                  <c:v>0.22966999999999999</c:v>
                </c:pt>
                <c:pt idx="4">
                  <c:v>0.27377999999999997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5-2A41-AAB4-7F934EACA6A8}"/>
            </c:ext>
          </c:extLst>
        </c:ser>
        <c:ser>
          <c:idx val="2"/>
          <c:order val="2"/>
          <c:tx>
            <c:strRef>
              <c:f>'7a1'!$W$7</c:f>
              <c:strCache>
                <c:ptCount val="1"/>
                <c:pt idx="0">
                  <c:v>QUADRATURE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'7a1'!$AJ$18:$AN$18</c:f>
              <c:numCache>
                <c:formatCode>General</c:formatCode>
                <c:ptCount val="5"/>
                <c:pt idx="0">
                  <c:v>0</c:v>
                </c:pt>
                <c:pt idx="1">
                  <c:v>0.47499999999999998</c:v>
                </c:pt>
                <c:pt idx="2">
                  <c:v>0.95</c:v>
                </c:pt>
                <c:pt idx="3">
                  <c:v>1.425</c:v>
                </c:pt>
                <c:pt idx="4">
                  <c:v>1.9</c:v>
                </c:pt>
              </c:numCache>
            </c:numRef>
          </c:xVal>
          <c:yVal>
            <c:numRef>
              <c:f>'7a1'!$AJ$19:$AN$19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0.11951239531250861</c:v>
                </c:pt>
                <c:pt idx="2">
                  <c:v>0.16943324270441537</c:v>
                </c:pt>
                <c:pt idx="3">
                  <c:v>0.22966999999999999</c:v>
                </c:pt>
                <c:pt idx="4">
                  <c:v>0.2939477302741651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F5-2A41-AAB4-7F934EAC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8480"/>
        <c:axId val="110070784"/>
      </c:scatterChart>
      <c:valAx>
        <c:axId val="1100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47699155830368"/>
              <c:y val="0.9181597143738443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70784"/>
        <c:crosses val="autoZero"/>
        <c:crossBetween val="midCat"/>
      </c:valAx>
      <c:valAx>
        <c:axId val="11007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dd 50 arcsec</a:t>
                </a:r>
              </a:p>
            </c:rich>
          </c:tx>
          <c:layout>
            <c:manualLayout>
              <c:xMode val="edge"/>
              <c:yMode val="edge"/>
              <c:x val="1.6032079815959863E-2"/>
              <c:y val="0.3708444528808008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8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507066385766011"/>
          <c:y val="0.62915679592190943"/>
          <c:w val="0.29058144666427271"/>
          <c:h val="0.17902835656314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Camera Tilt No Comp</a:t>
            </a:r>
          </a:p>
        </c:rich>
      </c:tx>
      <c:layout>
        <c:manualLayout>
          <c:xMode val="edge"/>
          <c:yMode val="edge"/>
          <c:x val="0.34607645875251508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9416498993966"/>
          <c:y val="0.15601042500502652"/>
          <c:w val="0.72635814889335981"/>
          <c:h val="0.667520015185441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'7a1'!$G$8</c:f>
              <c:strCache>
                <c:ptCount val="1"/>
                <c:pt idx="0">
                  <c:v>ZEMAX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'7a1'!$C$27:$G$27</c:f>
              <c:numCache>
                <c:formatCode>General</c:formatCode>
                <c:ptCount val="5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0.29700000000000004</c:v>
                </c:pt>
                <c:pt idx="4">
                  <c:v>0.39600000000000002</c:v>
                </c:pt>
              </c:numCache>
            </c:numRef>
          </c:xVal>
          <c:yVal>
            <c:numRef>
              <c:f>'7a1'!$C$28:$G$28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0.1174</c:v>
                </c:pt>
                <c:pt idx="2">
                  <c:v>0.16467999999999999</c:v>
                </c:pt>
                <c:pt idx="3">
                  <c:v>0.22148000000000001</c:v>
                </c:pt>
                <c:pt idx="4">
                  <c:v>0.28104000000000001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3-D74D-9996-1A66F8310FFA}"/>
            </c:ext>
          </c:extLst>
        </c:ser>
        <c:ser>
          <c:idx val="1"/>
          <c:order val="1"/>
          <c:tx>
            <c:strRef>
              <c:f>'7a1'!$O$7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'7a1'!$Z$27:$AD$27</c:f>
              <c:numCache>
                <c:formatCode>General</c:formatCode>
                <c:ptCount val="5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0.29700000000000004</c:v>
                </c:pt>
                <c:pt idx="4">
                  <c:v>0.39600000000000002</c:v>
                </c:pt>
              </c:numCache>
            </c:numRef>
          </c:xVal>
          <c:yVal>
            <c:numRef>
              <c:f>'7a1'!$Z$28:$AD$28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0.13100999999999999</c:v>
                </c:pt>
                <c:pt idx="2">
                  <c:v>0.16467999999999999</c:v>
                </c:pt>
                <c:pt idx="3">
                  <c:v>0.19835</c:v>
                </c:pt>
                <c:pt idx="4">
                  <c:v>0.23202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3-D74D-9996-1A66F8310FFA}"/>
            </c:ext>
          </c:extLst>
        </c:ser>
        <c:ser>
          <c:idx val="2"/>
          <c:order val="2"/>
          <c:tx>
            <c:strRef>
              <c:f>'7a1'!$W$7</c:f>
              <c:strCache>
                <c:ptCount val="1"/>
                <c:pt idx="0">
                  <c:v>QUADRATURE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'7a1'!$AJ$27:$AN$27</c:f>
              <c:numCache>
                <c:formatCode>General</c:formatCode>
                <c:ptCount val="5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0.29700000000000004</c:v>
                </c:pt>
                <c:pt idx="4">
                  <c:v>0.39600000000000002</c:v>
                </c:pt>
              </c:numCache>
            </c:numRef>
          </c:xVal>
          <c:yVal>
            <c:numRef>
              <c:f>'7a1'!$AJ$28:$AN$28</c:f>
              <c:numCache>
                <c:formatCode>General</c:formatCode>
                <c:ptCount val="5"/>
                <c:pt idx="0">
                  <c:v>9.7339999999999996E-2</c:v>
                </c:pt>
                <c:pt idx="1">
                  <c:v>0.11783964655412031</c:v>
                </c:pt>
                <c:pt idx="2">
                  <c:v>0.16467999999999999</c:v>
                </c:pt>
                <c:pt idx="3">
                  <c:v>0.22175444956076981</c:v>
                </c:pt>
                <c:pt idx="4">
                  <c:v>0.28293600477846576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3-D74D-9996-1A66F831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3152"/>
        <c:axId val="110115456"/>
      </c:scatterChart>
      <c:valAx>
        <c:axId val="1101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Tilt (arc min)</a:t>
                </a:r>
              </a:p>
            </c:rich>
          </c:tx>
          <c:layout>
            <c:manualLayout>
              <c:xMode val="edge"/>
              <c:yMode val="edge"/>
              <c:x val="0.42655935613682094"/>
              <c:y val="0.91815971437384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15456"/>
        <c:crosses val="autoZero"/>
        <c:crossBetween val="midCat"/>
      </c:valAx>
      <c:valAx>
        <c:axId val="11011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dd 50 arcsec</a:t>
                </a:r>
              </a:p>
            </c:rich>
          </c:tx>
          <c:layout>
            <c:manualLayout>
              <c:xMode val="edge"/>
              <c:yMode val="edge"/>
              <c:x val="1.6096579476861179E-2"/>
              <c:y val="0.37084445288080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13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05432595573408"/>
          <c:y val="0.6163690561673999"/>
          <c:w val="0.29175050301810868"/>
          <c:h val="0.17902835656314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2776659959758"/>
          <c:y val="0.10924392160402771"/>
          <c:w val="0.67203219315895368"/>
          <c:h val="0.701682111841254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'4b'!$G$4:$G$91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'4b'!$K$4:$K$91</c:f>
              <c:numCache>
                <c:formatCode>General</c:formatCode>
                <c:ptCount val="88"/>
                <c:pt idx="0">
                  <c:v>0.23870817346149761</c:v>
                </c:pt>
                <c:pt idx="1">
                  <c:v>0.11931772201214834</c:v>
                </c:pt>
                <c:pt idx="2">
                  <c:v>7.9504736198867554E-2</c:v>
                </c:pt>
                <c:pt idx="3">
                  <c:v>5.958610940296636E-2</c:v>
                </c:pt>
                <c:pt idx="4">
                  <c:v>4.7625217928172259E-2</c:v>
                </c:pt>
                <c:pt idx="5">
                  <c:v>3.9643185225927441E-2</c:v>
                </c:pt>
                <c:pt idx="6">
                  <c:v>3.3934776783227469E-2</c:v>
                </c:pt>
                <c:pt idx="7">
                  <c:v>2.9647373843267533E-2</c:v>
                </c:pt>
                <c:pt idx="8">
                  <c:v>2.6307297977812682E-2</c:v>
                </c:pt>
                <c:pt idx="9">
                  <c:v>2.3630340915073791E-2</c:v>
                </c:pt>
                <c:pt idx="10">
                  <c:v>2.1435641733209627E-2</c:v>
                </c:pt>
                <c:pt idx="11">
                  <c:v>1.960262545616023E-2</c:v>
                </c:pt>
                <c:pt idx="12">
                  <c:v>1.8047816142850646E-2</c:v>
                </c:pt>
                <c:pt idx="13">
                  <c:v>1.671158722306602E-2</c:v>
                </c:pt>
                <c:pt idx="14">
                  <c:v>1.5550211698203658E-2</c:v>
                </c:pt>
                <c:pt idx="15">
                  <c:v>1.4530893516003788E-2</c:v>
                </c:pt>
                <c:pt idx="16">
                  <c:v>1.362855257701725E-2</c:v>
                </c:pt>
                <c:pt idx="17">
                  <c:v>1.282368140489689E-2</c:v>
                </c:pt>
                <c:pt idx="18">
                  <c:v>1.2100878656982596E-2</c:v>
                </c:pt>
                <c:pt idx="19">
                  <c:v>1.1447822581060927E-2</c:v>
                </c:pt>
                <c:pt idx="20">
                  <c:v>1.0854537769557507E-2</c:v>
                </c:pt>
                <c:pt idx="21">
                  <c:v>1.0312861889234567E-2</c:v>
                </c:pt>
                <c:pt idx="22">
                  <c:v>9.8160515242656371E-3</c:v>
                </c:pt>
                <c:pt idx="23">
                  <c:v>9.3584865579342345E-3</c:v>
                </c:pt>
                <c:pt idx="24">
                  <c:v>8.935445502123161E-3</c:v>
                </c:pt>
                <c:pt idx="25">
                  <c:v>8.5429326732470671E-3</c:v>
                </c:pt>
                <c:pt idx="26">
                  <c:v>8.1775437729381274E-3</c:v>
                </c:pt>
                <c:pt idx="27">
                  <c:v>7.8363602722763825E-3</c:v>
                </c:pt>
                <c:pt idx="28">
                  <c:v>7.5168656469642653E-3</c:v>
                </c:pt>
                <c:pt idx="29">
                  <c:v>7.2168783648703227E-3</c:v>
                </c:pt>
                <c:pt idx="30">
                  <c:v>6.9344978431271579E-3</c:v>
                </c:pt>
                <c:pt idx="31">
                  <c:v>6.6680605376710439E-3</c:v>
                </c:pt>
                <c:pt idx="32">
                  <c:v>6.4161040158940948E-3</c:v>
                </c:pt>
                <c:pt idx="33">
                  <c:v>6.1773373688030824E-3</c:v>
                </c:pt>
                <c:pt idx="34">
                  <c:v>5.950616694758811E-3</c:v>
                </c:pt>
                <c:pt idx="35">
                  <c:v>5.7349246686298899E-3</c:v>
                </c:pt>
                <c:pt idx="36">
                  <c:v>5.5293534234183749E-3</c:v>
                </c:pt>
                <c:pt idx="37">
                  <c:v>5.333090134137828E-3</c:v>
                </c:pt>
                <c:pt idx="38">
                  <c:v>5.1454048188960483E-3</c:v>
                </c:pt>
                <c:pt idx="39">
                  <c:v>4.9656399691425422E-3</c:v>
                </c:pt>
                <c:pt idx="40">
                  <c:v>4.7932016967542077E-3</c:v>
                </c:pt>
                <c:pt idx="41">
                  <c:v>4.627552145121637E-3</c:v>
                </c:pt>
                <c:pt idx="42">
                  <c:v>4.4682029584361778E-3</c:v>
                </c:pt>
                <c:pt idx="43">
                  <c:v>4.3147096407940401E-3</c:v>
                </c:pt>
                <c:pt idx="44">
                  <c:v>4.1666666666666675E-3</c:v>
                </c:pt>
                <c:pt idx="45">
                  <c:v>4.0237032283628096E-3</c:v>
                </c:pt>
                <c:pt idx="46">
                  <c:v>3.8854795255735897E-3</c:v>
                </c:pt>
                <c:pt idx="47">
                  <c:v>3.7516835179076664E-3</c:v>
                </c:pt>
                <c:pt idx="48">
                  <c:v>3.6220280742342782E-3</c:v>
                </c:pt>
                <c:pt idx="49">
                  <c:v>3.496248463238667E-3</c:v>
                </c:pt>
                <c:pt idx="50">
                  <c:v>3.3741001383125308E-3</c:v>
                </c:pt>
                <c:pt idx="51">
                  <c:v>3.255356777111322E-3</c:v>
                </c:pt>
                <c:pt idx="52">
                  <c:v>3.1398085420949761E-3</c:v>
                </c:pt>
                <c:pt idx="53">
                  <c:v>3.0272605333556708E-3</c:v>
                </c:pt>
                <c:pt idx="54">
                  <c:v>2.9175314092071245E-3</c:v>
                </c:pt>
                <c:pt idx="55">
                  <c:v>2.810452153510111E-3</c:v>
                </c:pt>
                <c:pt idx="56">
                  <c:v>2.7058649716562942E-3</c:v>
                </c:pt>
                <c:pt idx="57">
                  <c:v>2.6036222996221972E-3</c:v>
                </c:pt>
                <c:pt idx="58">
                  <c:v>2.5035859126148357E-3</c:v>
                </c:pt>
                <c:pt idx="59">
                  <c:v>2.4056261216234415E-3</c:v>
                </c:pt>
                <c:pt idx="60">
                  <c:v>2.309621047719871E-3</c:v>
                </c:pt>
                <c:pt idx="61">
                  <c:v>2.2154559652561617E-3</c:v>
                </c:pt>
                <c:pt idx="62">
                  <c:v>2.1230227062267867E-3</c:v>
                </c:pt>
                <c:pt idx="63">
                  <c:v>2.0322191190244227E-3</c:v>
                </c:pt>
                <c:pt idx="64">
                  <c:v>1.9429485756458273E-3</c:v>
                </c:pt>
                <c:pt idx="65">
                  <c:v>1.8551195221189001E-3</c:v>
                </c:pt>
                <c:pt idx="66">
                  <c:v>1.7686450675400206E-3</c:v>
                </c:pt>
                <c:pt idx="67">
                  <c:v>1.6834426076464864E-3</c:v>
                </c:pt>
                <c:pt idx="68">
                  <c:v>1.5994334793142332E-3</c:v>
                </c:pt>
                <c:pt idx="69">
                  <c:v>1.5165426427758437E-3</c:v>
                </c:pt>
                <c:pt idx="70">
                  <c:v>1.4346983887069389E-3</c:v>
                </c:pt>
                <c:pt idx="71">
                  <c:v>1.35383206763711E-3</c:v>
                </c:pt>
                <c:pt idx="72">
                  <c:v>1.273877839411085E-3</c:v>
                </c:pt>
                <c:pt idx="73">
                  <c:v>1.1947724406616998E-3</c:v>
                </c:pt>
                <c:pt idx="74">
                  <c:v>1.1164549684630112E-3</c:v>
                </c:pt>
                <c:pt idx="75">
                  <c:v>1.0388666785132534E-3</c:v>
                </c:pt>
                <c:pt idx="76">
                  <c:v>9.6195079635651246E-4</c:v>
                </c:pt>
                <c:pt idx="77">
                  <c:v>8.8565234029175941E-4</c:v>
                </c:pt>
                <c:pt idx="78">
                  <c:v>8.0991795474049419E-4</c:v>
                </c:pt>
                <c:pt idx="79">
                  <c:v>7.3469575295193761E-4</c:v>
                </c:pt>
                <c:pt idx="80">
                  <c:v>6.5993516801890137E-4</c:v>
                </c:pt>
                <c:pt idx="81">
                  <c:v>5.8558681125996537E-4</c:v>
                </c:pt>
                <c:pt idx="82">
                  <c:v>5.1160233709543587E-4</c:v>
                </c:pt>
                <c:pt idx="83">
                  <c:v>4.3793431360698517E-4</c:v>
                </c:pt>
                <c:pt idx="84">
                  <c:v>3.6453609802468315E-4</c:v>
                </c:pt>
                <c:pt idx="85">
                  <c:v>2.9136171643129403E-4</c:v>
                </c:pt>
                <c:pt idx="86">
                  <c:v>2.1836574701267225E-4</c:v>
                </c:pt>
                <c:pt idx="87">
                  <c:v>1.4550320621561599E-4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B-E844-87E9-3A46EF49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35936"/>
        <c:axId val="111773184"/>
      </c:scatterChart>
      <c:valAx>
        <c:axId val="11013593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73184"/>
        <c:crosses val="autoZero"/>
        <c:crossBetween val="midCat"/>
        <c:majorUnit val="1"/>
      </c:valAx>
      <c:valAx>
        <c:axId val="11177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3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9014084507048"/>
          <c:y val="0.41596723995379781"/>
          <c:w val="0.16700201207243476"/>
          <c:h val="9.243716443417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Error Distribution</a:t>
            </a:r>
          </a:p>
        </c:rich>
      </c:tx>
      <c:layout>
        <c:manualLayout>
          <c:xMode val="edge"/>
          <c:yMode val="edge"/>
          <c:x val="0.41166077738515933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4134275618381"/>
          <c:y val="0.21189591078066922"/>
          <c:w val="0.8286219081272086"/>
          <c:h val="0.55390334572490663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'9b2'!$L$10:$L$18</c:f>
              <c:numCache>
                <c:formatCode>General</c:formatCode>
                <c:ptCount val="9"/>
                <c:pt idx="0">
                  <c:v>5.3531433756486598E-4</c:v>
                </c:pt>
                <c:pt idx="1">
                  <c:v>4.3480562707254936E-3</c:v>
                </c:pt>
                <c:pt idx="2">
                  <c:v>8.1607982038861202E-3</c:v>
                </c:pt>
                <c:pt idx="3">
                  <c:v>1.1973540137046748E-2</c:v>
                </c:pt>
                <c:pt idx="4">
                  <c:v>1.5786282070207377E-2</c:v>
                </c:pt>
                <c:pt idx="5">
                  <c:v>1.9599024003368003E-2</c:v>
                </c:pt>
                <c:pt idx="6">
                  <c:v>2.3411765936528633E-2</c:v>
                </c:pt>
                <c:pt idx="7">
                  <c:v>2.722450786968926E-2</c:v>
                </c:pt>
                <c:pt idx="8">
                  <c:v>3.1037249802849887E-2</c:v>
                </c:pt>
              </c:numCache>
            </c:numRef>
          </c:xVal>
          <c:yVal>
            <c:numRef>
              <c:f>'9b2'!$N$10:$N$18</c:f>
              <c:numCache>
                <c:formatCode>0.00%</c:formatCode>
                <c:ptCount val="9"/>
                <c:pt idx="0">
                  <c:v>1.0101010101010102E-2</c:v>
                </c:pt>
                <c:pt idx="1">
                  <c:v>5.0505050505050504E-2</c:v>
                </c:pt>
                <c:pt idx="2">
                  <c:v>0.18181818181818182</c:v>
                </c:pt>
                <c:pt idx="3">
                  <c:v>0.36363636363636365</c:v>
                </c:pt>
                <c:pt idx="4">
                  <c:v>0.51515151515151514</c:v>
                </c:pt>
                <c:pt idx="5">
                  <c:v>0.6767676767676768</c:v>
                </c:pt>
                <c:pt idx="6">
                  <c:v>0.82828282828282829</c:v>
                </c:pt>
                <c:pt idx="7">
                  <c:v>0.93939393939393945</c:v>
                </c:pt>
                <c:pt idx="8">
                  <c:v>0.98989898989898994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6-404A-AC0D-B7988232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23680"/>
        <c:axId val="112425984"/>
      </c:scatterChart>
      <c:valAx>
        <c:axId val="112423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arcsec</a:t>
                </a:r>
              </a:p>
            </c:rich>
          </c:tx>
          <c:layout>
            <c:manualLayout>
              <c:xMode val="edge"/>
              <c:yMode val="edge"/>
              <c:x val="0.49823321554770317"/>
              <c:y val="0.86617100371747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5984"/>
        <c:crosses val="autoZero"/>
        <c:crossBetween val="midCat"/>
      </c:valAx>
      <c:valAx>
        <c:axId val="11242598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36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29</xdr:row>
      <xdr:rowOff>142875</xdr:rowOff>
    </xdr:from>
    <xdr:to>
      <xdr:col>10</xdr:col>
      <xdr:colOff>171450</xdr:colOff>
      <xdr:row>52</xdr:row>
      <xdr:rowOff>142875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00000000-0008-0000-0600-00000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29</xdr:row>
      <xdr:rowOff>152400</xdr:rowOff>
    </xdr:from>
    <xdr:to>
      <xdr:col>22</xdr:col>
      <xdr:colOff>133350</xdr:colOff>
      <xdr:row>52</xdr:row>
      <xdr:rowOff>152400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00000000-0008-0000-0600-00000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76200</xdr:colOff>
      <xdr:row>29</xdr:row>
      <xdr:rowOff>123825</xdr:rowOff>
    </xdr:from>
    <xdr:to>
      <xdr:col>35</xdr:col>
      <xdr:colOff>123825</xdr:colOff>
      <xdr:row>52</xdr:row>
      <xdr:rowOff>123825</xdr:rowOff>
    </xdr:to>
    <xdr:graphicFrame macro="">
      <xdr:nvGraphicFramePr>
        <xdr:cNvPr id="17411" name="Chart 3">
          <a:extLst>
            <a:ext uri="{FF2B5EF4-FFF2-40B4-BE49-F238E27FC236}">
              <a16:creationId xmlns:a16="http://schemas.microsoft.com/office/drawing/2014/main" id="{00000000-0008-0000-0600-000003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800100</xdr:colOff>
      <xdr:row>53</xdr:row>
      <xdr:rowOff>142875</xdr:rowOff>
    </xdr:from>
    <xdr:to>
      <xdr:col>10</xdr:col>
      <xdr:colOff>161925</xdr:colOff>
      <xdr:row>76</xdr:row>
      <xdr:rowOff>142875</xdr:rowOff>
    </xdr:to>
    <xdr:graphicFrame macro="">
      <xdr:nvGraphicFramePr>
        <xdr:cNvPr id="17412" name="Chart 4">
          <a:extLst>
            <a:ext uri="{FF2B5EF4-FFF2-40B4-BE49-F238E27FC236}">
              <a16:creationId xmlns:a16="http://schemas.microsoft.com/office/drawing/2014/main" id="{00000000-0008-0000-0600-000004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257175</xdr:colOff>
      <xdr:row>54</xdr:row>
      <xdr:rowOff>0</xdr:rowOff>
    </xdr:from>
    <xdr:to>
      <xdr:col>22</xdr:col>
      <xdr:colOff>152400</xdr:colOff>
      <xdr:row>77</xdr:row>
      <xdr:rowOff>0</xdr:rowOff>
    </xdr:to>
    <xdr:graphicFrame macro="">
      <xdr:nvGraphicFramePr>
        <xdr:cNvPr id="17413" name="Chart 5">
          <a:extLst>
            <a:ext uri="{FF2B5EF4-FFF2-40B4-BE49-F238E27FC236}">
              <a16:creationId xmlns:a16="http://schemas.microsoft.com/office/drawing/2014/main" id="{00000000-0008-0000-0600-000005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114300</xdr:colOff>
      <xdr:row>54</xdr:row>
      <xdr:rowOff>0</xdr:rowOff>
    </xdr:from>
    <xdr:to>
      <xdr:col>35</xdr:col>
      <xdr:colOff>171450</xdr:colOff>
      <xdr:row>77</xdr:row>
      <xdr:rowOff>0</xdr:rowOff>
    </xdr:to>
    <xdr:graphicFrame macro="">
      <xdr:nvGraphicFramePr>
        <xdr:cNvPr id="17414" name="Chart 6">
          <a:extLst>
            <a:ext uri="{FF2B5EF4-FFF2-40B4-BE49-F238E27FC236}">
              <a16:creationId xmlns:a16="http://schemas.microsoft.com/office/drawing/2014/main" id="{00000000-0008-0000-0600-000006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14</xdr:row>
      <xdr:rowOff>38100</xdr:rowOff>
    </xdr:from>
    <xdr:to>
      <xdr:col>22</xdr:col>
      <xdr:colOff>523875</xdr:colOff>
      <xdr:row>28</xdr:row>
      <xdr:rowOff>38100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13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20</xdr:row>
      <xdr:rowOff>57150</xdr:rowOff>
    </xdr:from>
    <xdr:to>
      <xdr:col>18</xdr:col>
      <xdr:colOff>285750</xdr:colOff>
      <xdr:row>36</xdr:row>
      <xdr:rowOff>28575</xdr:rowOff>
    </xdr:to>
    <xdr:graphicFrame macro="">
      <xdr:nvGraphicFramePr>
        <xdr:cNvPr id="23555" name="Chart 3">
          <a:extLst>
            <a:ext uri="{FF2B5EF4-FFF2-40B4-BE49-F238E27FC236}">
              <a16:creationId xmlns:a16="http://schemas.microsoft.com/office/drawing/2014/main" id="{00000000-0008-0000-1700-00000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neill/Local%20Settings/Temporary%20Internet%20Files/OLK1/Camera%20(and%20SM%20Hexapod)%20%20Rotator%20Spec%20P4%20J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 (rearranged)"/>
      <sheetName val="1"/>
      <sheetName val="2a4a6a"/>
      <sheetName val="3"/>
      <sheetName val="3a2"/>
      <sheetName val="5a"/>
      <sheetName val="7a1"/>
      <sheetName val="7a2"/>
      <sheetName val="8"/>
      <sheetName val="9"/>
      <sheetName val="10"/>
      <sheetName val="11"/>
      <sheetName val="9c"/>
      <sheetName val="12"/>
      <sheetName val="13"/>
      <sheetName val="14a"/>
      <sheetName val="15a"/>
      <sheetName val="18"/>
      <sheetName val="28"/>
      <sheetName val="4b"/>
      <sheetName val="5b"/>
      <sheetName val="6b"/>
      <sheetName val="7b"/>
      <sheetName val="9b2"/>
      <sheetName val="10b"/>
      <sheetName val="31-35"/>
      <sheetName val="1c"/>
      <sheetName val="25a&amp;8b"/>
      <sheetName val="25b"/>
      <sheetName val="Dynamic loads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W19">
            <v>0.14598048719199616</v>
          </cell>
        </row>
        <row r="28">
          <cell r="W28">
            <v>0.67087033275216701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36"/>
  <sheetViews>
    <sheetView tabSelected="1" workbookViewId="0">
      <selection activeCell="P25" sqref="P25"/>
    </sheetView>
  </sheetViews>
  <sheetFormatPr baseColWidth="10" defaultColWidth="9.1640625" defaultRowHeight="13" x14ac:dyDescent="0.15"/>
  <cols>
    <col min="1" max="1" width="2.6640625" style="32" customWidth="1"/>
    <col min="2" max="2" width="8.5" style="32" customWidth="1"/>
    <col min="3" max="3" width="4.5" style="32" customWidth="1"/>
    <col min="4" max="4" width="37.5" style="33" customWidth="1"/>
    <col min="5" max="5" width="14" style="32" customWidth="1"/>
    <col min="6" max="6" width="13.6640625" style="32" customWidth="1"/>
    <col min="7" max="7" width="10.83203125" style="32" customWidth="1"/>
    <col min="8" max="8" width="8.1640625" style="32" customWidth="1"/>
    <col min="9" max="11" width="10.33203125" style="32" customWidth="1"/>
    <col min="12" max="12" width="12.6640625" style="32" customWidth="1"/>
    <col min="13" max="13" width="10.6640625" style="32" customWidth="1"/>
    <col min="14" max="14" width="23.6640625" style="32" customWidth="1"/>
    <col min="15" max="16384" width="9.1640625" style="32"/>
  </cols>
  <sheetData>
    <row r="2" spans="2:15" ht="18" x14ac:dyDescent="0.2">
      <c r="C2" s="276" t="s">
        <v>635</v>
      </c>
      <c r="D2" s="277"/>
      <c r="E2" s="277"/>
      <c r="F2" s="277"/>
      <c r="G2" s="277"/>
      <c r="H2" s="278"/>
      <c r="I2" s="64"/>
      <c r="J2" s="64"/>
      <c r="K2" s="64"/>
    </row>
    <row r="3" spans="2:15" x14ac:dyDescent="0.15">
      <c r="C3" s="149" t="s">
        <v>0</v>
      </c>
      <c r="D3" s="145" t="s">
        <v>2</v>
      </c>
      <c r="E3" s="149" t="s">
        <v>15</v>
      </c>
      <c r="F3" s="151" t="s">
        <v>16</v>
      </c>
      <c r="G3" s="149" t="s">
        <v>1</v>
      </c>
      <c r="H3" s="152" t="s">
        <v>445</v>
      </c>
      <c r="I3" s="65" t="s">
        <v>306</v>
      </c>
      <c r="J3" s="65"/>
      <c r="K3" s="65"/>
      <c r="O3" s="32" t="s">
        <v>612</v>
      </c>
    </row>
    <row r="4" spans="2:15" x14ac:dyDescent="0.15">
      <c r="B4" s="26">
        <v>1</v>
      </c>
      <c r="C4" s="166" t="s">
        <v>527</v>
      </c>
      <c r="D4" s="153" t="s">
        <v>636</v>
      </c>
      <c r="E4" s="239" t="s">
        <v>530</v>
      </c>
      <c r="F4" s="239" t="s">
        <v>534</v>
      </c>
      <c r="G4" s="54" t="s">
        <v>29</v>
      </c>
      <c r="H4" s="155" t="s">
        <v>667</v>
      </c>
      <c r="I4" s="48" t="s">
        <v>309</v>
      </c>
      <c r="J4" s="48"/>
      <c r="K4" s="48"/>
      <c r="L4" s="32" t="s">
        <v>212</v>
      </c>
      <c r="M4" s="35">
        <v>39188</v>
      </c>
      <c r="O4" s="34">
        <f>13.4/E5*1000</f>
        <v>2680</v>
      </c>
    </row>
    <row r="5" spans="2:15" x14ac:dyDescent="0.15">
      <c r="B5" s="26" t="s">
        <v>225</v>
      </c>
      <c r="C5" s="26">
        <v>2</v>
      </c>
      <c r="D5" s="156" t="s">
        <v>5</v>
      </c>
      <c r="E5" s="168">
        <f>'2a4a6a'!$D$13</f>
        <v>5</v>
      </c>
      <c r="F5" s="219">
        <f>E5*0.5</f>
        <v>2.5</v>
      </c>
      <c r="G5" s="55" t="s">
        <v>95</v>
      </c>
      <c r="H5" s="27" t="s">
        <v>455</v>
      </c>
      <c r="I5" s="48" t="s">
        <v>309</v>
      </c>
      <c r="J5" s="48"/>
      <c r="K5" s="48"/>
      <c r="L5" s="32" t="s">
        <v>212</v>
      </c>
      <c r="M5" s="35">
        <v>39202</v>
      </c>
    </row>
    <row r="6" spans="2:15" x14ac:dyDescent="0.15">
      <c r="B6" s="26">
        <v>3</v>
      </c>
      <c r="C6" s="26" t="s">
        <v>538</v>
      </c>
      <c r="D6" s="156" t="s">
        <v>3</v>
      </c>
      <c r="E6" s="216" t="s">
        <v>550</v>
      </c>
      <c r="F6" s="216" t="s">
        <v>551</v>
      </c>
      <c r="G6" s="55" t="s">
        <v>29</v>
      </c>
      <c r="H6" s="27" t="s">
        <v>447</v>
      </c>
      <c r="I6" s="48" t="s">
        <v>309</v>
      </c>
      <c r="J6" s="48"/>
      <c r="K6" s="48"/>
      <c r="L6" s="32" t="s">
        <v>212</v>
      </c>
      <c r="M6" s="35">
        <v>39188</v>
      </c>
      <c r="O6" s="34">
        <f>11.9/E7*1000</f>
        <v>11900</v>
      </c>
    </row>
    <row r="7" spans="2:15" x14ac:dyDescent="0.15">
      <c r="B7" s="26" t="s">
        <v>226</v>
      </c>
      <c r="C7" s="26">
        <v>4</v>
      </c>
      <c r="D7" s="156" t="s">
        <v>4</v>
      </c>
      <c r="E7" s="168">
        <f>'2a4a6a'!$D$7</f>
        <v>1</v>
      </c>
      <c r="F7" s="26">
        <f>E7/2</f>
        <v>0.5</v>
      </c>
      <c r="G7" s="55" t="s">
        <v>95</v>
      </c>
      <c r="H7" s="27" t="s">
        <v>456</v>
      </c>
      <c r="I7" s="48" t="s">
        <v>309</v>
      </c>
      <c r="J7" s="48"/>
      <c r="K7" s="48"/>
      <c r="L7" s="32" t="s">
        <v>212</v>
      </c>
      <c r="M7" s="35">
        <v>39190</v>
      </c>
    </row>
    <row r="8" spans="2:15" x14ac:dyDescent="0.15">
      <c r="B8" s="26" t="s">
        <v>227</v>
      </c>
      <c r="C8" s="26" t="s">
        <v>539</v>
      </c>
      <c r="D8" s="156" t="s">
        <v>637</v>
      </c>
      <c r="E8" s="169" t="s">
        <v>552</v>
      </c>
      <c r="F8" s="26" t="s">
        <v>553</v>
      </c>
      <c r="G8" s="55" t="s">
        <v>155</v>
      </c>
      <c r="H8" s="27" t="s">
        <v>667</v>
      </c>
      <c r="I8" s="48" t="s">
        <v>309</v>
      </c>
      <c r="J8" s="48"/>
      <c r="K8" s="48"/>
      <c r="L8" s="32" t="s">
        <v>212</v>
      </c>
      <c r="M8" s="35">
        <v>39188</v>
      </c>
      <c r="O8" s="34">
        <f>0.23/E9</f>
        <v>6924.5934194365209</v>
      </c>
    </row>
    <row r="9" spans="2:15" x14ac:dyDescent="0.15">
      <c r="B9" s="26" t="s">
        <v>228</v>
      </c>
      <c r="C9" s="26" t="s">
        <v>540</v>
      </c>
      <c r="D9" s="156" t="s">
        <v>6</v>
      </c>
      <c r="E9" s="217">
        <f>'2a4a6a'!$D$26</f>
        <v>3.3214946505655771E-5</v>
      </c>
      <c r="F9" s="217">
        <f>E9/2</f>
        <v>1.6607473252827886E-5</v>
      </c>
      <c r="G9" s="55" t="s">
        <v>155</v>
      </c>
      <c r="H9" s="27" t="s">
        <v>455</v>
      </c>
      <c r="I9" s="48" t="s">
        <v>309</v>
      </c>
      <c r="J9" s="48"/>
      <c r="K9" s="48"/>
      <c r="L9" s="32" t="s">
        <v>212</v>
      </c>
      <c r="M9" s="35">
        <v>39190</v>
      </c>
    </row>
    <row r="10" spans="2:15" x14ac:dyDescent="0.15">
      <c r="B10" s="26" t="s">
        <v>634</v>
      </c>
      <c r="C10" s="26">
        <v>7</v>
      </c>
      <c r="D10" s="156" t="s">
        <v>638</v>
      </c>
      <c r="E10" s="169" t="s">
        <v>513</v>
      </c>
      <c r="F10" s="169" t="s">
        <v>513</v>
      </c>
      <c r="G10" s="55" t="s">
        <v>95</v>
      </c>
      <c r="H10" s="27" t="s">
        <v>449</v>
      </c>
      <c r="I10" s="48" t="s">
        <v>309</v>
      </c>
      <c r="J10" s="48"/>
      <c r="K10" s="48"/>
      <c r="L10" s="32" t="s">
        <v>212</v>
      </c>
      <c r="M10" s="35">
        <v>39188</v>
      </c>
    </row>
    <row r="11" spans="2:15" x14ac:dyDescent="0.15">
      <c r="B11" s="26" t="s">
        <v>229</v>
      </c>
      <c r="C11" s="26">
        <v>8</v>
      </c>
      <c r="D11" s="156" t="s">
        <v>639</v>
      </c>
      <c r="E11" s="169" t="s">
        <v>426</v>
      </c>
      <c r="F11" s="169" t="s">
        <v>426</v>
      </c>
      <c r="G11" s="55" t="s">
        <v>95</v>
      </c>
      <c r="H11" s="27" t="s">
        <v>449</v>
      </c>
      <c r="I11" s="48" t="s">
        <v>309</v>
      </c>
      <c r="J11" s="48"/>
      <c r="K11" s="48"/>
      <c r="L11" s="32" t="s">
        <v>212</v>
      </c>
      <c r="M11" s="35">
        <v>39190</v>
      </c>
    </row>
    <row r="12" spans="2:15" x14ac:dyDescent="0.15">
      <c r="B12" s="26"/>
      <c r="C12" s="26" t="s">
        <v>669</v>
      </c>
      <c r="D12" s="156" t="s">
        <v>674</v>
      </c>
      <c r="E12" s="169">
        <v>703</v>
      </c>
      <c r="F12" s="26" t="s">
        <v>116</v>
      </c>
      <c r="G12" s="55" t="s">
        <v>29</v>
      </c>
      <c r="H12" s="27" t="s">
        <v>668</v>
      </c>
      <c r="I12" s="48"/>
      <c r="J12" s="48"/>
      <c r="K12" s="48"/>
      <c r="M12" s="35"/>
    </row>
    <row r="13" spans="2:15" x14ac:dyDescent="0.15">
      <c r="B13" s="26" t="s">
        <v>235</v>
      </c>
      <c r="C13" s="26" t="s">
        <v>541</v>
      </c>
      <c r="D13" s="156" t="s">
        <v>313</v>
      </c>
      <c r="E13" s="168">
        <f>'14a'!D29</f>
        <v>106.16666666666667</v>
      </c>
      <c r="F13" s="168">
        <f>E13*1.5</f>
        <v>159.25</v>
      </c>
      <c r="G13" s="55" t="s">
        <v>32</v>
      </c>
      <c r="H13" s="27" t="s">
        <v>447</v>
      </c>
      <c r="I13" s="48" t="s">
        <v>309</v>
      </c>
      <c r="J13" s="48"/>
      <c r="K13" s="48"/>
      <c r="L13" s="32" t="s">
        <v>212</v>
      </c>
      <c r="M13" s="35">
        <v>39202</v>
      </c>
    </row>
    <row r="14" spans="2:15" x14ac:dyDescent="0.15">
      <c r="B14" s="26" t="s">
        <v>236</v>
      </c>
      <c r="C14" s="26" t="s">
        <v>542</v>
      </c>
      <c r="D14" s="156" t="s">
        <v>312</v>
      </c>
      <c r="E14" s="218">
        <f>'15a'!$C$6</f>
        <v>6.2416666666666664E-4</v>
      </c>
      <c r="F14" s="218">
        <f>E14*2</f>
        <v>1.2483333333333333E-3</v>
      </c>
      <c r="G14" s="55" t="s">
        <v>38</v>
      </c>
      <c r="H14" s="27" t="s">
        <v>447</v>
      </c>
      <c r="I14" s="48" t="s">
        <v>309</v>
      </c>
      <c r="J14" s="48"/>
      <c r="K14" s="48"/>
      <c r="L14" s="32" t="s">
        <v>212</v>
      </c>
      <c r="M14" s="35">
        <v>39202</v>
      </c>
    </row>
    <row r="15" spans="2:15" x14ac:dyDescent="0.15">
      <c r="B15" s="26" t="s">
        <v>245</v>
      </c>
      <c r="C15" s="26">
        <v>12</v>
      </c>
      <c r="D15" s="156" t="s">
        <v>12</v>
      </c>
      <c r="E15" s="26" t="s">
        <v>319</v>
      </c>
      <c r="F15" s="26" t="s">
        <v>116</v>
      </c>
      <c r="G15" s="55" t="s">
        <v>116</v>
      </c>
      <c r="H15" s="27" t="s">
        <v>457</v>
      </c>
      <c r="I15" s="48" t="s">
        <v>309</v>
      </c>
      <c r="J15" s="48"/>
      <c r="K15" s="48"/>
      <c r="L15" s="32" t="s">
        <v>22</v>
      </c>
      <c r="M15" s="35">
        <v>39188</v>
      </c>
    </row>
    <row r="16" spans="2:15" x14ac:dyDescent="0.15">
      <c r="B16" s="26" t="s">
        <v>246</v>
      </c>
      <c r="C16" s="26" t="s">
        <v>528</v>
      </c>
      <c r="D16" s="156" t="s">
        <v>49</v>
      </c>
      <c r="E16" s="26">
        <f>'25a&amp;8b'!E18</f>
        <v>20</v>
      </c>
      <c r="F16" s="26">
        <f>'25a&amp;8b'!D18</f>
        <v>10</v>
      </c>
      <c r="G16" s="55" t="s">
        <v>72</v>
      </c>
      <c r="H16" s="27" t="s">
        <v>493</v>
      </c>
      <c r="I16" s="48" t="s">
        <v>309</v>
      </c>
      <c r="J16" s="48"/>
      <c r="K16" s="48"/>
      <c r="L16" s="32" t="s">
        <v>212</v>
      </c>
      <c r="M16" s="35">
        <v>39203</v>
      </c>
    </row>
    <row r="17" spans="2:13" x14ac:dyDescent="0.15">
      <c r="B17" s="26" t="s">
        <v>251</v>
      </c>
      <c r="C17" s="26">
        <v>14</v>
      </c>
      <c r="D17" s="147" t="s">
        <v>78</v>
      </c>
      <c r="E17" s="26" t="s">
        <v>79</v>
      </c>
      <c r="F17" s="26" t="s">
        <v>116</v>
      </c>
      <c r="G17" s="158" t="s">
        <v>116</v>
      </c>
      <c r="H17" s="159" t="s">
        <v>460</v>
      </c>
      <c r="I17" s="48" t="s">
        <v>309</v>
      </c>
      <c r="J17" s="48"/>
      <c r="K17" s="48"/>
      <c r="M17" s="35">
        <v>39188</v>
      </c>
    </row>
    <row r="18" spans="2:13" x14ac:dyDescent="0.15">
      <c r="B18" s="26"/>
      <c r="C18" s="26">
        <v>15</v>
      </c>
      <c r="D18" s="147" t="s">
        <v>484</v>
      </c>
      <c r="E18" s="26" t="s">
        <v>477</v>
      </c>
      <c r="F18" s="26" t="s">
        <v>116</v>
      </c>
      <c r="G18" s="158" t="s">
        <v>116</v>
      </c>
      <c r="H18" s="159" t="s">
        <v>466</v>
      </c>
      <c r="I18" s="48"/>
      <c r="J18" s="48"/>
      <c r="K18" s="48"/>
      <c r="M18" s="35"/>
    </row>
    <row r="19" spans="2:13" s="17" customFormat="1" x14ac:dyDescent="0.15">
      <c r="B19" s="150">
        <v>31</v>
      </c>
      <c r="C19" s="26">
        <v>16</v>
      </c>
      <c r="D19" s="147" t="s">
        <v>474</v>
      </c>
      <c r="E19" s="26">
        <v>2.5</v>
      </c>
      <c r="F19" s="26">
        <v>0.1</v>
      </c>
      <c r="G19" s="158" t="s">
        <v>95</v>
      </c>
      <c r="H19" s="159" t="s">
        <v>467</v>
      </c>
      <c r="I19" s="17">
        <v>2</v>
      </c>
    </row>
    <row r="20" spans="2:13" s="17" customFormat="1" x14ac:dyDescent="0.15">
      <c r="B20" s="150">
        <v>32</v>
      </c>
      <c r="C20" s="26">
        <v>17</v>
      </c>
      <c r="D20" s="147" t="s">
        <v>475</v>
      </c>
      <c r="E20" s="26">
        <v>12.5</v>
      </c>
      <c r="F20" s="26">
        <v>1</v>
      </c>
      <c r="G20" s="158" t="s">
        <v>95</v>
      </c>
      <c r="H20" s="159" t="s">
        <v>467</v>
      </c>
    </row>
    <row r="21" spans="2:13" s="17" customFormat="1" x14ac:dyDescent="0.15">
      <c r="B21" s="150">
        <v>33</v>
      </c>
      <c r="C21" s="26">
        <v>18</v>
      </c>
      <c r="D21" s="205" t="s">
        <v>700</v>
      </c>
      <c r="E21" s="26">
        <v>0.1</v>
      </c>
      <c r="F21" s="26">
        <v>0.05</v>
      </c>
      <c r="G21" s="55" t="s">
        <v>693</v>
      </c>
      <c r="H21" s="159" t="s">
        <v>116</v>
      </c>
    </row>
    <row r="22" spans="2:13" s="17" customFormat="1" x14ac:dyDescent="0.15">
      <c r="B22" s="150">
        <v>34</v>
      </c>
      <c r="C22" s="26">
        <v>19</v>
      </c>
      <c r="D22" s="147" t="s">
        <v>476</v>
      </c>
      <c r="E22" s="26" t="s">
        <v>477</v>
      </c>
      <c r="F22" s="26" t="s">
        <v>116</v>
      </c>
      <c r="G22" s="158" t="s">
        <v>116</v>
      </c>
      <c r="H22" s="159" t="s">
        <v>468</v>
      </c>
      <c r="I22" s="17">
        <v>1</v>
      </c>
    </row>
    <row r="23" spans="2:13" s="17" customFormat="1" x14ac:dyDescent="0.15">
      <c r="B23" s="150">
        <v>35</v>
      </c>
      <c r="C23" s="50">
        <v>20</v>
      </c>
      <c r="D23" s="157" t="s">
        <v>478</v>
      </c>
      <c r="E23" s="50" t="s">
        <v>477</v>
      </c>
      <c r="F23" s="50" t="s">
        <v>116</v>
      </c>
      <c r="G23" s="160" t="s">
        <v>116</v>
      </c>
      <c r="H23" s="161" t="s">
        <v>469</v>
      </c>
      <c r="I23" s="17">
        <v>1</v>
      </c>
    </row>
    <row r="25" spans="2:13" ht="18" x14ac:dyDescent="0.2">
      <c r="B25" s="48"/>
      <c r="C25" s="276" t="s">
        <v>604</v>
      </c>
      <c r="D25" s="277"/>
      <c r="E25" s="277"/>
      <c r="F25" s="277"/>
      <c r="G25" s="277"/>
      <c r="H25" s="278"/>
      <c r="I25" s="48"/>
      <c r="J25" s="48"/>
      <c r="K25" s="48"/>
      <c r="M25" s="35"/>
    </row>
    <row r="26" spans="2:13" x14ac:dyDescent="0.15">
      <c r="B26" s="48"/>
      <c r="C26" s="149" t="s">
        <v>0</v>
      </c>
      <c r="D26" s="145" t="s">
        <v>2</v>
      </c>
      <c r="E26" s="149" t="s">
        <v>15</v>
      </c>
      <c r="F26" s="151" t="s">
        <v>16</v>
      </c>
      <c r="G26" s="149" t="s">
        <v>1</v>
      </c>
      <c r="H26" s="152" t="s">
        <v>445</v>
      </c>
      <c r="I26" s="48"/>
      <c r="J26" s="48"/>
      <c r="K26" s="48"/>
      <c r="M26" s="35"/>
    </row>
    <row r="27" spans="2:13" s="209" customFormat="1" x14ac:dyDescent="0.15">
      <c r="B27" s="209" t="s">
        <v>573</v>
      </c>
      <c r="C27" s="214" t="s">
        <v>566</v>
      </c>
      <c r="D27" s="211" t="s">
        <v>567</v>
      </c>
      <c r="E27" s="214">
        <v>5000</v>
      </c>
      <c r="F27" s="214" t="s">
        <v>116</v>
      </c>
      <c r="G27" s="210" t="s">
        <v>691</v>
      </c>
      <c r="H27" s="212" t="s">
        <v>448</v>
      </c>
      <c r="I27" s="213"/>
      <c r="J27" s="213"/>
      <c r="K27" s="213"/>
    </row>
    <row r="28" spans="2:13" s="209" customFormat="1" x14ac:dyDescent="0.15">
      <c r="C28" s="215" t="s">
        <v>570</v>
      </c>
      <c r="D28" s="147" t="s">
        <v>571</v>
      </c>
      <c r="E28" s="238">
        <f>-'9c'!$O$25</f>
        <v>0.35430160674400163</v>
      </c>
      <c r="F28" s="215" t="s">
        <v>116</v>
      </c>
      <c r="G28" s="158" t="s">
        <v>661</v>
      </c>
      <c r="H28" s="159"/>
      <c r="I28" s="213"/>
      <c r="J28" s="213"/>
      <c r="K28" s="213"/>
    </row>
    <row r="29" spans="2:13" x14ac:dyDescent="0.15">
      <c r="B29" s="26" t="s">
        <v>237</v>
      </c>
      <c r="C29" s="26">
        <v>205</v>
      </c>
      <c r="D29" s="156" t="s">
        <v>20</v>
      </c>
      <c r="E29" s="26" t="s">
        <v>8</v>
      </c>
      <c r="F29" s="26" t="s">
        <v>8</v>
      </c>
      <c r="G29" s="26" t="s">
        <v>155</v>
      </c>
      <c r="H29" s="55"/>
      <c r="I29" s="48"/>
      <c r="J29" s="48"/>
      <c r="K29" s="48" t="s">
        <v>309</v>
      </c>
      <c r="L29" s="32" t="s">
        <v>116</v>
      </c>
      <c r="M29" s="35">
        <v>39188</v>
      </c>
    </row>
    <row r="30" spans="2:13" x14ac:dyDescent="0.15">
      <c r="B30" s="26" t="s">
        <v>238</v>
      </c>
      <c r="C30" s="26">
        <v>206</v>
      </c>
      <c r="D30" s="156" t="s">
        <v>9</v>
      </c>
      <c r="E30" s="26" t="s">
        <v>10</v>
      </c>
      <c r="F30" s="26" t="s">
        <v>10</v>
      </c>
      <c r="G30" s="26" t="s">
        <v>116</v>
      </c>
      <c r="H30" s="55"/>
      <c r="I30" s="48"/>
      <c r="J30" s="48"/>
      <c r="K30" s="48" t="s">
        <v>309</v>
      </c>
      <c r="L30" s="32" t="s">
        <v>116</v>
      </c>
      <c r="M30" s="35">
        <v>39188</v>
      </c>
    </row>
    <row r="31" spans="2:13" x14ac:dyDescent="0.15">
      <c r="B31" s="26" t="s">
        <v>239</v>
      </c>
      <c r="C31" s="26">
        <v>207</v>
      </c>
      <c r="D31" s="156" t="s">
        <v>329</v>
      </c>
      <c r="E31" s="26">
        <v>2750</v>
      </c>
      <c r="F31" s="26">
        <v>2750</v>
      </c>
      <c r="G31" s="26" t="s">
        <v>661</v>
      </c>
      <c r="H31" s="55"/>
      <c r="I31" s="48"/>
      <c r="J31" s="48"/>
      <c r="K31" s="48" t="s">
        <v>309</v>
      </c>
      <c r="L31" s="32" t="s">
        <v>222</v>
      </c>
      <c r="M31" s="35">
        <v>39188</v>
      </c>
    </row>
    <row r="32" spans="2:13" x14ac:dyDescent="0.15">
      <c r="B32" s="26" t="s">
        <v>240</v>
      </c>
      <c r="C32" s="26">
        <v>208</v>
      </c>
      <c r="D32" s="156" t="s">
        <v>41</v>
      </c>
      <c r="E32" s="169" t="s">
        <v>211</v>
      </c>
      <c r="F32" s="26" t="str">
        <f>$E$73</f>
        <v>-10 to 25</v>
      </c>
      <c r="G32" s="26" t="s">
        <v>40</v>
      </c>
      <c r="H32" s="55"/>
      <c r="I32" s="48"/>
      <c r="J32" s="48"/>
      <c r="K32" s="48" t="s">
        <v>309</v>
      </c>
      <c r="L32" s="32" t="s">
        <v>222</v>
      </c>
      <c r="M32" s="35">
        <v>39188</v>
      </c>
    </row>
    <row r="33" spans="2:15" x14ac:dyDescent="0.15">
      <c r="B33" s="26" t="s">
        <v>241</v>
      </c>
      <c r="C33" s="26">
        <v>209</v>
      </c>
      <c r="D33" s="156" t="s">
        <v>42</v>
      </c>
      <c r="E33" s="169" t="s">
        <v>39</v>
      </c>
      <c r="F33" s="26" t="s">
        <v>116</v>
      </c>
      <c r="G33" s="26" t="s">
        <v>40</v>
      </c>
      <c r="H33" s="55"/>
      <c r="I33" s="48"/>
      <c r="J33" s="48"/>
      <c r="K33" s="48" t="s">
        <v>309</v>
      </c>
      <c r="L33" s="32" t="s">
        <v>222</v>
      </c>
      <c r="M33" s="35">
        <v>39188</v>
      </c>
    </row>
    <row r="34" spans="2:15" x14ac:dyDescent="0.15">
      <c r="B34" s="26" t="s">
        <v>247</v>
      </c>
      <c r="C34" s="26">
        <v>213</v>
      </c>
      <c r="D34" s="156" t="s">
        <v>383</v>
      </c>
      <c r="E34" s="26">
        <v>2</v>
      </c>
      <c r="F34" s="26">
        <v>2.5</v>
      </c>
      <c r="G34" s="26" t="s">
        <v>116</v>
      </c>
      <c r="H34" s="55" t="s">
        <v>452</v>
      </c>
      <c r="I34" s="48"/>
      <c r="J34" s="48"/>
      <c r="K34" s="48" t="s">
        <v>309</v>
      </c>
      <c r="L34" s="32" t="s">
        <v>293</v>
      </c>
      <c r="M34" s="35">
        <v>39203</v>
      </c>
    </row>
    <row r="35" spans="2:15" x14ac:dyDescent="0.15">
      <c r="B35" s="26" t="s">
        <v>248</v>
      </c>
      <c r="C35" s="26">
        <v>214</v>
      </c>
      <c r="D35" s="156" t="s">
        <v>292</v>
      </c>
      <c r="E35" s="26">
        <v>3</v>
      </c>
      <c r="F35" s="26">
        <v>4</v>
      </c>
      <c r="G35" s="26" t="s">
        <v>116</v>
      </c>
      <c r="H35" s="55" t="s">
        <v>453</v>
      </c>
      <c r="I35" s="48"/>
      <c r="J35" s="48"/>
      <c r="K35" s="48" t="s">
        <v>309</v>
      </c>
      <c r="L35" s="32" t="s">
        <v>293</v>
      </c>
      <c r="M35" s="35">
        <v>39203</v>
      </c>
    </row>
    <row r="36" spans="2:15" x14ac:dyDescent="0.15">
      <c r="B36" s="26" t="s">
        <v>250</v>
      </c>
      <c r="C36" s="50">
        <v>217</v>
      </c>
      <c r="D36" s="167" t="s">
        <v>24</v>
      </c>
      <c r="E36" s="50">
        <v>30</v>
      </c>
      <c r="F36" s="50">
        <v>50</v>
      </c>
      <c r="G36" s="50" t="s">
        <v>21</v>
      </c>
      <c r="H36" s="56" t="s">
        <v>505</v>
      </c>
      <c r="I36" s="48"/>
      <c r="J36" s="48"/>
      <c r="K36" s="48" t="s">
        <v>309</v>
      </c>
      <c r="L36" s="32" t="s">
        <v>293</v>
      </c>
      <c r="M36" s="35">
        <v>39188</v>
      </c>
    </row>
    <row r="37" spans="2:15" hidden="1" x14ac:dyDescent="0.15">
      <c r="B37" s="26" t="s">
        <v>252</v>
      </c>
      <c r="C37" s="26">
        <v>218</v>
      </c>
      <c r="D37" s="156" t="s">
        <v>416</v>
      </c>
      <c r="E37" s="170">
        <f>0.666*E39</f>
        <v>0.26640000000000003</v>
      </c>
      <c r="F37" s="170" t="s">
        <v>116</v>
      </c>
      <c r="G37" s="26" t="s">
        <v>187</v>
      </c>
      <c r="H37" s="55"/>
      <c r="I37" s="48"/>
      <c r="J37" s="48"/>
      <c r="K37" s="48" t="s">
        <v>309</v>
      </c>
      <c r="L37" s="32" t="s">
        <v>291</v>
      </c>
      <c r="M37" s="35">
        <v>39203</v>
      </c>
    </row>
    <row r="38" spans="2:15" hidden="1" x14ac:dyDescent="0.15">
      <c r="B38" s="26" t="s">
        <v>253</v>
      </c>
      <c r="C38" s="26">
        <v>219</v>
      </c>
      <c r="D38" s="156" t="s">
        <v>336</v>
      </c>
      <c r="E38" s="26">
        <v>1</v>
      </c>
      <c r="F38" s="26" t="s">
        <v>116</v>
      </c>
      <c r="G38" s="26" t="s">
        <v>187</v>
      </c>
      <c r="H38" s="55"/>
      <c r="I38" s="48"/>
      <c r="J38" s="48"/>
      <c r="K38" s="48" t="s">
        <v>309</v>
      </c>
      <c r="L38" s="32" t="s">
        <v>116</v>
      </c>
      <c r="M38" s="35">
        <v>39203</v>
      </c>
    </row>
    <row r="39" spans="2:15" hidden="1" x14ac:dyDescent="0.15">
      <c r="B39" s="50" t="s">
        <v>254</v>
      </c>
      <c r="C39" s="26">
        <v>220</v>
      </c>
      <c r="D39" s="156" t="s">
        <v>417</v>
      </c>
      <c r="E39" s="26">
        <v>0.4</v>
      </c>
      <c r="F39" s="26" t="s">
        <v>116</v>
      </c>
      <c r="G39" s="26" t="s">
        <v>187</v>
      </c>
      <c r="H39" s="55"/>
      <c r="I39" s="48"/>
      <c r="J39" s="48"/>
      <c r="K39" s="48" t="s">
        <v>309</v>
      </c>
      <c r="L39" s="32" t="s">
        <v>291</v>
      </c>
      <c r="M39" s="35">
        <v>39203</v>
      </c>
    </row>
    <row r="40" spans="2:15" x14ac:dyDescent="0.15">
      <c r="M40" s="32" t="s">
        <v>205</v>
      </c>
    </row>
    <row r="41" spans="2:15" ht="18" x14ac:dyDescent="0.2">
      <c r="C41" s="276" t="s">
        <v>525</v>
      </c>
      <c r="D41" s="277"/>
      <c r="E41" s="277"/>
      <c r="F41" s="277"/>
      <c r="G41" s="277"/>
      <c r="H41" s="278"/>
      <c r="I41" s="64"/>
      <c r="J41" s="64"/>
      <c r="K41" s="64"/>
    </row>
    <row r="42" spans="2:15" x14ac:dyDescent="0.15">
      <c r="C42" s="149" t="s">
        <v>0</v>
      </c>
      <c r="D42" s="145" t="s">
        <v>2</v>
      </c>
      <c r="E42" s="18" t="s">
        <v>15</v>
      </c>
      <c r="F42" s="149" t="s">
        <v>16</v>
      </c>
      <c r="G42" s="151" t="s">
        <v>1</v>
      </c>
      <c r="H42" s="149" t="s">
        <v>445</v>
      </c>
      <c r="I42" s="65" t="s">
        <v>306</v>
      </c>
      <c r="J42" s="65" t="s">
        <v>307</v>
      </c>
      <c r="K42" s="65" t="s">
        <v>308</v>
      </c>
      <c r="O42" s="32" t="s">
        <v>206</v>
      </c>
    </row>
    <row r="43" spans="2:15" x14ac:dyDescent="0.15">
      <c r="B43" s="26">
        <v>1</v>
      </c>
      <c r="C43" s="166" t="s">
        <v>543</v>
      </c>
      <c r="D43" s="203" t="s">
        <v>636</v>
      </c>
      <c r="E43" s="154" t="s">
        <v>314</v>
      </c>
      <c r="F43" s="146" t="s">
        <v>315</v>
      </c>
      <c r="G43" s="201" t="s">
        <v>29</v>
      </c>
      <c r="H43" s="54" t="s">
        <v>667</v>
      </c>
      <c r="I43" s="48" t="s">
        <v>309</v>
      </c>
      <c r="J43" s="48">
        <v>15.2</v>
      </c>
      <c r="K43" s="48">
        <v>22.8</v>
      </c>
      <c r="L43" s="32" t="s">
        <v>212</v>
      </c>
      <c r="M43" s="35">
        <v>39188</v>
      </c>
      <c r="O43" s="34"/>
    </row>
    <row r="44" spans="2:15" x14ac:dyDescent="0.15">
      <c r="B44" s="26" t="s">
        <v>225</v>
      </c>
      <c r="C44" s="26">
        <v>2</v>
      </c>
      <c r="D44" s="204" t="s">
        <v>5</v>
      </c>
      <c r="E44" s="71">
        <f>'2a4a6a'!$D$14</f>
        <v>5</v>
      </c>
      <c r="F44" s="207">
        <f>E44*0.5</f>
        <v>2.5</v>
      </c>
      <c r="G44" s="48" t="s">
        <v>95</v>
      </c>
      <c r="H44" s="55" t="s">
        <v>455</v>
      </c>
      <c r="I44" s="48" t="s">
        <v>309</v>
      </c>
      <c r="J44" s="48">
        <v>50</v>
      </c>
      <c r="K44" s="48">
        <v>25</v>
      </c>
      <c r="L44" s="32" t="s">
        <v>212</v>
      </c>
      <c r="M44" s="35">
        <v>39202</v>
      </c>
    </row>
    <row r="45" spans="2:15" x14ac:dyDescent="0.15">
      <c r="B45" s="26">
        <v>3</v>
      </c>
      <c r="C45" s="26" t="s">
        <v>544</v>
      </c>
      <c r="D45" s="204" t="s">
        <v>3</v>
      </c>
      <c r="E45" s="70" t="s">
        <v>316</v>
      </c>
      <c r="F45" s="72" t="s">
        <v>317</v>
      </c>
      <c r="G45" s="48" t="s">
        <v>29</v>
      </c>
      <c r="H45" s="55" t="s">
        <v>447</v>
      </c>
      <c r="I45" s="48" t="s">
        <v>309</v>
      </c>
      <c r="J45" s="48">
        <v>17.434437856573311</v>
      </c>
      <c r="K45" s="48">
        <v>26</v>
      </c>
      <c r="L45" s="32" t="s">
        <v>212</v>
      </c>
      <c r="M45" s="35">
        <v>39188</v>
      </c>
      <c r="O45" s="34"/>
    </row>
    <row r="46" spans="2:15" x14ac:dyDescent="0.15">
      <c r="B46" s="26" t="s">
        <v>226</v>
      </c>
      <c r="C46" s="26">
        <v>4</v>
      </c>
      <c r="D46" s="204" t="s">
        <v>4</v>
      </c>
      <c r="E46" s="71">
        <f>'2a4a6a'!$D$8</f>
        <v>1</v>
      </c>
      <c r="F46" s="55">
        <f>E46/2</f>
        <v>0.5</v>
      </c>
      <c r="G46" s="48" t="s">
        <v>95</v>
      </c>
      <c r="H46" s="55" t="s">
        <v>456</v>
      </c>
      <c r="I46" s="48" t="s">
        <v>309</v>
      </c>
      <c r="J46" s="48">
        <v>5</v>
      </c>
      <c r="K46" s="48">
        <v>2.5</v>
      </c>
      <c r="L46" s="32" t="s">
        <v>212</v>
      </c>
      <c r="M46" s="35">
        <v>39190</v>
      </c>
    </row>
    <row r="47" spans="2:15" x14ac:dyDescent="0.15">
      <c r="B47" s="26" t="s">
        <v>227</v>
      </c>
      <c r="C47" s="26" t="s">
        <v>545</v>
      </c>
      <c r="D47" s="204" t="s">
        <v>637</v>
      </c>
      <c r="E47" s="49" t="s">
        <v>425</v>
      </c>
      <c r="F47" s="55" t="s">
        <v>318</v>
      </c>
      <c r="G47" s="48" t="s">
        <v>155</v>
      </c>
      <c r="H47" s="55" t="s">
        <v>667</v>
      </c>
      <c r="I47" s="48" t="s">
        <v>309</v>
      </c>
      <c r="J47" s="48">
        <v>0.63500000000000001</v>
      </c>
      <c r="K47" s="48">
        <v>0.95250000000000001</v>
      </c>
      <c r="L47" s="32" t="s">
        <v>212</v>
      </c>
      <c r="M47" s="35">
        <v>39188</v>
      </c>
      <c r="O47" s="34"/>
    </row>
    <row r="48" spans="2:15" x14ac:dyDescent="0.15">
      <c r="B48" s="26" t="s">
        <v>228</v>
      </c>
      <c r="C48" s="26" t="s">
        <v>546</v>
      </c>
      <c r="D48" s="204" t="s">
        <v>6</v>
      </c>
      <c r="E48" s="73">
        <f>'2a4a6a'!$D$27</f>
        <v>8.1851141430657997E-5</v>
      </c>
      <c r="F48" s="57">
        <f>E48/2</f>
        <v>4.0925570715328998E-5</v>
      </c>
      <c r="G48" s="48" t="s">
        <v>155</v>
      </c>
      <c r="H48" s="55" t="s">
        <v>455</v>
      </c>
      <c r="I48" s="48" t="s">
        <v>309</v>
      </c>
      <c r="J48" s="48">
        <v>3.8197469289834925E-4</v>
      </c>
      <c r="K48" s="48">
        <v>1.9098734644917463E-4</v>
      </c>
      <c r="L48" s="32" t="s">
        <v>212</v>
      </c>
      <c r="M48" s="35">
        <v>39190</v>
      </c>
    </row>
    <row r="49" spans="2:15" x14ac:dyDescent="0.15">
      <c r="B49" s="26" t="s">
        <v>634</v>
      </c>
      <c r="C49" s="26">
        <v>7</v>
      </c>
      <c r="D49" s="204" t="str">
        <f>D10</f>
        <v>Repeatability: Translation and Rotation</v>
      </c>
      <c r="E49" s="49" t="s">
        <v>513</v>
      </c>
      <c r="F49" s="59" t="s">
        <v>513</v>
      </c>
      <c r="G49" s="48" t="s">
        <v>95</v>
      </c>
      <c r="H49" s="55" t="s">
        <v>449</v>
      </c>
      <c r="I49" s="48" t="s">
        <v>309</v>
      </c>
      <c r="J49" s="48" t="s">
        <v>194</v>
      </c>
      <c r="K49" s="48" t="s">
        <v>194</v>
      </c>
      <c r="L49" s="32" t="s">
        <v>212</v>
      </c>
      <c r="M49" s="35">
        <v>39188</v>
      </c>
    </row>
    <row r="50" spans="2:15" x14ac:dyDescent="0.15">
      <c r="B50" s="26" t="s">
        <v>229</v>
      </c>
      <c r="C50" s="26">
        <v>8</v>
      </c>
      <c r="D50" s="204" t="str">
        <f>D11</f>
        <v xml:space="preserve">Absolute Accuracy: Translation and Rotation </v>
      </c>
      <c r="E50" s="49" t="s">
        <v>426</v>
      </c>
      <c r="F50" s="59" t="s">
        <v>426</v>
      </c>
      <c r="G50" s="48" t="s">
        <v>95</v>
      </c>
      <c r="H50" s="55" t="s">
        <v>449</v>
      </c>
      <c r="I50" s="48" t="s">
        <v>309</v>
      </c>
      <c r="J50" s="48" t="s">
        <v>195</v>
      </c>
      <c r="K50" s="48" t="s">
        <v>195</v>
      </c>
      <c r="L50" s="32" t="s">
        <v>212</v>
      </c>
      <c r="M50" s="35">
        <v>39190</v>
      </c>
    </row>
    <row r="51" spans="2:15" x14ac:dyDescent="0.15">
      <c r="B51" s="26"/>
      <c r="C51" s="26" t="s">
        <v>675</v>
      </c>
      <c r="D51" s="156" t="s">
        <v>670</v>
      </c>
      <c r="E51" s="169">
        <v>1938</v>
      </c>
      <c r="F51" s="26" t="s">
        <v>116</v>
      </c>
      <c r="G51" s="55" t="s">
        <v>29</v>
      </c>
      <c r="H51" s="27" t="s">
        <v>668</v>
      </c>
      <c r="I51" s="48"/>
      <c r="J51" s="48"/>
      <c r="K51" s="48"/>
      <c r="M51" s="35"/>
    </row>
    <row r="52" spans="2:15" x14ac:dyDescent="0.15">
      <c r="B52" s="26" t="s">
        <v>235</v>
      </c>
      <c r="C52" s="26" t="s">
        <v>547</v>
      </c>
      <c r="D52" s="204" t="s">
        <v>313</v>
      </c>
      <c r="E52" s="71">
        <f>'14a'!$C$29</f>
        <v>151.66666666666669</v>
      </c>
      <c r="F52" s="78">
        <f>E52*2</f>
        <v>303.33333333333337</v>
      </c>
      <c r="G52" s="48" t="s">
        <v>32</v>
      </c>
      <c r="H52" s="55" t="s">
        <v>447</v>
      </c>
      <c r="I52" s="48" t="s">
        <v>309</v>
      </c>
      <c r="J52" s="48">
        <v>116.66666666666669</v>
      </c>
      <c r="K52" s="48">
        <v>175</v>
      </c>
      <c r="L52" s="32" t="s">
        <v>212</v>
      </c>
      <c r="M52" s="35">
        <v>39202</v>
      </c>
    </row>
    <row r="53" spans="2:15" x14ac:dyDescent="0.15">
      <c r="B53" s="26" t="s">
        <v>236</v>
      </c>
      <c r="C53" s="26" t="s">
        <v>548</v>
      </c>
      <c r="D53" s="204" t="s">
        <v>312</v>
      </c>
      <c r="E53" s="74">
        <f>'15a'!$D$24</f>
        <v>3.8500000000000001E-3</v>
      </c>
      <c r="F53" s="75">
        <f>E53*2</f>
        <v>7.7000000000000002E-3</v>
      </c>
      <c r="G53" s="48" t="s">
        <v>38</v>
      </c>
      <c r="H53" s="55" t="s">
        <v>447</v>
      </c>
      <c r="I53" s="48" t="s">
        <v>309</v>
      </c>
      <c r="J53" s="48">
        <v>2.5666666666666667E-3</v>
      </c>
      <c r="K53" s="48">
        <v>5.1333333333333335E-3</v>
      </c>
      <c r="L53" s="32" t="s">
        <v>212</v>
      </c>
      <c r="M53" s="35">
        <v>39202</v>
      </c>
    </row>
    <row r="54" spans="2:15" x14ac:dyDescent="0.15">
      <c r="B54" s="26" t="s">
        <v>245</v>
      </c>
      <c r="C54" s="26">
        <v>12</v>
      </c>
      <c r="D54" s="204" t="s">
        <v>12</v>
      </c>
      <c r="E54" s="48" t="s">
        <v>319</v>
      </c>
      <c r="F54" s="55" t="s">
        <v>116</v>
      </c>
      <c r="G54" s="48" t="s">
        <v>116</v>
      </c>
      <c r="H54" s="55" t="s">
        <v>457</v>
      </c>
      <c r="I54" s="48" t="s">
        <v>309</v>
      </c>
      <c r="J54" s="48" t="s">
        <v>13</v>
      </c>
      <c r="K54" s="48" t="s">
        <v>22</v>
      </c>
      <c r="L54" s="32" t="s">
        <v>22</v>
      </c>
      <c r="M54" s="35">
        <v>39188</v>
      </c>
    </row>
    <row r="55" spans="2:15" x14ac:dyDescent="0.15">
      <c r="B55" s="26" t="s">
        <v>246</v>
      </c>
      <c r="C55" s="26" t="s">
        <v>549</v>
      </c>
      <c r="D55" s="204" t="s">
        <v>49</v>
      </c>
      <c r="E55" s="48">
        <v>10</v>
      </c>
      <c r="F55" s="55">
        <v>5</v>
      </c>
      <c r="G55" s="48" t="s">
        <v>72</v>
      </c>
      <c r="H55" s="55" t="s">
        <v>493</v>
      </c>
      <c r="I55" s="48" t="s">
        <v>309</v>
      </c>
      <c r="J55" s="48">
        <v>10</v>
      </c>
      <c r="K55" s="48">
        <v>5</v>
      </c>
      <c r="L55" s="32" t="s">
        <v>212</v>
      </c>
      <c r="M55" s="35">
        <v>39203</v>
      </c>
    </row>
    <row r="56" spans="2:15" x14ac:dyDescent="0.15">
      <c r="B56" s="26" t="s">
        <v>251</v>
      </c>
      <c r="C56" s="26">
        <v>14</v>
      </c>
      <c r="D56" s="205" t="s">
        <v>78</v>
      </c>
      <c r="E56" s="48" t="s">
        <v>79</v>
      </c>
      <c r="F56" s="55" t="s">
        <v>116</v>
      </c>
      <c r="G56" s="200" t="s">
        <v>116</v>
      </c>
      <c r="H56" s="158" t="s">
        <v>460</v>
      </c>
      <c r="I56" s="48" t="s">
        <v>309</v>
      </c>
      <c r="J56" s="48" t="s">
        <v>79</v>
      </c>
      <c r="K56" s="48" t="s">
        <v>22</v>
      </c>
      <c r="M56" s="35">
        <v>39188</v>
      </c>
    </row>
    <row r="57" spans="2:15" x14ac:dyDescent="0.15">
      <c r="B57" s="26"/>
      <c r="C57" s="26">
        <v>15</v>
      </c>
      <c r="D57" s="205" t="s">
        <v>484</v>
      </c>
      <c r="E57" s="48" t="s">
        <v>477</v>
      </c>
      <c r="F57" s="55" t="s">
        <v>116</v>
      </c>
      <c r="G57" s="200" t="s">
        <v>116</v>
      </c>
      <c r="H57" s="158" t="s">
        <v>466</v>
      </c>
      <c r="I57" s="48"/>
      <c r="J57" s="48"/>
      <c r="K57" s="48"/>
      <c r="M57" s="35"/>
    </row>
    <row r="58" spans="2:15" s="17" customFormat="1" x14ac:dyDescent="0.15">
      <c r="B58" s="150">
        <v>31</v>
      </c>
      <c r="C58" s="26">
        <v>16</v>
      </c>
      <c r="D58" s="205" t="s">
        <v>474</v>
      </c>
      <c r="E58" s="48">
        <v>2.5</v>
      </c>
      <c r="F58" s="55">
        <v>0.1</v>
      </c>
      <c r="G58" s="200" t="s">
        <v>95</v>
      </c>
      <c r="H58" s="158" t="s">
        <v>467</v>
      </c>
      <c r="I58" s="17">
        <v>2</v>
      </c>
      <c r="J58" s="17" t="s">
        <v>122</v>
      </c>
    </row>
    <row r="59" spans="2:15" s="17" customFormat="1" x14ac:dyDescent="0.15">
      <c r="B59" s="150">
        <v>32</v>
      </c>
      <c r="C59" s="26">
        <v>17</v>
      </c>
      <c r="D59" s="205" t="s">
        <v>475</v>
      </c>
      <c r="E59" s="48">
        <v>12.5</v>
      </c>
      <c r="F59" s="55">
        <v>1</v>
      </c>
      <c r="G59" s="200" t="s">
        <v>95</v>
      </c>
      <c r="H59" s="158" t="s">
        <v>467</v>
      </c>
      <c r="J59" s="17" t="s">
        <v>122</v>
      </c>
    </row>
    <row r="60" spans="2:15" x14ac:dyDescent="0.15">
      <c r="B60" s="26" t="s">
        <v>574</v>
      </c>
      <c r="C60" s="50" t="s">
        <v>554</v>
      </c>
      <c r="D60" s="206" t="s">
        <v>565</v>
      </c>
      <c r="E60" s="202">
        <f>'1c'!$D$14</f>
        <v>66</v>
      </c>
      <c r="F60" s="208" t="s">
        <v>116</v>
      </c>
      <c r="G60" s="52" t="s">
        <v>29</v>
      </c>
      <c r="H60" s="56" t="s">
        <v>564</v>
      </c>
      <c r="I60" s="48"/>
      <c r="J60" s="48"/>
      <c r="K60" s="48"/>
      <c r="M60" s="35"/>
      <c r="O60" s="34"/>
    </row>
    <row r="61" spans="2:15" x14ac:dyDescent="0.15">
      <c r="B61" s="48"/>
      <c r="C61" s="48"/>
      <c r="D61" s="47"/>
      <c r="E61" s="48"/>
      <c r="F61" s="48"/>
      <c r="G61" s="48"/>
      <c r="H61" s="48"/>
      <c r="I61" s="48"/>
      <c r="J61" s="48"/>
      <c r="K61" s="48"/>
      <c r="M61" s="35"/>
    </row>
    <row r="62" spans="2:15" x14ac:dyDescent="0.15">
      <c r="B62" s="48"/>
      <c r="C62" s="48"/>
      <c r="D62" s="47"/>
      <c r="E62" s="48"/>
      <c r="F62" s="48"/>
      <c r="G62" s="48"/>
      <c r="H62" s="48"/>
      <c r="I62" s="48"/>
      <c r="J62" s="48"/>
      <c r="K62" s="48"/>
      <c r="M62" s="35"/>
    </row>
    <row r="63" spans="2:15" ht="18" x14ac:dyDescent="0.2">
      <c r="B63" s="48"/>
      <c r="C63" s="276" t="s">
        <v>526</v>
      </c>
      <c r="D63" s="277"/>
      <c r="E63" s="277"/>
      <c r="F63" s="277"/>
      <c r="G63" s="277"/>
      <c r="H63" s="278"/>
      <c r="I63" s="48"/>
      <c r="J63" s="48"/>
      <c r="K63" s="48"/>
      <c r="M63" s="35"/>
    </row>
    <row r="64" spans="2:15" x14ac:dyDescent="0.15">
      <c r="B64" s="48"/>
      <c r="C64" s="149" t="s">
        <v>0</v>
      </c>
      <c r="D64" s="145" t="s">
        <v>2</v>
      </c>
      <c r="E64" s="149" t="s">
        <v>15</v>
      </c>
      <c r="F64" s="151" t="s">
        <v>16</v>
      </c>
      <c r="G64" s="149" t="s">
        <v>1</v>
      </c>
      <c r="H64" s="152" t="s">
        <v>445</v>
      </c>
      <c r="I64" s="48"/>
      <c r="J64" s="48"/>
      <c r="K64" s="48"/>
      <c r="M64" s="35"/>
    </row>
    <row r="65" spans="2:13" x14ac:dyDescent="0.15">
      <c r="B65" s="26" t="s">
        <v>230</v>
      </c>
      <c r="C65" s="166" t="s">
        <v>568</v>
      </c>
      <c r="D65" s="153" t="s">
        <v>14</v>
      </c>
      <c r="E65" s="166">
        <v>3000</v>
      </c>
      <c r="F65" s="166" t="s">
        <v>116</v>
      </c>
      <c r="G65" s="166" t="s">
        <v>691</v>
      </c>
      <c r="H65" s="54" t="s">
        <v>448</v>
      </c>
      <c r="I65" s="48"/>
      <c r="J65" s="48"/>
      <c r="K65" s="48" t="s">
        <v>309</v>
      </c>
      <c r="L65" s="32" t="s">
        <v>210</v>
      </c>
      <c r="M65" s="35">
        <v>39188</v>
      </c>
    </row>
    <row r="66" spans="2:13" x14ac:dyDescent="0.15">
      <c r="B66" s="26" t="s">
        <v>231</v>
      </c>
      <c r="C66" s="26" t="s">
        <v>569</v>
      </c>
      <c r="D66" s="156" t="s">
        <v>331</v>
      </c>
      <c r="E66" s="26">
        <f>'10'!$C$4</f>
        <v>0.58099999999999996</v>
      </c>
      <c r="F66" s="26" t="s">
        <v>116</v>
      </c>
      <c r="G66" s="26" t="s">
        <v>661</v>
      </c>
      <c r="H66" s="55"/>
      <c r="I66" s="48"/>
      <c r="J66" s="48"/>
      <c r="K66" s="48" t="s">
        <v>309</v>
      </c>
      <c r="L66" s="32" t="s">
        <v>212</v>
      </c>
      <c r="M66" s="35">
        <v>39190</v>
      </c>
    </row>
    <row r="67" spans="2:13" x14ac:dyDescent="0.15">
      <c r="B67" s="26" t="s">
        <v>232</v>
      </c>
      <c r="C67" s="26" t="s">
        <v>666</v>
      </c>
      <c r="D67" s="156" t="s">
        <v>332</v>
      </c>
      <c r="E67" s="26">
        <f>'11'!$C$6</f>
        <v>1.4009999999999998</v>
      </c>
      <c r="F67" s="26" t="s">
        <v>116</v>
      </c>
      <c r="G67" s="26" t="s">
        <v>661</v>
      </c>
      <c r="H67" s="55"/>
      <c r="I67" s="48"/>
      <c r="J67" s="48"/>
      <c r="K67" s="48" t="s">
        <v>309</v>
      </c>
      <c r="L67" s="32" t="s">
        <v>212</v>
      </c>
      <c r="M67" s="35">
        <v>39190</v>
      </c>
    </row>
    <row r="68" spans="2:13" x14ac:dyDescent="0.15">
      <c r="B68" s="26" t="s">
        <v>233</v>
      </c>
      <c r="C68" s="26">
        <v>204</v>
      </c>
      <c r="D68" s="156" t="s">
        <v>223</v>
      </c>
      <c r="E68" s="168">
        <v>1000</v>
      </c>
      <c r="F68" s="168">
        <f>E68/2</f>
        <v>500</v>
      </c>
      <c r="G68" s="26" t="s">
        <v>691</v>
      </c>
      <c r="H68" s="55" t="s">
        <v>448</v>
      </c>
      <c r="I68" s="48"/>
      <c r="J68" s="48"/>
      <c r="K68" s="48" t="s">
        <v>309</v>
      </c>
      <c r="L68" s="32" t="s">
        <v>215</v>
      </c>
      <c r="M68" s="35">
        <v>39188</v>
      </c>
    </row>
    <row r="69" spans="2:13" x14ac:dyDescent="0.15">
      <c r="B69" s="26" t="s">
        <v>237</v>
      </c>
      <c r="C69" s="26">
        <v>205</v>
      </c>
      <c r="D69" s="156" t="s">
        <v>20</v>
      </c>
      <c r="E69" s="26" t="s">
        <v>8</v>
      </c>
      <c r="F69" s="26" t="s">
        <v>8</v>
      </c>
      <c r="G69" s="26" t="s">
        <v>155</v>
      </c>
      <c r="H69" s="55"/>
      <c r="I69" s="48"/>
      <c r="J69" s="48"/>
      <c r="K69" s="48" t="s">
        <v>309</v>
      </c>
      <c r="L69" s="32" t="s">
        <v>116</v>
      </c>
      <c r="M69" s="35">
        <v>39188</v>
      </c>
    </row>
    <row r="70" spans="2:13" x14ac:dyDescent="0.15">
      <c r="B70" s="26" t="s">
        <v>238</v>
      </c>
      <c r="C70" s="26">
        <v>206</v>
      </c>
      <c r="D70" s="156" t="s">
        <v>9</v>
      </c>
      <c r="E70" s="26" t="s">
        <v>10</v>
      </c>
      <c r="F70" s="26" t="s">
        <v>10</v>
      </c>
      <c r="G70" s="26" t="s">
        <v>116</v>
      </c>
      <c r="H70" s="55"/>
      <c r="I70" s="48"/>
      <c r="J70" s="48"/>
      <c r="K70" s="48" t="s">
        <v>309</v>
      </c>
      <c r="L70" s="32" t="s">
        <v>116</v>
      </c>
      <c r="M70" s="35">
        <v>39188</v>
      </c>
    </row>
    <row r="71" spans="2:13" x14ac:dyDescent="0.15">
      <c r="B71" s="26" t="s">
        <v>239</v>
      </c>
      <c r="C71" s="26">
        <v>207</v>
      </c>
      <c r="D71" s="156" t="s">
        <v>329</v>
      </c>
      <c r="E71" s="26">
        <v>2750</v>
      </c>
      <c r="F71" s="26">
        <v>2750</v>
      </c>
      <c r="G71" s="26" t="s">
        <v>661</v>
      </c>
      <c r="H71" s="55"/>
      <c r="I71" s="48"/>
      <c r="J71" s="48"/>
      <c r="K71" s="48" t="s">
        <v>309</v>
      </c>
      <c r="L71" s="32" t="s">
        <v>222</v>
      </c>
      <c r="M71" s="35">
        <v>39188</v>
      </c>
    </row>
    <row r="72" spans="2:13" x14ac:dyDescent="0.15">
      <c r="B72" s="26" t="s">
        <v>240</v>
      </c>
      <c r="C72" s="26">
        <v>208</v>
      </c>
      <c r="D72" s="156" t="s">
        <v>41</v>
      </c>
      <c r="E72" s="169" t="s">
        <v>211</v>
      </c>
      <c r="F72" s="26" t="str">
        <f>$E$73</f>
        <v>-10 to 25</v>
      </c>
      <c r="G72" s="26" t="s">
        <v>692</v>
      </c>
      <c r="H72" s="55"/>
      <c r="I72" s="48"/>
      <c r="J72" s="48"/>
      <c r="K72" s="48" t="s">
        <v>309</v>
      </c>
      <c r="L72" s="32" t="s">
        <v>222</v>
      </c>
      <c r="M72" s="35">
        <v>39188</v>
      </c>
    </row>
    <row r="73" spans="2:13" x14ac:dyDescent="0.15">
      <c r="B73" s="26" t="s">
        <v>241</v>
      </c>
      <c r="C73" s="26">
        <v>209</v>
      </c>
      <c r="D73" s="156" t="s">
        <v>42</v>
      </c>
      <c r="E73" s="169" t="s">
        <v>39</v>
      </c>
      <c r="F73" s="26" t="s">
        <v>116</v>
      </c>
      <c r="G73" s="26" t="s">
        <v>692</v>
      </c>
      <c r="H73" s="55"/>
      <c r="I73" s="48"/>
      <c r="J73" s="48"/>
      <c r="K73" s="48" t="s">
        <v>309</v>
      </c>
      <c r="L73" s="32" t="s">
        <v>222</v>
      </c>
      <c r="M73" s="35">
        <v>39188</v>
      </c>
    </row>
    <row r="74" spans="2:13" x14ac:dyDescent="0.15">
      <c r="B74" s="26" t="s">
        <v>242</v>
      </c>
      <c r="C74" s="26">
        <v>210</v>
      </c>
      <c r="D74" s="156" t="s">
        <v>310</v>
      </c>
      <c r="E74" s="250">
        <v>1.65</v>
      </c>
      <c r="F74" s="26" t="s">
        <v>116</v>
      </c>
      <c r="G74" s="26" t="s">
        <v>661</v>
      </c>
      <c r="H74" s="55" t="s">
        <v>487</v>
      </c>
      <c r="I74" s="48"/>
      <c r="J74" s="48"/>
      <c r="K74" s="48" t="s">
        <v>309</v>
      </c>
      <c r="L74" s="32" t="s">
        <v>273</v>
      </c>
      <c r="M74" s="35">
        <v>39202</v>
      </c>
    </row>
    <row r="75" spans="2:13" x14ac:dyDescent="0.15">
      <c r="B75" s="26" t="s">
        <v>243</v>
      </c>
      <c r="C75" s="26">
        <v>211</v>
      </c>
      <c r="D75" s="156" t="s">
        <v>420</v>
      </c>
      <c r="E75" s="250">
        <v>1.1000000000000001</v>
      </c>
      <c r="F75" s="26" t="s">
        <v>116</v>
      </c>
      <c r="G75" s="26" t="s">
        <v>661</v>
      </c>
      <c r="H75" s="55" t="s">
        <v>487</v>
      </c>
      <c r="I75" s="48"/>
      <c r="J75" s="48"/>
      <c r="K75" s="48" t="s">
        <v>309</v>
      </c>
      <c r="L75" s="32" t="s">
        <v>291</v>
      </c>
      <c r="M75" s="35">
        <v>39202</v>
      </c>
    </row>
    <row r="76" spans="2:13" x14ac:dyDescent="0.15">
      <c r="B76" s="26" t="s">
        <v>244</v>
      </c>
      <c r="C76" s="26">
        <v>212</v>
      </c>
      <c r="D76" s="156" t="s">
        <v>419</v>
      </c>
      <c r="E76" s="250">
        <v>0.82</v>
      </c>
      <c r="F76" s="26" t="s">
        <v>116</v>
      </c>
      <c r="G76" s="26" t="s">
        <v>661</v>
      </c>
      <c r="H76" s="55" t="s">
        <v>487</v>
      </c>
      <c r="I76" s="48"/>
      <c r="J76" s="48"/>
      <c r="K76" s="48" t="s">
        <v>309</v>
      </c>
      <c r="L76" s="32" t="s">
        <v>291</v>
      </c>
      <c r="M76" s="35">
        <v>39203</v>
      </c>
    </row>
    <row r="77" spans="2:13" x14ac:dyDescent="0.15">
      <c r="B77" s="26" t="s">
        <v>247</v>
      </c>
      <c r="C77" s="26">
        <v>213</v>
      </c>
      <c r="D77" s="156" t="s">
        <v>383</v>
      </c>
      <c r="E77" s="26">
        <v>2</v>
      </c>
      <c r="F77" s="26">
        <v>2.5</v>
      </c>
      <c r="G77" s="26" t="s">
        <v>116</v>
      </c>
      <c r="H77" s="55" t="s">
        <v>452</v>
      </c>
      <c r="I77" s="48"/>
      <c r="J77" s="48"/>
      <c r="K77" s="48" t="s">
        <v>309</v>
      </c>
      <c r="L77" s="32" t="s">
        <v>293</v>
      </c>
      <c r="M77" s="35">
        <v>39203</v>
      </c>
    </row>
    <row r="78" spans="2:13" x14ac:dyDescent="0.15">
      <c r="B78" s="26" t="s">
        <v>248</v>
      </c>
      <c r="C78" s="26">
        <v>214</v>
      </c>
      <c r="D78" s="156" t="s">
        <v>292</v>
      </c>
      <c r="E78" s="26">
        <v>3</v>
      </c>
      <c r="F78" s="26">
        <v>4</v>
      </c>
      <c r="G78" s="26" t="s">
        <v>116</v>
      </c>
      <c r="H78" s="55" t="s">
        <v>453</v>
      </c>
      <c r="I78" s="48"/>
      <c r="J78" s="48"/>
      <c r="K78" s="48" t="s">
        <v>309</v>
      </c>
      <c r="L78" s="32" t="s">
        <v>293</v>
      </c>
      <c r="M78" s="35">
        <v>39203</v>
      </c>
    </row>
    <row r="79" spans="2:13" x14ac:dyDescent="0.15">
      <c r="B79" s="26" t="s">
        <v>249</v>
      </c>
      <c r="C79" s="26">
        <v>215</v>
      </c>
      <c r="D79" s="156" t="s">
        <v>337</v>
      </c>
      <c r="E79" s="26">
        <f>$F$79</f>
        <v>4500</v>
      </c>
      <c r="F79" s="26">
        <f>'28'!F6</f>
        <v>4500</v>
      </c>
      <c r="G79" s="26" t="s">
        <v>691</v>
      </c>
      <c r="H79" s="55" t="s">
        <v>451</v>
      </c>
      <c r="I79" s="48"/>
      <c r="J79" s="48"/>
      <c r="K79" s="48" t="s">
        <v>309</v>
      </c>
      <c r="L79" s="32" t="s">
        <v>293</v>
      </c>
      <c r="M79" s="35">
        <v>39203</v>
      </c>
    </row>
    <row r="80" spans="2:13" x14ac:dyDescent="0.15">
      <c r="B80" s="26"/>
      <c r="C80" s="26">
        <v>216</v>
      </c>
      <c r="D80" s="156" t="s">
        <v>338</v>
      </c>
      <c r="E80" s="26">
        <f>$F$80</f>
        <v>6000</v>
      </c>
      <c r="F80" s="26">
        <f>'28'!F7</f>
        <v>6000</v>
      </c>
      <c r="G80" s="26" t="s">
        <v>691</v>
      </c>
      <c r="H80" s="55" t="s">
        <v>454</v>
      </c>
      <c r="I80" s="48"/>
      <c r="J80" s="48"/>
      <c r="K80" s="48"/>
      <c r="M80" s="35"/>
    </row>
    <row r="81" spans="2:13" x14ac:dyDescent="0.15">
      <c r="B81" s="26" t="s">
        <v>250</v>
      </c>
      <c r="C81" s="26">
        <v>217</v>
      </c>
      <c r="D81" s="156" t="s">
        <v>24</v>
      </c>
      <c r="E81" s="26">
        <v>30</v>
      </c>
      <c r="F81" s="26">
        <v>50</v>
      </c>
      <c r="G81" s="26" t="s">
        <v>21</v>
      </c>
      <c r="H81" s="55" t="s">
        <v>505</v>
      </c>
      <c r="I81" s="48"/>
      <c r="J81" s="48"/>
      <c r="K81" s="48" t="s">
        <v>309</v>
      </c>
      <c r="L81" s="32" t="s">
        <v>293</v>
      </c>
      <c r="M81" s="35">
        <v>39188</v>
      </c>
    </row>
    <row r="82" spans="2:13" x14ac:dyDescent="0.15">
      <c r="B82" s="150">
        <v>33</v>
      </c>
      <c r="C82" s="26">
        <v>218</v>
      </c>
      <c r="D82" s="205" t="s">
        <v>700</v>
      </c>
      <c r="E82" s="48">
        <v>0.1</v>
      </c>
      <c r="F82" s="55">
        <v>0.05</v>
      </c>
      <c r="G82" s="48" t="s">
        <v>693</v>
      </c>
      <c r="H82" s="158" t="s">
        <v>116</v>
      </c>
      <c r="I82" s="17"/>
      <c r="J82" s="17" t="s">
        <v>122</v>
      </c>
      <c r="K82" s="48"/>
      <c r="M82" s="35"/>
    </row>
    <row r="83" spans="2:13" x14ac:dyDescent="0.15">
      <c r="B83" s="150">
        <v>34</v>
      </c>
      <c r="C83" s="26">
        <v>219</v>
      </c>
      <c r="D83" s="205" t="s">
        <v>476</v>
      </c>
      <c r="E83" s="48" t="s">
        <v>477</v>
      </c>
      <c r="F83" s="55" t="s">
        <v>116</v>
      </c>
      <c r="G83" s="200" t="s">
        <v>116</v>
      </c>
      <c r="H83" s="158" t="s">
        <v>468</v>
      </c>
      <c r="I83" s="17">
        <v>1</v>
      </c>
      <c r="J83" s="17" t="s">
        <v>122</v>
      </c>
      <c r="K83" s="48"/>
      <c r="M83" s="35"/>
    </row>
    <row r="84" spans="2:13" x14ac:dyDescent="0.15">
      <c r="B84" s="150">
        <v>35</v>
      </c>
      <c r="C84" s="26">
        <v>220</v>
      </c>
      <c r="D84" s="205" t="s">
        <v>478</v>
      </c>
      <c r="E84" s="48" t="s">
        <v>477</v>
      </c>
      <c r="F84" s="55" t="s">
        <v>116</v>
      </c>
      <c r="G84" s="200" t="s">
        <v>116</v>
      </c>
      <c r="H84" s="158" t="s">
        <v>469</v>
      </c>
      <c r="I84" s="17">
        <v>1</v>
      </c>
      <c r="J84" s="17" t="s">
        <v>122</v>
      </c>
      <c r="K84" s="48"/>
      <c r="M84" s="35"/>
    </row>
    <row r="85" spans="2:13" x14ac:dyDescent="0.15">
      <c r="B85" s="26" t="s">
        <v>234</v>
      </c>
      <c r="C85" s="26">
        <v>221</v>
      </c>
      <c r="D85" s="156" t="s">
        <v>311</v>
      </c>
      <c r="E85" s="26" t="s">
        <v>220</v>
      </c>
      <c r="F85" s="26" t="s">
        <v>216</v>
      </c>
      <c r="G85" s="26" t="s">
        <v>7</v>
      </c>
      <c r="H85" s="55"/>
      <c r="I85" s="48"/>
      <c r="J85" s="48" t="s">
        <v>220</v>
      </c>
      <c r="K85" s="48" t="s">
        <v>216</v>
      </c>
      <c r="L85" s="32" t="s">
        <v>212</v>
      </c>
      <c r="M85" s="35">
        <v>39188</v>
      </c>
    </row>
    <row r="86" spans="2:13" x14ac:dyDescent="0.15">
      <c r="B86" s="48"/>
      <c r="C86" s="50">
        <v>222</v>
      </c>
      <c r="D86" s="167" t="s">
        <v>506</v>
      </c>
      <c r="E86" s="50">
        <v>10</v>
      </c>
      <c r="F86" s="50">
        <v>15</v>
      </c>
      <c r="G86" s="50" t="s">
        <v>29</v>
      </c>
      <c r="H86" s="56" t="s">
        <v>508</v>
      </c>
      <c r="I86" s="48"/>
      <c r="J86" s="48"/>
      <c r="K86" s="48"/>
      <c r="M86" s="35" t="s">
        <v>507</v>
      </c>
    </row>
    <row r="89" spans="2:13" ht="18" x14ac:dyDescent="0.2">
      <c r="C89" s="276" t="s">
        <v>376</v>
      </c>
      <c r="D89" s="277"/>
      <c r="E89" s="277"/>
      <c r="F89" s="277"/>
      <c r="G89" s="277"/>
      <c r="H89" s="278"/>
      <c r="I89" s="66"/>
      <c r="J89" s="66"/>
      <c r="K89" s="66"/>
    </row>
    <row r="90" spans="2:13" x14ac:dyDescent="0.15">
      <c r="C90" s="18" t="s">
        <v>0</v>
      </c>
      <c r="D90" s="144" t="s">
        <v>2</v>
      </c>
      <c r="E90" s="131" t="s">
        <v>15</v>
      </c>
      <c r="F90" s="61" t="s">
        <v>16</v>
      </c>
      <c r="G90" s="63" t="s">
        <v>421</v>
      </c>
      <c r="H90" s="61" t="s">
        <v>445</v>
      </c>
      <c r="I90" s="65"/>
      <c r="J90" s="65"/>
      <c r="K90" s="65"/>
    </row>
    <row r="91" spans="2:13" x14ac:dyDescent="0.15">
      <c r="B91" s="26" t="s">
        <v>19</v>
      </c>
      <c r="C91" s="54">
        <v>101</v>
      </c>
      <c r="D91" s="68" t="s">
        <v>340</v>
      </c>
      <c r="E91" s="141">
        <f>'6b'!$D$19</f>
        <v>8.9524655853467899E-3</v>
      </c>
      <c r="F91" s="142">
        <f>E91/2</f>
        <v>4.4762327926733949E-3</v>
      </c>
      <c r="G91" s="27" t="s">
        <v>155</v>
      </c>
      <c r="H91" s="55"/>
      <c r="I91" s="48"/>
      <c r="J91" s="48" t="s">
        <v>309</v>
      </c>
      <c r="K91" s="48"/>
      <c r="L91" s="32" t="s">
        <v>212</v>
      </c>
      <c r="M91" s="35">
        <v>39203</v>
      </c>
    </row>
    <row r="92" spans="2:13" x14ac:dyDescent="0.15">
      <c r="B92" s="26" t="s">
        <v>19</v>
      </c>
      <c r="C92" s="55">
        <v>102</v>
      </c>
      <c r="D92" s="68" t="s">
        <v>482</v>
      </c>
      <c r="E92" s="141">
        <f>E91/2</f>
        <v>4.4762327926733949E-3</v>
      </c>
      <c r="F92" s="142">
        <f>F91/2</f>
        <v>2.2381163963366975E-3</v>
      </c>
      <c r="G92" s="27" t="s">
        <v>155</v>
      </c>
      <c r="H92" s="55"/>
      <c r="I92" s="48"/>
      <c r="J92" s="48"/>
      <c r="K92" s="48"/>
      <c r="M92" s="35"/>
    </row>
    <row r="93" spans="2:13" x14ac:dyDescent="0.15">
      <c r="B93" s="26" t="s">
        <v>19</v>
      </c>
      <c r="C93" s="55">
        <v>103</v>
      </c>
      <c r="D93" s="68" t="s">
        <v>418</v>
      </c>
      <c r="E93" s="48">
        <f>'6b'!$B$7</f>
        <v>3.5</v>
      </c>
      <c r="F93" s="55">
        <f>E93*1.5</f>
        <v>5.25</v>
      </c>
      <c r="G93" s="27" t="s">
        <v>38</v>
      </c>
      <c r="H93" s="55"/>
      <c r="I93" s="48"/>
      <c r="J93" s="48"/>
      <c r="K93" s="48"/>
      <c r="M93" s="35"/>
    </row>
    <row r="94" spans="2:13" x14ac:dyDescent="0.15">
      <c r="B94" s="26" t="s">
        <v>19</v>
      </c>
      <c r="C94" s="55">
        <v>104</v>
      </c>
      <c r="D94" s="68" t="s">
        <v>381</v>
      </c>
      <c r="E94" s="48">
        <f>'6b'!$B$8</f>
        <v>1</v>
      </c>
      <c r="F94" s="55">
        <f>E94*1.5</f>
        <v>1.5</v>
      </c>
      <c r="G94" s="27" t="s">
        <v>322</v>
      </c>
      <c r="H94" s="55"/>
      <c r="I94" s="48"/>
      <c r="J94" s="48"/>
      <c r="K94" s="48"/>
      <c r="M94" s="35"/>
    </row>
    <row r="95" spans="2:13" x14ac:dyDescent="0.15">
      <c r="B95" s="26" t="s">
        <v>92</v>
      </c>
      <c r="C95" s="55">
        <v>105</v>
      </c>
      <c r="D95" s="68" t="s">
        <v>480</v>
      </c>
      <c r="E95" s="48">
        <f>'7b'!$D$4</f>
        <v>2</v>
      </c>
      <c r="F95" s="55">
        <f>E95/2</f>
        <v>1</v>
      </c>
      <c r="G95" s="27" t="s">
        <v>27</v>
      </c>
      <c r="H95" s="55"/>
      <c r="I95" s="49"/>
      <c r="J95" s="48" t="s">
        <v>309</v>
      </c>
      <c r="K95" s="49"/>
      <c r="L95" s="32" t="s">
        <v>294</v>
      </c>
      <c r="M95" s="35">
        <v>39188</v>
      </c>
    </row>
    <row r="96" spans="2:13" x14ac:dyDescent="0.15">
      <c r="B96" s="50" t="s">
        <v>184</v>
      </c>
      <c r="C96" s="55">
        <v>106</v>
      </c>
      <c r="D96" s="68" t="s">
        <v>185</v>
      </c>
      <c r="E96" s="49" t="s">
        <v>256</v>
      </c>
      <c r="F96" s="59" t="s">
        <v>257</v>
      </c>
      <c r="G96" s="76" t="s">
        <v>186</v>
      </c>
      <c r="H96" s="59"/>
      <c r="I96" s="48"/>
      <c r="J96" s="48" t="s">
        <v>309</v>
      </c>
      <c r="K96" s="48"/>
    </row>
    <row r="97" spans="2:13" x14ac:dyDescent="0.15">
      <c r="B97" s="48" t="s">
        <v>373</v>
      </c>
      <c r="C97" s="55">
        <v>107</v>
      </c>
      <c r="D97" s="68" t="s">
        <v>392</v>
      </c>
      <c r="E97" s="91">
        <f>'10b'!$C$18</f>
        <v>3.8888888888888888E-3</v>
      </c>
      <c r="F97" s="92">
        <f>E97/2</f>
        <v>1.9444444444444444E-3</v>
      </c>
      <c r="G97" s="27" t="s">
        <v>155</v>
      </c>
      <c r="H97" s="55"/>
      <c r="I97" s="48"/>
      <c r="J97" s="48"/>
      <c r="K97" s="48"/>
    </row>
    <row r="98" spans="2:13" x14ac:dyDescent="0.15">
      <c r="B98" s="32" t="s">
        <v>373</v>
      </c>
      <c r="C98" s="55">
        <v>108</v>
      </c>
      <c r="D98" s="68" t="s">
        <v>415</v>
      </c>
      <c r="E98" s="48">
        <f>'10b'!$C$8</f>
        <v>50</v>
      </c>
      <c r="F98" s="55">
        <f>E98/2</f>
        <v>25</v>
      </c>
      <c r="G98" s="27" t="s">
        <v>364</v>
      </c>
      <c r="H98" s="55"/>
      <c r="I98" s="48"/>
      <c r="J98" s="48"/>
      <c r="K98" s="48"/>
    </row>
    <row r="99" spans="2:13" x14ac:dyDescent="0.15">
      <c r="B99" s="32" t="s">
        <v>373</v>
      </c>
      <c r="C99" s="162">
        <v>109</v>
      </c>
      <c r="D99" s="68" t="s">
        <v>374</v>
      </c>
      <c r="E99" s="48">
        <f>'10b'!$B$14</f>
        <v>100</v>
      </c>
      <c r="F99" s="55">
        <f>E99/2</f>
        <v>50</v>
      </c>
      <c r="G99" s="27" t="s">
        <v>364</v>
      </c>
      <c r="H99" s="55"/>
      <c r="I99" s="48"/>
      <c r="J99" s="48"/>
      <c r="K99" s="48"/>
    </row>
    <row r="100" spans="2:13" x14ac:dyDescent="0.15">
      <c r="C100" s="56">
        <v>110</v>
      </c>
      <c r="D100" s="69" t="s">
        <v>12</v>
      </c>
      <c r="E100" s="52" t="s">
        <v>319</v>
      </c>
      <c r="F100" s="56" t="s">
        <v>116</v>
      </c>
      <c r="G100" s="53" t="s">
        <v>116</v>
      </c>
      <c r="H100" s="56" t="s">
        <v>457</v>
      </c>
      <c r="I100" s="48"/>
      <c r="J100" s="48"/>
      <c r="K100" s="48"/>
    </row>
    <row r="101" spans="2:13" x14ac:dyDescent="0.15">
      <c r="C101" s="48"/>
      <c r="D101" s="47"/>
      <c r="E101" s="48"/>
      <c r="F101" s="48"/>
      <c r="G101" s="48"/>
      <c r="H101" s="48"/>
      <c r="I101" s="48"/>
      <c r="J101" s="48"/>
      <c r="K101" s="48"/>
    </row>
    <row r="102" spans="2:13" x14ac:dyDescent="0.15">
      <c r="C102" s="17"/>
      <c r="D102" s="80"/>
      <c r="E102" s="17"/>
      <c r="F102" s="17"/>
      <c r="G102" s="17"/>
      <c r="H102" s="17"/>
      <c r="I102" s="48"/>
      <c r="J102" s="48"/>
      <c r="K102" s="48"/>
    </row>
    <row r="103" spans="2:13" ht="18" x14ac:dyDescent="0.2">
      <c r="C103" s="276" t="s">
        <v>365</v>
      </c>
      <c r="D103" s="277"/>
      <c r="E103" s="277"/>
      <c r="F103" s="277"/>
      <c r="G103" s="277"/>
      <c r="H103" s="278"/>
      <c r="I103" s="66"/>
      <c r="J103" s="66"/>
      <c r="K103" s="66"/>
    </row>
    <row r="104" spans="2:13" x14ac:dyDescent="0.15">
      <c r="C104" s="279" t="s">
        <v>424</v>
      </c>
      <c r="D104" s="280"/>
      <c r="E104" s="280"/>
      <c r="F104" s="280"/>
      <c r="G104" s="280"/>
      <c r="H104" s="281"/>
      <c r="I104" s="48"/>
      <c r="J104" s="48"/>
      <c r="K104" s="48"/>
    </row>
    <row r="105" spans="2:13" x14ac:dyDescent="0.15">
      <c r="C105" s="143" t="s">
        <v>0</v>
      </c>
      <c r="D105" s="144" t="s">
        <v>2</v>
      </c>
      <c r="E105" s="131" t="s">
        <v>15</v>
      </c>
      <c r="F105" s="61" t="s">
        <v>16</v>
      </c>
      <c r="G105" s="63" t="s">
        <v>421</v>
      </c>
      <c r="H105" s="149" t="s">
        <v>445</v>
      </c>
      <c r="I105" s="48"/>
      <c r="J105" s="48"/>
      <c r="K105" s="48"/>
    </row>
    <row r="106" spans="2:13" x14ac:dyDescent="0.15">
      <c r="B106" s="26" t="s">
        <v>17</v>
      </c>
      <c r="C106" s="55">
        <v>151</v>
      </c>
      <c r="D106" s="68" t="s">
        <v>193</v>
      </c>
      <c r="E106" s="141">
        <f>'4b'!$C$17</f>
        <v>6.8209261325097997E-2</v>
      </c>
      <c r="F106" s="79">
        <f>'4b'!$C$23</f>
        <v>0.102313891987647</v>
      </c>
      <c r="G106" s="48" t="s">
        <v>422</v>
      </c>
      <c r="H106" s="134"/>
      <c r="I106" s="48"/>
      <c r="J106" s="48" t="s">
        <v>309</v>
      </c>
      <c r="K106" s="48"/>
      <c r="L106" s="32" t="s">
        <v>300</v>
      </c>
      <c r="M106" s="35">
        <v>39203</v>
      </c>
    </row>
    <row r="107" spans="2:13" x14ac:dyDescent="0.15">
      <c r="B107" s="26" t="s">
        <v>18</v>
      </c>
      <c r="C107" s="55">
        <v>152</v>
      </c>
      <c r="D107" s="68" t="s">
        <v>366</v>
      </c>
      <c r="E107" s="77">
        <f>'5b'!$C$9</f>
        <v>5.9683103659412183E-6</v>
      </c>
      <c r="F107" s="57">
        <v>3.0000000000000001E-6</v>
      </c>
      <c r="G107" s="48" t="s">
        <v>422</v>
      </c>
      <c r="H107" s="158" t="s">
        <v>473</v>
      </c>
      <c r="I107" s="48"/>
      <c r="J107" s="48" t="s">
        <v>309</v>
      </c>
      <c r="K107" s="48"/>
      <c r="L107" s="32" t="s">
        <v>300</v>
      </c>
      <c r="M107" s="35">
        <v>39203</v>
      </c>
    </row>
    <row r="108" spans="2:13" x14ac:dyDescent="0.15">
      <c r="B108" s="32" t="s">
        <v>323</v>
      </c>
      <c r="C108" s="55">
        <v>153</v>
      </c>
      <c r="D108" s="68" t="s">
        <v>327</v>
      </c>
      <c r="E108" s="73">
        <f>'9b2'!$C$13</f>
        <v>1.4999999999999999E-4</v>
      </c>
      <c r="F108" s="57">
        <f>E108/2</f>
        <v>7.4999999999999993E-5</v>
      </c>
      <c r="G108" s="48" t="s">
        <v>423</v>
      </c>
      <c r="H108" s="158" t="s">
        <v>473</v>
      </c>
      <c r="I108" s="48">
        <v>0.5</v>
      </c>
      <c r="J108" s="48"/>
      <c r="K108" s="48"/>
    </row>
    <row r="109" spans="2:13" x14ac:dyDescent="0.15">
      <c r="C109" s="55">
        <v>154</v>
      </c>
      <c r="D109" s="68" t="s">
        <v>367</v>
      </c>
      <c r="E109" s="48">
        <f>'9b2'!$C$15</f>
        <v>0.5</v>
      </c>
      <c r="F109" s="55">
        <f>E109/2</f>
        <v>0.25</v>
      </c>
      <c r="G109" s="48" t="s">
        <v>402</v>
      </c>
      <c r="H109" s="158" t="s">
        <v>473</v>
      </c>
      <c r="I109" s="48">
        <v>1</v>
      </c>
      <c r="J109" s="48"/>
      <c r="K109" s="48"/>
    </row>
    <row r="110" spans="2:13" x14ac:dyDescent="0.15">
      <c r="C110" s="55">
        <v>155</v>
      </c>
      <c r="D110" s="68" t="s">
        <v>368</v>
      </c>
      <c r="E110" s="48">
        <f>'9b2'!$C$22</f>
        <v>1</v>
      </c>
      <c r="F110" s="55">
        <f>E110/2</f>
        <v>0.5</v>
      </c>
      <c r="G110" s="48" t="s">
        <v>402</v>
      </c>
      <c r="H110" s="158" t="s">
        <v>473</v>
      </c>
      <c r="I110" s="48">
        <v>20</v>
      </c>
      <c r="J110" s="48"/>
      <c r="K110" s="48"/>
    </row>
    <row r="111" spans="2:13" x14ac:dyDescent="0.15">
      <c r="C111" s="55">
        <v>156</v>
      </c>
      <c r="D111" s="68" t="s">
        <v>382</v>
      </c>
      <c r="E111" s="48">
        <f>'9b2'!$D$17</f>
        <v>20</v>
      </c>
      <c r="F111" s="55" t="s">
        <v>116</v>
      </c>
      <c r="G111" s="48" t="s">
        <v>7</v>
      </c>
      <c r="H111" s="55"/>
      <c r="I111" s="48">
        <v>20</v>
      </c>
      <c r="J111" s="48"/>
      <c r="K111" s="48"/>
    </row>
    <row r="112" spans="2:13" x14ac:dyDescent="0.15">
      <c r="B112" s="50" t="s">
        <v>323</v>
      </c>
      <c r="C112" s="56">
        <v>157</v>
      </c>
      <c r="D112" s="69" t="s">
        <v>481</v>
      </c>
      <c r="E112" s="52">
        <v>20</v>
      </c>
      <c r="F112" s="56">
        <v>10</v>
      </c>
      <c r="G112" s="52" t="s">
        <v>72</v>
      </c>
      <c r="H112" s="56"/>
      <c r="J112" s="48"/>
      <c r="K112" s="48"/>
    </row>
    <row r="113" spans="3:14" x14ac:dyDescent="0.15">
      <c r="C113" s="48"/>
      <c r="D113" s="47"/>
      <c r="E113" s="48"/>
      <c r="F113" s="48"/>
      <c r="G113" s="48"/>
      <c r="H113" s="48"/>
      <c r="I113" s="48"/>
      <c r="J113" s="48"/>
      <c r="K113" s="48"/>
    </row>
    <row r="114" spans="3:14" x14ac:dyDescent="0.15">
      <c r="C114" s="48"/>
      <c r="D114" s="47"/>
      <c r="E114" s="48"/>
      <c r="F114" s="48"/>
      <c r="G114" s="48"/>
      <c r="H114" s="48"/>
      <c r="I114" s="48"/>
      <c r="J114" s="48"/>
      <c r="K114" s="48"/>
    </row>
    <row r="115" spans="3:14" x14ac:dyDescent="0.15">
      <c r="C115" s="48"/>
      <c r="D115" s="47"/>
      <c r="E115" s="71">
        <f t="shared" ref="E115:F117" si="0">E97/E108</f>
        <v>25.925925925925927</v>
      </c>
      <c r="F115" s="71">
        <f t="shared" si="0"/>
        <v>25.925925925925927</v>
      </c>
      <c r="G115" s="48"/>
      <c r="H115" s="48"/>
      <c r="I115" s="48"/>
      <c r="J115" s="48"/>
      <c r="K115" s="48"/>
    </row>
    <row r="116" spans="3:14" x14ac:dyDescent="0.15">
      <c r="C116" s="48"/>
      <c r="D116" s="47"/>
      <c r="E116" s="71">
        <f t="shared" si="0"/>
        <v>100</v>
      </c>
      <c r="F116" s="71">
        <f t="shared" si="0"/>
        <v>100</v>
      </c>
      <c r="G116" s="48"/>
      <c r="H116" s="48"/>
      <c r="I116" s="48"/>
      <c r="J116" s="48"/>
      <c r="K116" s="48"/>
    </row>
    <row r="117" spans="3:14" x14ac:dyDescent="0.15">
      <c r="C117" s="48"/>
      <c r="D117" s="47"/>
      <c r="E117" s="71">
        <f t="shared" si="0"/>
        <v>100</v>
      </c>
      <c r="F117" s="71">
        <f t="shared" si="0"/>
        <v>100</v>
      </c>
      <c r="G117" s="48"/>
      <c r="H117" s="48"/>
      <c r="I117" s="48"/>
      <c r="J117" s="48"/>
      <c r="K117" s="48"/>
    </row>
    <row r="118" spans="3:14" x14ac:dyDescent="0.15">
      <c r="C118" s="48"/>
      <c r="D118" s="47"/>
      <c r="E118" s="48"/>
      <c r="F118" s="48"/>
      <c r="G118" s="48"/>
      <c r="H118" s="48"/>
      <c r="I118" s="48"/>
      <c r="J118" s="48"/>
      <c r="K118" s="48"/>
    </row>
    <row r="120" spans="3:14" ht="16" x14ac:dyDescent="0.2">
      <c r="C120" s="282" t="s">
        <v>224</v>
      </c>
      <c r="D120" s="283"/>
      <c r="E120" s="283"/>
      <c r="F120" s="283"/>
      <c r="G120" s="284"/>
    </row>
    <row r="121" spans="3:14" x14ac:dyDescent="0.15">
      <c r="C121" s="28" t="s">
        <v>0</v>
      </c>
      <c r="D121" s="148" t="s">
        <v>2</v>
      </c>
      <c r="E121" s="28" t="s">
        <v>15</v>
      </c>
      <c r="F121" s="58" t="s">
        <v>1</v>
      </c>
      <c r="G121" s="61" t="s">
        <v>445</v>
      </c>
      <c r="N121" s="32" t="s">
        <v>255</v>
      </c>
    </row>
    <row r="122" spans="3:14" x14ac:dyDescent="0.15">
      <c r="C122" s="54">
        <v>301</v>
      </c>
      <c r="D122" s="163" t="s">
        <v>304</v>
      </c>
      <c r="E122" s="54"/>
      <c r="F122" s="155"/>
      <c r="G122" s="54" t="s">
        <v>470</v>
      </c>
    </row>
    <row r="123" spans="3:14" x14ac:dyDescent="0.15">
      <c r="C123" s="55"/>
      <c r="D123" s="47"/>
      <c r="E123" s="62" t="s">
        <v>334</v>
      </c>
      <c r="F123" s="27"/>
      <c r="G123" s="55"/>
    </row>
    <row r="124" spans="3:14" x14ac:dyDescent="0.15">
      <c r="C124" s="55"/>
      <c r="D124" s="47"/>
      <c r="E124" s="62" t="s">
        <v>335</v>
      </c>
      <c r="F124" s="27"/>
      <c r="G124" s="55"/>
    </row>
    <row r="125" spans="3:14" x14ac:dyDescent="0.15">
      <c r="C125" s="55"/>
      <c r="D125" s="47"/>
      <c r="E125" s="62" t="s">
        <v>497</v>
      </c>
      <c r="F125" s="27"/>
      <c r="G125" s="55" t="s">
        <v>496</v>
      </c>
    </row>
    <row r="126" spans="3:14" x14ac:dyDescent="0.15">
      <c r="C126" s="54">
        <v>302</v>
      </c>
      <c r="D126" s="163" t="s">
        <v>333</v>
      </c>
      <c r="E126" s="54"/>
      <c r="F126" s="155"/>
      <c r="G126" s="54"/>
    </row>
    <row r="127" spans="3:14" x14ac:dyDescent="0.15">
      <c r="C127" s="55"/>
      <c r="D127" s="60" t="s">
        <v>694</v>
      </c>
      <c r="E127" s="55" t="s">
        <v>695</v>
      </c>
      <c r="F127" s="27" t="s">
        <v>305</v>
      </c>
      <c r="G127" s="55"/>
      <c r="L127" s="32" t="s">
        <v>303</v>
      </c>
    </row>
    <row r="128" spans="3:14" x14ac:dyDescent="0.15">
      <c r="C128" s="56"/>
      <c r="D128" s="164" t="s">
        <v>696</v>
      </c>
      <c r="E128" s="56" t="s">
        <v>698</v>
      </c>
      <c r="F128" s="53" t="s">
        <v>305</v>
      </c>
      <c r="G128" s="56"/>
      <c r="L128" s="32" t="s">
        <v>303</v>
      </c>
    </row>
    <row r="129" spans="3:7" x14ac:dyDescent="0.15">
      <c r="C129" s="50"/>
      <c r="D129" s="51" t="s">
        <v>697</v>
      </c>
      <c r="E129" s="52"/>
      <c r="F129" s="53"/>
      <c r="G129" s="56" t="s">
        <v>472</v>
      </c>
    </row>
    <row r="132" spans="3:7" x14ac:dyDescent="0.15">
      <c r="D132" s="33" t="s">
        <v>208</v>
      </c>
    </row>
    <row r="133" spans="3:7" x14ac:dyDescent="0.15">
      <c r="C133" s="32" t="s">
        <v>207</v>
      </c>
      <c r="D133" s="33" t="s">
        <v>209</v>
      </c>
    </row>
    <row r="134" spans="3:7" x14ac:dyDescent="0.15">
      <c r="C134" s="32" t="s">
        <v>213</v>
      </c>
      <c r="D134" s="33" t="s">
        <v>214</v>
      </c>
    </row>
    <row r="135" spans="3:7" x14ac:dyDescent="0.15">
      <c r="C135" s="32" t="s">
        <v>40</v>
      </c>
      <c r="D135" s="33" t="s">
        <v>221</v>
      </c>
      <c r="E135" s="36"/>
    </row>
    <row r="136" spans="3:7" x14ac:dyDescent="0.15">
      <c r="C136" s="32" t="s">
        <v>277</v>
      </c>
      <c r="D136" s="45" t="s">
        <v>299</v>
      </c>
      <c r="E136" s="36"/>
    </row>
  </sheetData>
  <mergeCells count="8">
    <mergeCell ref="C2:H2"/>
    <mergeCell ref="C25:H25"/>
    <mergeCell ref="C104:H104"/>
    <mergeCell ref="C120:G120"/>
    <mergeCell ref="C41:H41"/>
    <mergeCell ref="C63:H63"/>
    <mergeCell ref="C89:H89"/>
    <mergeCell ref="C103:H103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6"/>
  <sheetViews>
    <sheetView workbookViewId="0"/>
  </sheetViews>
  <sheetFormatPr baseColWidth="10" defaultColWidth="8.83203125" defaultRowHeight="13" x14ac:dyDescent="0.15"/>
  <cols>
    <col min="2" max="2" width="24.83203125" customWidth="1"/>
  </cols>
  <sheetData>
    <row r="3" spans="1:4" x14ac:dyDescent="0.15">
      <c r="B3" t="s">
        <v>671</v>
      </c>
    </row>
    <row r="5" spans="1:4" x14ac:dyDescent="0.15">
      <c r="A5" t="s">
        <v>529</v>
      </c>
      <c r="B5" t="s">
        <v>673</v>
      </c>
      <c r="C5">
        <v>1937</v>
      </c>
      <c r="D5" t="s">
        <v>29</v>
      </c>
    </row>
    <row r="6" spans="1:4" x14ac:dyDescent="0.15">
      <c r="A6" t="s">
        <v>57</v>
      </c>
      <c r="B6" t="s">
        <v>672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4"/>
  <sheetViews>
    <sheetView workbookViewId="0"/>
  </sheetViews>
  <sheetFormatPr baseColWidth="10" defaultColWidth="8.83203125" defaultRowHeight="13" x14ac:dyDescent="0.15"/>
  <cols>
    <col min="2" max="2" width="26.1640625" customWidth="1"/>
    <col min="4" max="4" width="8.6640625" customWidth="1"/>
    <col min="5" max="5" width="15.5" customWidth="1"/>
  </cols>
  <sheetData>
    <row r="2" spans="2:5" x14ac:dyDescent="0.15">
      <c r="B2" t="s">
        <v>660</v>
      </c>
      <c r="C2">
        <v>1.357</v>
      </c>
      <c r="D2" t="s">
        <v>661</v>
      </c>
      <c r="E2" t="s">
        <v>662</v>
      </c>
    </row>
    <row r="3" spans="2:5" ht="21.75" customHeight="1" x14ac:dyDescent="0.15">
      <c r="B3" t="s">
        <v>663</v>
      </c>
      <c r="C3">
        <v>1.9379999999999999</v>
      </c>
      <c r="D3" t="s">
        <v>661</v>
      </c>
      <c r="E3" t="s">
        <v>664</v>
      </c>
    </row>
    <row r="4" spans="2:5" x14ac:dyDescent="0.15">
      <c r="B4" t="s">
        <v>665</v>
      </c>
      <c r="C4">
        <f>C3-C2</f>
        <v>0.58099999999999996</v>
      </c>
      <c r="D4" t="s">
        <v>661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D6"/>
  <sheetViews>
    <sheetView workbookViewId="0"/>
  </sheetViews>
  <sheetFormatPr baseColWidth="10" defaultColWidth="8.83203125" defaultRowHeight="13" x14ac:dyDescent="0.15"/>
  <cols>
    <col min="2" max="2" width="20.33203125" customWidth="1"/>
  </cols>
  <sheetData>
    <row r="4" spans="2:4" x14ac:dyDescent="0.15">
      <c r="B4" t="str">
        <f>'10'!B4</f>
        <v>CG to Rotator Fange</v>
      </c>
      <c r="C4">
        <f>'10'!C4</f>
        <v>0.58099999999999996</v>
      </c>
      <c r="D4" t="str">
        <f>'10'!D4</f>
        <v>m</v>
      </c>
    </row>
    <row r="5" spans="2:4" x14ac:dyDescent="0.15">
      <c r="B5" t="str">
        <f>'Req (rearranged)'!D76</f>
        <v>Cylindrical Design Envelope  Length</v>
      </c>
      <c r="C5">
        <f>'Req (rearranged)'!E76</f>
        <v>0.82</v>
      </c>
    </row>
    <row r="6" spans="2:4" x14ac:dyDescent="0.15">
      <c r="C6">
        <f>C4+C5</f>
        <v>1.4009999999999998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O31"/>
  <sheetViews>
    <sheetView workbookViewId="0"/>
  </sheetViews>
  <sheetFormatPr baseColWidth="10" defaultColWidth="9.1640625" defaultRowHeight="13" x14ac:dyDescent="0.15"/>
  <cols>
    <col min="1" max="2" width="9.1640625" style="17"/>
    <col min="3" max="3" width="19" style="17" customWidth="1"/>
    <col min="4" max="4" width="10.6640625" style="17" customWidth="1"/>
    <col min="5" max="5" width="12.83203125" style="17" customWidth="1"/>
    <col min="6" max="6" width="10.6640625" style="17" customWidth="1"/>
    <col min="7" max="7" width="2.5" style="17" customWidth="1"/>
    <col min="8" max="13" width="9.1640625" style="17"/>
    <col min="14" max="14" width="8.5" style="17" customWidth="1"/>
    <col min="15" max="16384" width="9.1640625" style="17"/>
  </cols>
  <sheetData>
    <row r="2" spans="3:6" ht="16" x14ac:dyDescent="0.2">
      <c r="C2" s="293" t="s">
        <v>575</v>
      </c>
      <c r="D2" s="294"/>
      <c r="E2" s="294"/>
      <c r="F2" s="295"/>
    </row>
    <row r="3" spans="3:6" x14ac:dyDescent="0.15">
      <c r="C3" s="220" t="s">
        <v>576</v>
      </c>
      <c r="D3" s="18" t="s">
        <v>577</v>
      </c>
      <c r="E3" s="149" t="s">
        <v>578</v>
      </c>
      <c r="F3" s="152" t="s">
        <v>577</v>
      </c>
    </row>
    <row r="4" spans="3:6" x14ac:dyDescent="0.15">
      <c r="C4" s="220" t="s">
        <v>579</v>
      </c>
      <c r="D4" s="220" t="s">
        <v>580</v>
      </c>
      <c r="E4" s="21" t="s">
        <v>581</v>
      </c>
      <c r="F4" s="221" t="s">
        <v>582</v>
      </c>
    </row>
    <row r="5" spans="3:6" x14ac:dyDescent="0.15">
      <c r="C5" s="222" t="s">
        <v>86</v>
      </c>
      <c r="D5" s="223">
        <v>3242</v>
      </c>
      <c r="E5" s="224">
        <v>1</v>
      </c>
      <c r="F5" s="225">
        <f t="shared" ref="F5:F10" si="0">D5*E5</f>
        <v>3242</v>
      </c>
    </row>
    <row r="6" spans="3:6" x14ac:dyDescent="0.15">
      <c r="C6" s="150" t="s">
        <v>583</v>
      </c>
      <c r="D6" s="226">
        <v>6200</v>
      </c>
      <c r="E6" s="227">
        <v>1</v>
      </c>
      <c r="F6" s="228">
        <f t="shared" si="0"/>
        <v>6200</v>
      </c>
    </row>
    <row r="7" spans="3:6" x14ac:dyDescent="0.15">
      <c r="C7" s="150" t="s">
        <v>584</v>
      </c>
      <c r="D7" s="229">
        <v>5</v>
      </c>
      <c r="E7" s="227">
        <v>102</v>
      </c>
      <c r="F7" s="228">
        <f t="shared" si="0"/>
        <v>510</v>
      </c>
    </row>
    <row r="8" spans="3:6" x14ac:dyDescent="0.15">
      <c r="C8" s="150" t="s">
        <v>585</v>
      </c>
      <c r="D8" s="226">
        <v>30</v>
      </c>
      <c r="E8" s="227">
        <v>6</v>
      </c>
      <c r="F8" s="228">
        <f t="shared" si="0"/>
        <v>180</v>
      </c>
    </row>
    <row r="9" spans="3:6" x14ac:dyDescent="0.15">
      <c r="C9" s="150" t="s">
        <v>586</v>
      </c>
      <c r="D9" s="226">
        <v>350</v>
      </c>
      <c r="E9" s="227">
        <v>1</v>
      </c>
      <c r="F9" s="228">
        <f t="shared" si="0"/>
        <v>350</v>
      </c>
    </row>
    <row r="10" spans="3:6" x14ac:dyDescent="0.15">
      <c r="C10" s="230" t="s">
        <v>587</v>
      </c>
      <c r="D10" s="231">
        <f>0.125*SUM(D4:D9)/6</f>
        <v>204.72916666666666</v>
      </c>
      <c r="E10" s="232">
        <v>6</v>
      </c>
      <c r="F10" s="233">
        <f t="shared" si="0"/>
        <v>1228.375</v>
      </c>
    </row>
    <row r="11" spans="3:6" x14ac:dyDescent="0.15">
      <c r="C11" s="50"/>
      <c r="D11" s="231"/>
      <c r="E11" s="234" t="s">
        <v>89</v>
      </c>
      <c r="F11" s="233">
        <f>SUM(F5:F10)</f>
        <v>11710.375</v>
      </c>
    </row>
    <row r="16" spans="3:6" ht="16" x14ac:dyDescent="0.2">
      <c r="C16" s="296" t="s">
        <v>588</v>
      </c>
      <c r="D16" s="297"/>
      <c r="E16" s="297"/>
      <c r="F16" s="298"/>
    </row>
    <row r="17" spans="3:15" x14ac:dyDescent="0.15">
      <c r="C17" s="220" t="s">
        <v>576</v>
      </c>
      <c r="D17" s="18" t="s">
        <v>577</v>
      </c>
      <c r="E17" s="149" t="s">
        <v>578</v>
      </c>
      <c r="F17" s="152" t="s">
        <v>577</v>
      </c>
      <c r="H17" s="17" t="s">
        <v>589</v>
      </c>
      <c r="L17" s="17" t="s">
        <v>590</v>
      </c>
    </row>
    <row r="18" spans="3:15" x14ac:dyDescent="0.15">
      <c r="C18" s="220" t="s">
        <v>591</v>
      </c>
      <c r="D18" s="220" t="s">
        <v>580</v>
      </c>
      <c r="E18" s="21" t="s">
        <v>581</v>
      </c>
      <c r="F18" s="221" t="s">
        <v>582</v>
      </c>
      <c r="H18" s="17" t="s">
        <v>592</v>
      </c>
      <c r="I18" s="17" t="s">
        <v>593</v>
      </c>
      <c r="J18" s="17" t="s">
        <v>594</v>
      </c>
      <c r="K18" s="17" t="s">
        <v>595</v>
      </c>
      <c r="L18" s="17" t="s">
        <v>53</v>
      </c>
      <c r="O18" s="17" t="s">
        <v>596</v>
      </c>
    </row>
    <row r="19" spans="3:15" x14ac:dyDescent="0.15">
      <c r="C19" s="222" t="s">
        <v>86</v>
      </c>
      <c r="D19" s="223">
        <v>1574</v>
      </c>
      <c r="E19" s="224">
        <v>1</v>
      </c>
      <c r="F19" s="225">
        <f t="shared" ref="F19:F25" si="1">D19*E19</f>
        <v>1574</v>
      </c>
      <c r="H19" s="17">
        <v>0.71</v>
      </c>
      <c r="I19" s="17">
        <v>2210</v>
      </c>
      <c r="J19" s="17">
        <v>-0.5</v>
      </c>
      <c r="K19" s="17">
        <f t="shared" ref="K19:K24" si="2">J19/0.0254</f>
        <v>-19.685039370078741</v>
      </c>
      <c r="L19" s="25">
        <f t="shared" ref="L19:L24" si="3">F19/(386*0.454)</f>
        <v>8.9817625710438023</v>
      </c>
      <c r="M19" s="17" t="s">
        <v>597</v>
      </c>
      <c r="O19" s="17">
        <f t="shared" ref="O19:O24" si="4">F19*J19</f>
        <v>-787</v>
      </c>
    </row>
    <row r="20" spans="3:15" x14ac:dyDescent="0.15">
      <c r="C20" s="150" t="s">
        <v>583</v>
      </c>
      <c r="D20" s="226">
        <v>2752</v>
      </c>
      <c r="E20" s="227">
        <v>1</v>
      </c>
      <c r="F20" s="228">
        <f t="shared" si="1"/>
        <v>2752</v>
      </c>
      <c r="H20" s="17">
        <v>0.35</v>
      </c>
      <c r="I20" s="17">
        <v>7800</v>
      </c>
      <c r="J20" s="17">
        <v>-0.23</v>
      </c>
      <c r="K20" s="17">
        <f t="shared" si="2"/>
        <v>-9.0551181102362204</v>
      </c>
      <c r="L20" s="25">
        <f t="shared" si="3"/>
        <v>15.703818675675059</v>
      </c>
      <c r="M20" s="17" t="s">
        <v>597</v>
      </c>
      <c r="O20" s="17">
        <f t="shared" si="4"/>
        <v>-632.96</v>
      </c>
    </row>
    <row r="21" spans="3:15" x14ac:dyDescent="0.15">
      <c r="C21" s="150" t="s">
        <v>584</v>
      </c>
      <c r="D21" s="229">
        <v>2.2999999999999998</v>
      </c>
      <c r="E21" s="227">
        <v>72</v>
      </c>
      <c r="F21" s="228">
        <f t="shared" si="1"/>
        <v>165.6</v>
      </c>
      <c r="J21" s="17">
        <v>-0.28999999999999998</v>
      </c>
      <c r="K21" s="17">
        <f t="shared" si="2"/>
        <v>-11.417322834645669</v>
      </c>
      <c r="L21" s="25">
        <f t="shared" si="3"/>
        <v>0.94496815868160966</v>
      </c>
      <c r="M21" s="17" t="s">
        <v>598</v>
      </c>
      <c r="O21" s="17">
        <f t="shared" si="4"/>
        <v>-48.023999999999994</v>
      </c>
    </row>
    <row r="22" spans="3:15" x14ac:dyDescent="0.15">
      <c r="C22" s="150" t="s">
        <v>585</v>
      </c>
      <c r="D22" s="226">
        <f>D8*0.454</f>
        <v>13.620000000000001</v>
      </c>
      <c r="E22" s="227">
        <v>6</v>
      </c>
      <c r="F22" s="228">
        <f t="shared" si="1"/>
        <v>81.72</v>
      </c>
      <c r="J22" s="17">
        <f>-0.37+-0.09/2</f>
        <v>-0.41499999999999998</v>
      </c>
      <c r="K22" s="17">
        <f t="shared" si="2"/>
        <v>-16.338582677165356</v>
      </c>
      <c r="L22" s="25">
        <f t="shared" si="3"/>
        <v>0.46632124352331605</v>
      </c>
      <c r="M22" s="17" t="s">
        <v>598</v>
      </c>
      <c r="O22" s="17">
        <f t="shared" si="4"/>
        <v>-33.913799999999995</v>
      </c>
    </row>
    <row r="23" spans="3:15" x14ac:dyDescent="0.15">
      <c r="C23" s="150" t="s">
        <v>599</v>
      </c>
      <c r="D23" s="226">
        <v>103.45</v>
      </c>
      <c r="E23" s="227">
        <v>1</v>
      </c>
      <c r="F23" s="228">
        <f t="shared" si="1"/>
        <v>103.45</v>
      </c>
      <c r="H23" s="17">
        <v>0.04</v>
      </c>
      <c r="I23" s="17">
        <v>2700</v>
      </c>
      <c r="J23" s="17">
        <v>-0.57999999999999996</v>
      </c>
      <c r="K23" s="17">
        <f t="shared" si="2"/>
        <v>-22.834645669291337</v>
      </c>
      <c r="L23" s="25">
        <f t="shared" si="3"/>
        <v>0.59031978270297414</v>
      </c>
      <c r="M23" s="17" t="s">
        <v>597</v>
      </c>
      <c r="O23" s="17">
        <f t="shared" si="4"/>
        <v>-60.000999999999998</v>
      </c>
    </row>
    <row r="24" spans="3:15" x14ac:dyDescent="0.15">
      <c r="C24" s="150" t="s">
        <v>600</v>
      </c>
      <c r="D24" s="226">
        <v>90.44</v>
      </c>
      <c r="E24" s="227">
        <v>2</v>
      </c>
      <c r="F24" s="228">
        <f t="shared" si="1"/>
        <v>180.88</v>
      </c>
      <c r="H24" s="17">
        <v>0.03</v>
      </c>
      <c r="I24" s="17">
        <v>2700</v>
      </c>
      <c r="J24" s="17">
        <v>-0.88</v>
      </c>
      <c r="K24" s="17">
        <f t="shared" si="2"/>
        <v>-34.645669291338585</v>
      </c>
      <c r="L24" s="25">
        <f t="shared" si="3"/>
        <v>1.0321608728401543</v>
      </c>
      <c r="M24" s="17" t="s">
        <v>597</v>
      </c>
      <c r="O24" s="17">
        <f t="shared" si="4"/>
        <v>-159.17439999999999</v>
      </c>
    </row>
    <row r="25" spans="3:15" x14ac:dyDescent="0.15">
      <c r="C25" s="230" t="s">
        <v>587</v>
      </c>
      <c r="D25" s="231">
        <v>60</v>
      </c>
      <c r="E25" s="232">
        <v>6</v>
      </c>
      <c r="F25" s="233">
        <f t="shared" si="1"/>
        <v>360</v>
      </c>
      <c r="L25" s="235">
        <f>F25/(386*0.454)/12</f>
        <v>0.17118988381913217</v>
      </c>
      <c r="M25" s="17" t="s">
        <v>601</v>
      </c>
      <c r="N25" s="17" t="s">
        <v>594</v>
      </c>
      <c r="O25" s="17">
        <f>SUM(O19:O24)/F28</f>
        <v>-0.35430160674400163</v>
      </c>
    </row>
    <row r="26" spans="3:15" x14ac:dyDescent="0.15">
      <c r="C26" s="230"/>
      <c r="D26" s="231"/>
      <c r="E26" s="232"/>
      <c r="F26" s="233"/>
    </row>
    <row r="27" spans="3:15" x14ac:dyDescent="0.15">
      <c r="C27" s="50"/>
      <c r="D27" s="231"/>
      <c r="E27" s="234" t="s">
        <v>89</v>
      </c>
      <c r="F27" s="233">
        <f>SUM(F19:F25)</f>
        <v>5217.6500000000005</v>
      </c>
    </row>
    <row r="28" spans="3:15" x14ac:dyDescent="0.15">
      <c r="E28" s="22" t="s">
        <v>602</v>
      </c>
      <c r="F28" s="236">
        <f>SUM(F19:F24)</f>
        <v>4857.6500000000005</v>
      </c>
    </row>
    <row r="29" spans="3:15" x14ac:dyDescent="0.15">
      <c r="E29" s="17" t="s">
        <v>90</v>
      </c>
      <c r="F29" s="237">
        <v>5000</v>
      </c>
    </row>
    <row r="31" spans="3:15" x14ac:dyDescent="0.15">
      <c r="C31" s="17" t="s">
        <v>603</v>
      </c>
    </row>
  </sheetData>
  <mergeCells count="2">
    <mergeCell ref="C2:F2"/>
    <mergeCell ref="C16:F16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9"/>
  <sheetViews>
    <sheetView workbookViewId="0"/>
  </sheetViews>
  <sheetFormatPr baseColWidth="10" defaultColWidth="8.83203125" defaultRowHeight="13" x14ac:dyDescent="0.15"/>
  <cols>
    <col min="2" max="2" width="16.6640625" bestFit="1" customWidth="1"/>
  </cols>
  <sheetData>
    <row r="2" spans="2:7" x14ac:dyDescent="0.15">
      <c r="C2" t="s">
        <v>348</v>
      </c>
      <c r="D2" t="s">
        <v>349</v>
      </c>
      <c r="E2" t="s">
        <v>350</v>
      </c>
    </row>
    <row r="3" spans="2:7" x14ac:dyDescent="0.15">
      <c r="B3" t="s">
        <v>351</v>
      </c>
      <c r="C3">
        <v>115</v>
      </c>
      <c r="D3" s="3">
        <f>C3/0.454</f>
        <v>253.30396475770925</v>
      </c>
      <c r="E3" s="2">
        <f t="shared" ref="E3:E9" si="0">D3/382</f>
        <v>0.66309938418248493</v>
      </c>
    </row>
    <row r="4" spans="2:7" x14ac:dyDescent="0.15">
      <c r="B4" t="s">
        <v>352</v>
      </c>
      <c r="C4">
        <v>240</v>
      </c>
      <c r="D4" s="3">
        <f>C4/0.454</f>
        <v>528.63436123348015</v>
      </c>
      <c r="E4" s="2">
        <f t="shared" si="0"/>
        <v>1.3838595843808381</v>
      </c>
      <c r="G4">
        <f>E4/12</f>
        <v>0.11532163203173651</v>
      </c>
    </row>
    <row r="5" spans="2:7" x14ac:dyDescent="0.15">
      <c r="B5" t="s">
        <v>353</v>
      </c>
      <c r="C5">
        <v>100</v>
      </c>
      <c r="D5" s="3">
        <f>C5/0.454</f>
        <v>220.26431718061673</v>
      </c>
      <c r="E5" s="2">
        <f t="shared" si="0"/>
        <v>0.57660816015868255</v>
      </c>
    </row>
    <row r="6" spans="2:7" x14ac:dyDescent="0.15">
      <c r="B6" t="s">
        <v>354</v>
      </c>
      <c r="C6" s="3">
        <f>D6*0.454</f>
        <v>140.74</v>
      </c>
      <c r="D6">
        <v>310</v>
      </c>
      <c r="E6" s="2">
        <f t="shared" si="0"/>
        <v>0.81151832460732987</v>
      </c>
    </row>
    <row r="7" spans="2:7" x14ac:dyDescent="0.15">
      <c r="B7" t="s">
        <v>355</v>
      </c>
      <c r="C7">
        <v>100</v>
      </c>
      <c r="D7" s="3">
        <f>C7/0.454</f>
        <v>220.26431718061673</v>
      </c>
      <c r="E7" s="2">
        <f t="shared" si="0"/>
        <v>0.57660816015868255</v>
      </c>
    </row>
    <row r="8" spans="2:7" x14ac:dyDescent="0.15">
      <c r="B8" t="s">
        <v>356</v>
      </c>
      <c r="C8">
        <v>30</v>
      </c>
      <c r="D8" s="3">
        <f>C8/0.454</f>
        <v>66.079295154185019</v>
      </c>
      <c r="E8" s="2">
        <f t="shared" si="0"/>
        <v>0.17298244804760476</v>
      </c>
    </row>
    <row r="9" spans="2:7" x14ac:dyDescent="0.15">
      <c r="B9" t="s">
        <v>357</v>
      </c>
      <c r="C9" s="3">
        <v>74</v>
      </c>
      <c r="D9" s="3">
        <f>0.1*SUM(D3:D8)</f>
        <v>159.85462555066078</v>
      </c>
      <c r="E9" s="2">
        <f t="shared" si="0"/>
        <v>0.41846760615356227</v>
      </c>
    </row>
    <row r="10" spans="2:7" x14ac:dyDescent="0.15">
      <c r="B10" t="s">
        <v>89</v>
      </c>
      <c r="C10" s="3">
        <f>SUM(C3:C9)</f>
        <v>799.74</v>
      </c>
      <c r="D10" s="3">
        <f>SUM(D3:D9)</f>
        <v>1758.4008810572686</v>
      </c>
      <c r="E10" s="3">
        <f>SUM(E3:E9)</f>
        <v>4.603143667689185</v>
      </c>
    </row>
    <row r="17" spans="4:5" x14ac:dyDescent="0.15">
      <c r="E17" s="2"/>
    </row>
    <row r="19" spans="4:5" x14ac:dyDescent="0.15">
      <c r="D19" s="3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C11"/>
  <sheetViews>
    <sheetView workbookViewId="0"/>
  </sheetViews>
  <sheetFormatPr baseColWidth="10" defaultColWidth="8.83203125" defaultRowHeight="13" x14ac:dyDescent="0.15"/>
  <cols>
    <col min="3" max="3" width="53.6640625" customWidth="1"/>
  </cols>
  <sheetData>
    <row r="3" spans="3:3" x14ac:dyDescent="0.15">
      <c r="C3" s="4" t="s">
        <v>217</v>
      </c>
    </row>
    <row r="4" spans="3:3" x14ac:dyDescent="0.15">
      <c r="C4" t="s">
        <v>218</v>
      </c>
    </row>
    <row r="5" spans="3:3" x14ac:dyDescent="0.15">
      <c r="C5" t="s">
        <v>219</v>
      </c>
    </row>
    <row r="7" spans="3:3" x14ac:dyDescent="0.15">
      <c r="C7" t="s">
        <v>605</v>
      </c>
    </row>
    <row r="8" spans="3:3" x14ac:dyDescent="0.15">
      <c r="C8" t="s">
        <v>606</v>
      </c>
    </row>
    <row r="10" spans="3:3" x14ac:dyDescent="0.15">
      <c r="C10" t="s">
        <v>607</v>
      </c>
    </row>
    <row r="11" spans="3:3" x14ac:dyDescent="0.15">
      <c r="C11" t="s">
        <v>608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E32"/>
  <sheetViews>
    <sheetView workbookViewId="0">
      <selection activeCell="I13" sqref="I13"/>
    </sheetView>
  </sheetViews>
  <sheetFormatPr baseColWidth="10" defaultColWidth="8.83203125" defaultRowHeight="13" x14ac:dyDescent="0.15"/>
  <cols>
    <col min="2" max="2" width="14.5" customWidth="1"/>
    <col min="3" max="3" width="11" customWidth="1"/>
    <col min="4" max="4" width="11.5" bestFit="1" customWidth="1"/>
  </cols>
  <sheetData>
    <row r="1" spans="2:5" x14ac:dyDescent="0.15">
      <c r="B1" s="4" t="s">
        <v>33</v>
      </c>
    </row>
    <row r="3" spans="2:5" x14ac:dyDescent="0.15">
      <c r="B3" s="4" t="s">
        <v>25</v>
      </c>
      <c r="C3" t="s">
        <v>529</v>
      </c>
      <c r="D3" t="s">
        <v>536</v>
      </c>
    </row>
    <row r="4" spans="2:5" x14ac:dyDescent="0.15">
      <c r="B4" t="s">
        <v>281</v>
      </c>
      <c r="C4">
        <v>5.25</v>
      </c>
      <c r="D4">
        <v>5.25</v>
      </c>
      <c r="E4" t="s">
        <v>38</v>
      </c>
    </row>
    <row r="5" spans="2:5" x14ac:dyDescent="0.15">
      <c r="B5" t="s">
        <v>282</v>
      </c>
      <c r="C5">
        <v>90</v>
      </c>
      <c r="D5">
        <v>90</v>
      </c>
      <c r="E5" t="s">
        <v>283</v>
      </c>
    </row>
    <row r="6" spans="2:5" x14ac:dyDescent="0.15">
      <c r="B6" t="s">
        <v>26</v>
      </c>
      <c r="C6" s="11">
        <f>C5/C4</f>
        <v>17.142857142857142</v>
      </c>
      <c r="D6" s="11">
        <f>D5/D4</f>
        <v>17.142857142857142</v>
      </c>
    </row>
    <row r="7" spans="2:5" x14ac:dyDescent="0.15">
      <c r="B7" t="s">
        <v>28</v>
      </c>
      <c r="C7" s="11">
        <v>2.6</v>
      </c>
      <c r="D7">
        <v>1.82</v>
      </c>
      <c r="E7" t="s">
        <v>29</v>
      </c>
    </row>
    <row r="8" spans="2:5" x14ac:dyDescent="0.15">
      <c r="B8" t="s">
        <v>30</v>
      </c>
      <c r="C8" s="11">
        <f>C7/C6</f>
        <v>0.15166666666666667</v>
      </c>
      <c r="D8" s="11">
        <f>D7/D6</f>
        <v>0.10616666666666667</v>
      </c>
      <c r="E8" t="s">
        <v>31</v>
      </c>
    </row>
    <row r="9" spans="2:5" x14ac:dyDescent="0.15">
      <c r="C9" s="11">
        <f>C8*1000</f>
        <v>151.66666666666669</v>
      </c>
      <c r="D9" s="11">
        <f>D8*1000</f>
        <v>106.16666666666667</v>
      </c>
      <c r="E9" t="s">
        <v>32</v>
      </c>
    </row>
    <row r="10" spans="2:5" x14ac:dyDescent="0.15">
      <c r="C10" s="11"/>
    </row>
    <row r="11" spans="2:5" x14ac:dyDescent="0.15">
      <c r="B11" s="4" t="s">
        <v>644</v>
      </c>
    </row>
    <row r="12" spans="2:5" x14ac:dyDescent="0.15">
      <c r="B12" t="s">
        <v>280</v>
      </c>
      <c r="C12">
        <v>3.5</v>
      </c>
      <c r="D12">
        <v>3.5</v>
      </c>
      <c r="E12" t="s">
        <v>155</v>
      </c>
    </row>
    <row r="13" spans="2:5" x14ac:dyDescent="0.15">
      <c r="C13">
        <f>C12*PI()/180</f>
        <v>6.1086523819801536E-2</v>
      </c>
      <c r="D13">
        <f>D12*PI()/180</f>
        <v>6.1086523819801536E-2</v>
      </c>
      <c r="E13" t="s">
        <v>173</v>
      </c>
    </row>
    <row r="14" spans="2:5" x14ac:dyDescent="0.15">
      <c r="B14" t="s">
        <v>645</v>
      </c>
      <c r="C14">
        <f>C13</f>
        <v>6.1086523819801536E-2</v>
      </c>
      <c r="D14">
        <f>D13</f>
        <v>6.1086523819801536E-2</v>
      </c>
      <c r="E14" t="s">
        <v>646</v>
      </c>
    </row>
    <row r="15" spans="2:5" x14ac:dyDescent="0.15">
      <c r="B15" t="s">
        <v>647</v>
      </c>
      <c r="C15">
        <f>C7*C14</f>
        <v>0.15882496193148399</v>
      </c>
      <c r="D15">
        <f>D7*D14</f>
        <v>0.1111774733520388</v>
      </c>
      <c r="E15" t="s">
        <v>29</v>
      </c>
    </row>
    <row r="16" spans="2:5" x14ac:dyDescent="0.15">
      <c r="B16" t="s">
        <v>648</v>
      </c>
      <c r="C16">
        <v>2</v>
      </c>
      <c r="D16">
        <v>2</v>
      </c>
      <c r="E16" t="s">
        <v>27</v>
      </c>
    </row>
    <row r="17" spans="2:5" x14ac:dyDescent="0.15">
      <c r="B17" t="s">
        <v>30</v>
      </c>
      <c r="C17">
        <f>C15/C16</f>
        <v>7.9412480965741994E-2</v>
      </c>
      <c r="D17">
        <f>D15/D16</f>
        <v>5.55887366760194E-2</v>
      </c>
      <c r="E17" t="s">
        <v>31</v>
      </c>
    </row>
    <row r="18" spans="2:5" x14ac:dyDescent="0.15">
      <c r="C18">
        <f>C17*1000</f>
        <v>79.412480965741992</v>
      </c>
      <c r="D18">
        <f>D17*1000</f>
        <v>55.588736676019401</v>
      </c>
      <c r="E18" t="s">
        <v>649</v>
      </c>
    </row>
    <row r="20" spans="2:5" x14ac:dyDescent="0.15">
      <c r="B20" s="4" t="s">
        <v>96</v>
      </c>
      <c r="C20" s="11"/>
    </row>
    <row r="21" spans="2:5" x14ac:dyDescent="0.15">
      <c r="B21" t="s">
        <v>26</v>
      </c>
      <c r="C21" s="11">
        <v>120</v>
      </c>
      <c r="E21" t="s">
        <v>284</v>
      </c>
    </row>
    <row r="22" spans="2:5" x14ac:dyDescent="0.15">
      <c r="B22" t="s">
        <v>285</v>
      </c>
      <c r="C22" s="11">
        <f>'3'!D6</f>
        <v>4.09</v>
      </c>
      <c r="E22" t="s">
        <v>29</v>
      </c>
    </row>
    <row r="23" spans="2:5" x14ac:dyDescent="0.15">
      <c r="B23" t="s">
        <v>286</v>
      </c>
      <c r="C23" s="11">
        <f>C22/C21</f>
        <v>3.4083333333333334E-2</v>
      </c>
      <c r="E23" t="s">
        <v>31</v>
      </c>
    </row>
    <row r="24" spans="2:5" x14ac:dyDescent="0.15">
      <c r="C24" s="11">
        <f>C23*1000</f>
        <v>34.083333333333336</v>
      </c>
      <c r="E24" t="s">
        <v>32</v>
      </c>
    </row>
    <row r="26" spans="2:5" x14ac:dyDescent="0.15">
      <c r="B26" t="s">
        <v>287</v>
      </c>
    </row>
    <row r="28" spans="2:5" x14ac:dyDescent="0.15">
      <c r="B28" t="s">
        <v>650</v>
      </c>
      <c r="C28">
        <v>1</v>
      </c>
      <c r="D28">
        <v>1</v>
      </c>
    </row>
    <row r="29" spans="2:5" x14ac:dyDescent="0.15">
      <c r="C29" s="3">
        <f>C9*C28</f>
        <v>151.66666666666669</v>
      </c>
      <c r="D29" s="3">
        <f>D9*D28</f>
        <v>106.16666666666667</v>
      </c>
      <c r="E29" t="s">
        <v>288</v>
      </c>
    </row>
    <row r="30" spans="2:5" x14ac:dyDescent="0.15">
      <c r="E30" t="s">
        <v>532</v>
      </c>
    </row>
    <row r="32" spans="2:5" x14ac:dyDescent="0.15">
      <c r="C32">
        <f>C29/C18</f>
        <v>1.9098593171027443</v>
      </c>
      <c r="D32">
        <f>D29/D18</f>
        <v>1.909859317102744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E25"/>
  <sheetViews>
    <sheetView workbookViewId="0"/>
  </sheetViews>
  <sheetFormatPr baseColWidth="10" defaultColWidth="8.83203125" defaultRowHeight="13" x14ac:dyDescent="0.15"/>
  <cols>
    <col min="1" max="1" width="8.83203125" style="39" customWidth="1"/>
    <col min="2" max="2" width="15.33203125" style="39" customWidth="1"/>
    <col min="3" max="3" width="11" style="39" customWidth="1"/>
    <col min="4" max="4" width="12.83203125" style="39" customWidth="1"/>
    <col min="5" max="16384" width="8.83203125" style="39"/>
  </cols>
  <sheetData>
    <row r="1" spans="2:5" x14ac:dyDescent="0.15">
      <c r="B1" s="38" t="s">
        <v>34</v>
      </c>
    </row>
    <row r="3" spans="2:5" x14ac:dyDescent="0.15">
      <c r="B3" s="39" t="s">
        <v>289</v>
      </c>
      <c r="C3" s="39" t="s">
        <v>536</v>
      </c>
      <c r="D3" s="39" t="s">
        <v>529</v>
      </c>
    </row>
    <row r="4" spans="2:5" x14ac:dyDescent="0.15">
      <c r="B4" s="39" t="s">
        <v>26</v>
      </c>
      <c r="C4" s="40">
        <f>'14a'!D6</f>
        <v>17.142857142857142</v>
      </c>
      <c r="D4" s="40">
        <f>'14a'!C6</f>
        <v>17.142857142857142</v>
      </c>
      <c r="E4" s="39" t="s">
        <v>27</v>
      </c>
    </row>
    <row r="5" spans="2:5" x14ac:dyDescent="0.15">
      <c r="B5" s="39" t="s">
        <v>35</v>
      </c>
      <c r="C5" s="41">
        <v>1.0699999999999999E-2</v>
      </c>
      <c r="D5" s="41">
        <v>6.6000000000000003E-2</v>
      </c>
      <c r="E5" s="39" t="s">
        <v>36</v>
      </c>
    </row>
    <row r="6" spans="2:5" x14ac:dyDescent="0.15">
      <c r="B6" s="39" t="s">
        <v>30</v>
      </c>
      <c r="C6" s="43">
        <f>C5/C4</f>
        <v>6.2416666666666664E-4</v>
      </c>
      <c r="D6" s="43">
        <f>D5/D4</f>
        <v>3.8500000000000001E-3</v>
      </c>
      <c r="E6" s="39" t="s">
        <v>37</v>
      </c>
    </row>
    <row r="9" spans="2:5" x14ac:dyDescent="0.15">
      <c r="B9" s="4" t="s">
        <v>644</v>
      </c>
      <c r="C9"/>
      <c r="D9"/>
      <c r="E9"/>
    </row>
    <row r="10" spans="2:5" x14ac:dyDescent="0.15">
      <c r="B10" t="s">
        <v>280</v>
      </c>
      <c r="C10">
        <v>3.5</v>
      </c>
      <c r="D10">
        <v>3.5</v>
      </c>
      <c r="E10" t="s">
        <v>155</v>
      </c>
    </row>
    <row r="11" spans="2:5" x14ac:dyDescent="0.15">
      <c r="B11"/>
      <c r="C11" s="2">
        <f>C10*PI()/180</f>
        <v>6.1086523819801536E-2</v>
      </c>
      <c r="D11" s="2">
        <f>D10*PI()/180</f>
        <v>6.1086523819801536E-2</v>
      </c>
      <c r="E11" t="s">
        <v>173</v>
      </c>
    </row>
    <row r="12" spans="2:5" x14ac:dyDescent="0.15">
      <c r="B12" t="s">
        <v>645</v>
      </c>
      <c r="C12" s="2">
        <f>C11</f>
        <v>6.1086523819801536E-2</v>
      </c>
      <c r="D12" s="2">
        <f>D11</f>
        <v>6.1086523819801536E-2</v>
      </c>
      <c r="E12" t="s">
        <v>646</v>
      </c>
    </row>
    <row r="13" spans="2:5" x14ac:dyDescent="0.15">
      <c r="B13" t="s">
        <v>647</v>
      </c>
      <c r="C13" s="2">
        <f>C5*C12</f>
        <v>6.5362580487187641E-4</v>
      </c>
      <c r="D13" s="2">
        <f>D5*D12</f>
        <v>4.0317105721069018E-3</v>
      </c>
      <c r="E13" t="s">
        <v>29</v>
      </c>
    </row>
    <row r="14" spans="2:5" x14ac:dyDescent="0.15">
      <c r="B14" t="s">
        <v>648</v>
      </c>
      <c r="C14" s="2">
        <v>2</v>
      </c>
      <c r="D14" s="2">
        <v>2</v>
      </c>
      <c r="E14" t="s">
        <v>27</v>
      </c>
    </row>
    <row r="15" spans="2:5" x14ac:dyDescent="0.15">
      <c r="B15" t="s">
        <v>30</v>
      </c>
      <c r="C15" s="2">
        <f>C13/C14</f>
        <v>3.2681290243593821E-4</v>
      </c>
      <c r="D15" s="2">
        <f>D13/D14</f>
        <v>2.0158552860534509E-3</v>
      </c>
      <c r="E15" t="s">
        <v>31</v>
      </c>
    </row>
    <row r="16" spans="2:5" x14ac:dyDescent="0.15">
      <c r="B16"/>
      <c r="C16" s="2">
        <f>C15*1000</f>
        <v>0.32681290243593819</v>
      </c>
      <c r="D16" s="2">
        <f>D15*1000</f>
        <v>2.0158552860534509</v>
      </c>
      <c r="E16" t="s">
        <v>649</v>
      </c>
    </row>
    <row r="17" spans="2:5" x14ac:dyDescent="0.15">
      <c r="D17" s="44"/>
    </row>
    <row r="19" spans="2:5" x14ac:dyDescent="0.15">
      <c r="B19" s="39" t="s">
        <v>290</v>
      </c>
    </row>
    <row r="23" spans="2:5" x14ac:dyDescent="0.15">
      <c r="B23" t="s">
        <v>650</v>
      </c>
      <c r="C23">
        <v>1</v>
      </c>
      <c r="D23">
        <v>1</v>
      </c>
      <c r="E23"/>
    </row>
    <row r="24" spans="2:5" x14ac:dyDescent="0.15">
      <c r="B24"/>
      <c r="C24" s="196">
        <f>C6*C23</f>
        <v>6.2416666666666664E-4</v>
      </c>
      <c r="D24" s="196">
        <f>D6*D23</f>
        <v>3.8500000000000001E-3</v>
      </c>
      <c r="E24" t="s">
        <v>288</v>
      </c>
    </row>
    <row r="25" spans="2:5" x14ac:dyDescent="0.15">
      <c r="B25"/>
      <c r="C25"/>
      <c r="D25"/>
      <c r="E25" t="s">
        <v>532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F5"/>
  <sheetViews>
    <sheetView workbookViewId="0"/>
  </sheetViews>
  <sheetFormatPr baseColWidth="10" defaultColWidth="8.83203125" defaultRowHeight="13" x14ac:dyDescent="0.15"/>
  <cols>
    <col min="2" max="2" width="15.5" customWidth="1"/>
    <col min="3" max="3" width="8.6640625" customWidth="1"/>
  </cols>
  <sheetData>
    <row r="2" spans="2:6" x14ac:dyDescent="0.15">
      <c r="B2" s="4" t="s">
        <v>11</v>
      </c>
    </row>
    <row r="3" spans="2:6" x14ac:dyDescent="0.15">
      <c r="B3" t="s">
        <v>45</v>
      </c>
      <c r="C3">
        <v>2715</v>
      </c>
      <c r="D3" t="s">
        <v>43</v>
      </c>
    </row>
    <row r="4" spans="2:6" x14ac:dyDescent="0.15">
      <c r="B4" t="s">
        <v>47</v>
      </c>
      <c r="C4">
        <f>E4*12*0.0254</f>
        <v>2438.4</v>
      </c>
      <c r="D4" t="s">
        <v>43</v>
      </c>
      <c r="E4">
        <v>8000</v>
      </c>
      <c r="F4" t="s">
        <v>46</v>
      </c>
    </row>
    <row r="5" spans="2:6" x14ac:dyDescent="0.15">
      <c r="B5" t="s">
        <v>48</v>
      </c>
      <c r="C5">
        <v>2800</v>
      </c>
      <c r="D5" t="s">
        <v>43</v>
      </c>
    </row>
  </sheetData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F7"/>
  <sheetViews>
    <sheetView workbookViewId="0"/>
  </sheetViews>
  <sheetFormatPr baseColWidth="10" defaultColWidth="8.83203125" defaultRowHeight="13" x14ac:dyDescent="0.15"/>
  <cols>
    <col min="1" max="1" width="8.83203125" style="1" customWidth="1"/>
    <col min="2" max="2" width="18.6640625" style="1" customWidth="1"/>
    <col min="3" max="3" width="8.6640625" style="1" customWidth="1"/>
    <col min="4" max="16384" width="8.83203125" style="1"/>
  </cols>
  <sheetData>
    <row r="2" spans="2:6" x14ac:dyDescent="0.15">
      <c r="B2" s="1" t="s">
        <v>358</v>
      </c>
      <c r="C2" s="1">
        <f>'Req (rearranged)'!$E$65</f>
        <v>3000</v>
      </c>
      <c r="D2" s="1" t="s">
        <v>348</v>
      </c>
    </row>
    <row r="4" spans="2:6" x14ac:dyDescent="0.15">
      <c r="C4" s="299" t="s">
        <v>361</v>
      </c>
      <c r="D4" s="299"/>
      <c r="E4" s="299" t="s">
        <v>363</v>
      </c>
      <c r="F4" s="299"/>
    </row>
    <row r="5" spans="2:6" x14ac:dyDescent="0.15">
      <c r="C5" s="1" t="s">
        <v>362</v>
      </c>
      <c r="D5" s="1" t="s">
        <v>16</v>
      </c>
      <c r="E5" s="1" t="s">
        <v>362</v>
      </c>
      <c r="F5" s="1" t="s">
        <v>16</v>
      </c>
    </row>
    <row r="6" spans="2:6" x14ac:dyDescent="0.15">
      <c r="B6" s="1" t="s">
        <v>359</v>
      </c>
      <c r="C6" s="1">
        <v>1.25</v>
      </c>
      <c r="D6" s="1">
        <v>1.5</v>
      </c>
      <c r="E6" s="1">
        <f>$C$2*C6</f>
        <v>3750</v>
      </c>
      <c r="F6" s="1">
        <f>$C$2*D6</f>
        <v>4500</v>
      </c>
    </row>
    <row r="7" spans="2:6" x14ac:dyDescent="0.15">
      <c r="B7" s="1" t="s">
        <v>360</v>
      </c>
      <c r="C7" s="1">
        <v>1.5</v>
      </c>
      <c r="D7" s="1">
        <v>2</v>
      </c>
      <c r="E7" s="1">
        <f>$C$2*C7</f>
        <v>4500</v>
      </c>
      <c r="F7" s="1">
        <f>$C$2*D7</f>
        <v>6000</v>
      </c>
    </row>
  </sheetData>
  <mergeCells count="2">
    <mergeCell ref="C4:D4"/>
    <mergeCell ref="E4:F4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5"/>
  <sheetViews>
    <sheetView workbookViewId="0">
      <selection activeCell="C7" sqref="C7"/>
    </sheetView>
  </sheetViews>
  <sheetFormatPr baseColWidth="10" defaultColWidth="9.1640625" defaultRowHeight="13" x14ac:dyDescent="0.15"/>
  <cols>
    <col min="1" max="1" width="9.1640625" style="1"/>
    <col min="2" max="2" width="3.5" style="1" customWidth="1"/>
    <col min="3" max="3" width="31.5" style="1" customWidth="1"/>
    <col min="4" max="4" width="9.33203125" style="1" customWidth="1"/>
    <col min="5" max="5" width="9" style="1" customWidth="1"/>
    <col min="6" max="16384" width="9.1640625" style="1"/>
  </cols>
  <sheetData>
    <row r="2" spans="2:6" x14ac:dyDescent="0.15">
      <c r="B2" s="1" t="s">
        <v>152</v>
      </c>
    </row>
    <row r="3" spans="2:6" x14ac:dyDescent="0.15">
      <c r="B3" s="1" t="s">
        <v>154</v>
      </c>
    </row>
    <row r="4" spans="2:6" x14ac:dyDescent="0.15">
      <c r="B4" s="12"/>
      <c r="C4" s="12"/>
      <c r="D4" s="12"/>
      <c r="E4" s="12"/>
    </row>
    <row r="5" spans="2:6" ht="16" x14ac:dyDescent="0.2">
      <c r="B5" s="285" t="s">
        <v>713</v>
      </c>
      <c r="C5" s="286"/>
      <c r="D5" s="286"/>
      <c r="E5" s="287"/>
    </row>
    <row r="6" spans="2:6" ht="16" x14ac:dyDescent="0.2">
      <c r="B6" s="257" t="s">
        <v>0</v>
      </c>
      <c r="C6" s="268" t="s">
        <v>2</v>
      </c>
      <c r="D6" s="268" t="s">
        <v>529</v>
      </c>
      <c r="E6" s="259" t="s">
        <v>536</v>
      </c>
    </row>
    <row r="7" spans="2:6" x14ac:dyDescent="0.15">
      <c r="B7" s="150">
        <v>1</v>
      </c>
      <c r="C7" s="272" t="s">
        <v>153</v>
      </c>
      <c r="D7" s="79">
        <v>2.6</v>
      </c>
      <c r="E7" s="27">
        <v>1.7</v>
      </c>
    </row>
    <row r="8" spans="2:6" x14ac:dyDescent="0.15">
      <c r="B8" s="150">
        <v>2</v>
      </c>
      <c r="C8" s="272" t="s">
        <v>150</v>
      </c>
      <c r="D8" s="79">
        <f>1*SUM(D7:D7)</f>
        <v>2.6</v>
      </c>
      <c r="E8" s="267">
        <f>1*SUM(E7:E7)</f>
        <v>1.7</v>
      </c>
    </row>
    <row r="9" spans="2:6" x14ac:dyDescent="0.15">
      <c r="B9" s="150">
        <v>3</v>
      </c>
      <c r="C9" s="272" t="s">
        <v>149</v>
      </c>
      <c r="D9" s="55">
        <v>10</v>
      </c>
      <c r="E9" s="27">
        <v>10</v>
      </c>
    </row>
    <row r="10" spans="2:6" x14ac:dyDescent="0.15">
      <c r="B10" s="269"/>
      <c r="C10" s="22" t="s">
        <v>89</v>
      </c>
      <c r="D10" s="270">
        <f>SUM(D7:D9)</f>
        <v>15.2</v>
      </c>
      <c r="E10" s="271">
        <f>SUM(E7:E9)</f>
        <v>13.4</v>
      </c>
      <c r="F10" s="1" t="s">
        <v>531</v>
      </c>
    </row>
    <row r="11" spans="2:6" x14ac:dyDescent="0.15">
      <c r="D11" s="1">
        <f>D10*1.5</f>
        <v>22.799999999999997</v>
      </c>
      <c r="E11" s="1">
        <f>E10*1.5</f>
        <v>20.100000000000001</v>
      </c>
      <c r="F11" s="1" t="s">
        <v>532</v>
      </c>
    </row>
    <row r="14" spans="2:6" x14ac:dyDescent="0.15">
      <c r="C14" s="1" t="s">
        <v>533</v>
      </c>
      <c r="D14" s="9">
        <f>D10/2</f>
        <v>7.6</v>
      </c>
      <c r="E14" s="9">
        <f>E10/2</f>
        <v>6.7</v>
      </c>
    </row>
    <row r="15" spans="2:6" x14ac:dyDescent="0.15">
      <c r="D15" s="9">
        <f>D11/2</f>
        <v>11.399999999999999</v>
      </c>
      <c r="E15" s="9">
        <f>E11/2</f>
        <v>10.050000000000001</v>
      </c>
    </row>
  </sheetData>
  <mergeCells count="1">
    <mergeCell ref="B5:E5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92"/>
  <sheetViews>
    <sheetView workbookViewId="0"/>
  </sheetViews>
  <sheetFormatPr baseColWidth="10" defaultColWidth="8.83203125" defaultRowHeight="13" x14ac:dyDescent="0.15"/>
  <cols>
    <col min="2" max="2" width="20.33203125" customWidth="1"/>
    <col min="6" max="6" width="11.5" bestFit="1" customWidth="1"/>
  </cols>
  <sheetData>
    <row r="2" spans="1:12" x14ac:dyDescent="0.15">
      <c r="J2" t="s">
        <v>175</v>
      </c>
      <c r="K2" t="s">
        <v>175</v>
      </c>
      <c r="L2" t="s">
        <v>180</v>
      </c>
    </row>
    <row r="3" spans="1:12" x14ac:dyDescent="0.15">
      <c r="G3" t="s">
        <v>176</v>
      </c>
      <c r="H3" t="s">
        <v>177</v>
      </c>
      <c r="I3" t="s">
        <v>178</v>
      </c>
      <c r="J3" t="s">
        <v>174</v>
      </c>
      <c r="K3" t="s">
        <v>181</v>
      </c>
      <c r="L3" t="s">
        <v>22</v>
      </c>
    </row>
    <row r="4" spans="1:12" x14ac:dyDescent="0.15">
      <c r="B4" t="s">
        <v>170</v>
      </c>
      <c r="C4">
        <v>3.5</v>
      </c>
      <c r="D4" t="s">
        <v>36</v>
      </c>
      <c r="E4" t="s">
        <v>296</v>
      </c>
      <c r="G4">
        <v>1</v>
      </c>
      <c r="H4">
        <f>G4*PI()/180</f>
        <v>1.7453292519943295E-2</v>
      </c>
      <c r="I4">
        <f>TAN(H4)</f>
        <v>1.7455064928217585E-2</v>
      </c>
      <c r="J4">
        <f>$C$14/I4</f>
        <v>4.1662435783248828E-3</v>
      </c>
      <c r="K4">
        <f>J4*180/PI()</f>
        <v>0.23870817346149761</v>
      </c>
      <c r="L4">
        <f>K4/$C$8</f>
        <v>57.289961630759429</v>
      </c>
    </row>
    <row r="5" spans="1:12" x14ac:dyDescent="0.15">
      <c r="G5">
        <v>2</v>
      </c>
      <c r="H5">
        <f t="shared" ref="H5:H68" si="0">G5*PI()/180</f>
        <v>3.4906585039886591E-2</v>
      </c>
      <c r="I5">
        <f t="shared" ref="I5:I68" si="1">TAN(H5)</f>
        <v>3.492076949174773E-2</v>
      </c>
      <c r="J5">
        <f t="shared" ref="J5:J68" si="2">$C$14/I5</f>
        <v>2.082487105091302E-3</v>
      </c>
      <c r="K5">
        <f t="shared" ref="K5:K68" si="3">J5*180/PI()</f>
        <v>0.11931772201214834</v>
      </c>
      <c r="L5">
        <f t="shared" ref="L5:L68" si="4">K5/$C$8</f>
        <v>28.6362532829156</v>
      </c>
    </row>
    <row r="6" spans="1:12" x14ac:dyDescent="0.15">
      <c r="B6" t="s">
        <v>171</v>
      </c>
      <c r="C6">
        <v>360</v>
      </c>
      <c r="D6" t="s">
        <v>36</v>
      </c>
      <c r="G6" s="15">
        <v>3</v>
      </c>
      <c r="H6" s="15">
        <f t="shared" si="0"/>
        <v>5.2359877559829883E-2</v>
      </c>
      <c r="I6" s="15">
        <f t="shared" si="1"/>
        <v>5.2407779283041196E-2</v>
      </c>
      <c r="J6" s="15">
        <f t="shared" si="2"/>
        <v>1.38761941759976E-3</v>
      </c>
      <c r="K6" s="15">
        <f t="shared" si="3"/>
        <v>7.9504736198867554E-2</v>
      </c>
      <c r="L6" s="15">
        <f t="shared" si="4"/>
        <v>19.081136687728215</v>
      </c>
    </row>
    <row r="7" spans="1:12" x14ac:dyDescent="0.15">
      <c r="C7">
        <f>24*3600</f>
        <v>86400</v>
      </c>
      <c r="D7" t="s">
        <v>172</v>
      </c>
      <c r="G7">
        <v>4</v>
      </c>
      <c r="H7">
        <f t="shared" si="0"/>
        <v>6.9813170079773182E-2</v>
      </c>
      <c r="I7">
        <f t="shared" si="1"/>
        <v>6.9926811943510414E-2</v>
      </c>
      <c r="J7">
        <f t="shared" si="2"/>
        <v>1.0399737975353156E-3</v>
      </c>
      <c r="K7">
        <f t="shared" si="3"/>
        <v>5.958610940296636E-2</v>
      </c>
      <c r="L7">
        <f t="shared" si="4"/>
        <v>14.300666256711926</v>
      </c>
    </row>
    <row r="8" spans="1:12" x14ac:dyDescent="0.15">
      <c r="C8">
        <f>C6/C7</f>
        <v>4.1666666666666666E-3</v>
      </c>
      <c r="D8" t="s">
        <v>38</v>
      </c>
      <c r="G8">
        <v>5</v>
      </c>
      <c r="H8">
        <f t="shared" si="0"/>
        <v>8.7266462599716474E-2</v>
      </c>
      <c r="I8">
        <f t="shared" si="1"/>
        <v>8.7488663525924007E-2</v>
      </c>
      <c r="J8">
        <f t="shared" si="2"/>
        <v>8.312168598264382E-4</v>
      </c>
      <c r="K8">
        <f t="shared" si="3"/>
        <v>4.7625217928172259E-2</v>
      </c>
      <c r="L8">
        <f t="shared" si="4"/>
        <v>11.430052302761343</v>
      </c>
    </row>
    <row r="9" spans="1:12" x14ac:dyDescent="0.15">
      <c r="G9">
        <v>6</v>
      </c>
      <c r="H9">
        <f t="shared" si="0"/>
        <v>0.10471975511965977</v>
      </c>
      <c r="I9">
        <f t="shared" si="1"/>
        <v>0.10510423526567646</v>
      </c>
      <c r="J9">
        <f t="shared" si="2"/>
        <v>6.9190410817040592E-4</v>
      </c>
      <c r="K9">
        <f t="shared" si="3"/>
        <v>3.9643185225927441E-2</v>
      </c>
      <c r="L9">
        <f t="shared" si="4"/>
        <v>9.5143644542225854</v>
      </c>
    </row>
    <row r="10" spans="1:12" x14ac:dyDescent="0.15">
      <c r="B10" t="s">
        <v>170</v>
      </c>
      <c r="C10" s="2">
        <f>C4*PI()/180</f>
        <v>6.1086523819801536E-2</v>
      </c>
      <c r="D10" t="s">
        <v>173</v>
      </c>
      <c r="G10">
        <v>7</v>
      </c>
      <c r="H10">
        <f t="shared" si="0"/>
        <v>0.12217304763960307</v>
      </c>
      <c r="I10">
        <f t="shared" si="1"/>
        <v>0.1227845609029046</v>
      </c>
      <c r="J10">
        <f t="shared" si="2"/>
        <v>5.922735857966494E-4</v>
      </c>
      <c r="K10">
        <f t="shared" si="3"/>
        <v>3.3934776783227469E-2</v>
      </c>
      <c r="L10">
        <f t="shared" si="4"/>
        <v>8.1443464279745932</v>
      </c>
    </row>
    <row r="11" spans="1:12" x14ac:dyDescent="0.15">
      <c r="C11" s="2"/>
      <c r="G11">
        <v>8</v>
      </c>
      <c r="H11">
        <f t="shared" si="0"/>
        <v>0.13962634015954636</v>
      </c>
      <c r="I11">
        <f t="shared" si="1"/>
        <v>0.14054083470239145</v>
      </c>
      <c r="J11">
        <f t="shared" si="2"/>
        <v>5.1744428813466374E-4</v>
      </c>
      <c r="K11">
        <f t="shared" si="3"/>
        <v>2.9647373843267533E-2</v>
      </c>
      <c r="L11">
        <f t="shared" si="4"/>
        <v>7.1153697223842078</v>
      </c>
    </row>
    <row r="12" spans="1:12" x14ac:dyDescent="0.15">
      <c r="B12" t="s">
        <v>171</v>
      </c>
      <c r="C12" s="2">
        <f>C6*PI()/180</f>
        <v>6.2831853071795862</v>
      </c>
      <c r="D12" t="s">
        <v>173</v>
      </c>
      <c r="G12">
        <v>9</v>
      </c>
      <c r="H12">
        <f t="shared" si="0"/>
        <v>0.15707963267948966</v>
      </c>
      <c r="I12">
        <f t="shared" si="1"/>
        <v>0.15838444032453627</v>
      </c>
      <c r="J12">
        <f t="shared" si="2"/>
        <v>4.5914896701607745E-4</v>
      </c>
      <c r="K12">
        <f t="shared" si="3"/>
        <v>2.6307297977812682E-2</v>
      </c>
      <c r="L12">
        <f t="shared" si="4"/>
        <v>6.3137515146750438</v>
      </c>
    </row>
    <row r="13" spans="1:12" x14ac:dyDescent="0.15">
      <c r="C13" s="3">
        <f>$C$7</f>
        <v>86400</v>
      </c>
      <c r="D13" t="s">
        <v>27</v>
      </c>
      <c r="G13">
        <v>10</v>
      </c>
      <c r="H13">
        <f t="shared" si="0"/>
        <v>0.17453292519943295</v>
      </c>
      <c r="I13">
        <f t="shared" si="1"/>
        <v>0.17632698070846498</v>
      </c>
      <c r="J13">
        <f t="shared" si="2"/>
        <v>4.1242725233676735E-4</v>
      </c>
      <c r="K13">
        <f t="shared" si="3"/>
        <v>2.3630340915073791E-2</v>
      </c>
      <c r="L13">
        <f t="shared" si="4"/>
        <v>5.6712818196177102</v>
      </c>
    </row>
    <row r="14" spans="1:12" x14ac:dyDescent="0.15">
      <c r="C14" s="37">
        <f>C8*PI()/180</f>
        <v>7.2722052166430395E-5</v>
      </c>
      <c r="D14" t="s">
        <v>174</v>
      </c>
      <c r="G14">
        <v>11</v>
      </c>
      <c r="H14">
        <f t="shared" si="0"/>
        <v>0.19198621771937624</v>
      </c>
      <c r="I14">
        <f t="shared" si="1"/>
        <v>0.19438030913771848</v>
      </c>
      <c r="J14">
        <f t="shared" si="2"/>
        <v>3.7412252552241189E-4</v>
      </c>
      <c r="K14">
        <f t="shared" si="3"/>
        <v>2.1435641733209627E-2</v>
      </c>
      <c r="L14">
        <f t="shared" si="4"/>
        <v>5.1445540159703107</v>
      </c>
    </row>
    <row r="15" spans="1:12" x14ac:dyDescent="0.15">
      <c r="G15">
        <v>12</v>
      </c>
      <c r="H15">
        <f t="shared" si="0"/>
        <v>0.20943951023931953</v>
      </c>
      <c r="I15">
        <f t="shared" si="1"/>
        <v>0.2125565616700221</v>
      </c>
      <c r="J15">
        <f t="shared" si="2"/>
        <v>3.4213035624525135E-4</v>
      </c>
      <c r="K15">
        <f t="shared" si="3"/>
        <v>1.960262545616023E-2</v>
      </c>
      <c r="L15">
        <f t="shared" si="4"/>
        <v>4.7046301094784555</v>
      </c>
    </row>
    <row r="16" spans="1:12" x14ac:dyDescent="0.15">
      <c r="A16" t="s">
        <v>297</v>
      </c>
      <c r="B16" t="s">
        <v>179</v>
      </c>
      <c r="C16">
        <f>C14/C10</f>
        <v>1.1904761904761904E-3</v>
      </c>
      <c r="D16" t="s">
        <v>174</v>
      </c>
      <c r="G16">
        <v>13</v>
      </c>
      <c r="H16">
        <f t="shared" si="0"/>
        <v>0.22689280275926285</v>
      </c>
      <c r="I16">
        <f t="shared" si="1"/>
        <v>0.23086819112556312</v>
      </c>
      <c r="J16">
        <f t="shared" si="2"/>
        <v>3.1499381448732704E-4</v>
      </c>
      <c r="K16">
        <f t="shared" si="3"/>
        <v>1.8047816142850646E-2</v>
      </c>
      <c r="L16">
        <f t="shared" si="4"/>
        <v>4.3314758742841555</v>
      </c>
    </row>
    <row r="17" spans="1:12" x14ac:dyDescent="0.15">
      <c r="C17" s="37">
        <f>C16*180/PI()</f>
        <v>6.8209261325097997E-2</v>
      </c>
      <c r="D17" t="s">
        <v>38</v>
      </c>
      <c r="E17" t="s">
        <v>77</v>
      </c>
      <c r="G17">
        <v>14</v>
      </c>
      <c r="H17">
        <f t="shared" si="0"/>
        <v>0.24434609527920614</v>
      </c>
      <c r="I17">
        <f t="shared" si="1"/>
        <v>0.24932800284318068</v>
      </c>
      <c r="J17">
        <f t="shared" si="2"/>
        <v>2.9167222027671813E-4</v>
      </c>
      <c r="K17">
        <f t="shared" si="3"/>
        <v>1.671158722306602E-2</v>
      </c>
      <c r="L17">
        <f t="shared" si="4"/>
        <v>4.0107809335358446</v>
      </c>
    </row>
    <row r="18" spans="1:12" x14ac:dyDescent="0.15">
      <c r="G18">
        <v>15</v>
      </c>
      <c r="H18">
        <f t="shared" si="0"/>
        <v>0.26179938779914941</v>
      </c>
      <c r="I18">
        <f t="shared" si="1"/>
        <v>0.2679491924311227</v>
      </c>
      <c r="J18">
        <f t="shared" si="2"/>
        <v>2.7140239351579261E-4</v>
      </c>
      <c r="K18">
        <f t="shared" si="3"/>
        <v>1.5550211698203658E-2</v>
      </c>
      <c r="L18">
        <f t="shared" si="4"/>
        <v>3.7320508075688781</v>
      </c>
    </row>
    <row r="19" spans="1:12" x14ac:dyDescent="0.15">
      <c r="A19" t="s">
        <v>298</v>
      </c>
      <c r="B19" t="s">
        <v>179</v>
      </c>
      <c r="C19">
        <f>2*ASIN(SIN(C14/2)/SIN(C10))</f>
        <v>1.1912169726610541E-3</v>
      </c>
      <c r="G19">
        <v>16</v>
      </c>
      <c r="H19">
        <f t="shared" si="0"/>
        <v>0.27925268031909273</v>
      </c>
      <c r="I19">
        <f t="shared" si="1"/>
        <v>0.28674538575880792</v>
      </c>
      <c r="J19">
        <f t="shared" si="2"/>
        <v>2.5361193511096142E-4</v>
      </c>
      <c r="K19">
        <f t="shared" si="3"/>
        <v>1.4530893516003788E-2</v>
      </c>
      <c r="L19">
        <f t="shared" si="4"/>
        <v>3.4874144438409092</v>
      </c>
    </row>
    <row r="20" spans="1:12" x14ac:dyDescent="0.15">
      <c r="G20">
        <v>17</v>
      </c>
      <c r="H20">
        <f t="shared" si="0"/>
        <v>0.29670597283903605</v>
      </c>
      <c r="I20">
        <f t="shared" si="1"/>
        <v>0.30573068145866039</v>
      </c>
      <c r="J20">
        <f t="shared" si="2"/>
        <v>2.3786311475010912E-4</v>
      </c>
      <c r="K20">
        <f t="shared" si="3"/>
        <v>1.362855257701725E-2</v>
      </c>
      <c r="L20">
        <f t="shared" si="4"/>
        <v>3.27085261848414</v>
      </c>
    </row>
    <row r="21" spans="1:12" x14ac:dyDescent="0.15">
      <c r="G21">
        <v>18</v>
      </c>
      <c r="H21">
        <f t="shared" si="0"/>
        <v>0.31415926535897931</v>
      </c>
      <c r="I21">
        <f t="shared" si="1"/>
        <v>0.32491969623290629</v>
      </c>
      <c r="J21">
        <f t="shared" si="2"/>
        <v>2.2381546274222283E-4</v>
      </c>
      <c r="K21">
        <f t="shared" si="3"/>
        <v>1.282368140489689E-2</v>
      </c>
      <c r="L21">
        <f t="shared" si="4"/>
        <v>3.0776835371752536</v>
      </c>
    </row>
    <row r="22" spans="1:12" x14ac:dyDescent="0.15">
      <c r="B22" s="1" t="s">
        <v>182</v>
      </c>
      <c r="C22">
        <f>C17*1.25</f>
        <v>8.526157665637249E-2</v>
      </c>
      <c r="D22" t="s">
        <v>38</v>
      </c>
      <c r="G22">
        <v>19</v>
      </c>
      <c r="H22">
        <f t="shared" si="0"/>
        <v>0.33161255787892258</v>
      </c>
      <c r="I22">
        <f t="shared" si="1"/>
        <v>0.34432761328966521</v>
      </c>
      <c r="J22">
        <f t="shared" si="2"/>
        <v>2.1120017494865581E-4</v>
      </c>
      <c r="K22">
        <f t="shared" si="3"/>
        <v>1.2100878656982596E-2</v>
      </c>
      <c r="L22">
        <f t="shared" si="4"/>
        <v>2.9042108776758231</v>
      </c>
    </row>
    <row r="23" spans="1:12" x14ac:dyDescent="0.15">
      <c r="B23" t="s">
        <v>183</v>
      </c>
      <c r="C23">
        <f>C17*1.5</f>
        <v>0.102313891987647</v>
      </c>
      <c r="D23" t="s">
        <v>38</v>
      </c>
      <c r="G23">
        <v>20</v>
      </c>
      <c r="H23">
        <f t="shared" si="0"/>
        <v>0.3490658503988659</v>
      </c>
      <c r="I23">
        <f t="shared" si="1"/>
        <v>0.36397023426620234</v>
      </c>
      <c r="J23">
        <f t="shared" si="2"/>
        <v>1.9980219622366862E-4</v>
      </c>
      <c r="K23">
        <f t="shared" si="3"/>
        <v>1.1447822581060927E-2</v>
      </c>
      <c r="L23">
        <f t="shared" si="4"/>
        <v>2.7474774194546225</v>
      </c>
    </row>
    <row r="24" spans="1:12" x14ac:dyDescent="0.15">
      <c r="G24">
        <v>21</v>
      </c>
      <c r="H24">
        <f t="shared" si="0"/>
        <v>0.36651914291880922</v>
      </c>
      <c r="I24">
        <f t="shared" si="1"/>
        <v>0.38386403503541577</v>
      </c>
      <c r="J24">
        <f t="shared" si="2"/>
        <v>1.8944742286086002E-4</v>
      </c>
      <c r="K24">
        <f t="shared" si="3"/>
        <v>1.0854537769557507E-2</v>
      </c>
      <c r="L24">
        <f t="shared" si="4"/>
        <v>2.6050890646938019</v>
      </c>
    </row>
    <row r="25" spans="1:12" x14ac:dyDescent="0.15">
      <c r="G25">
        <v>22</v>
      </c>
      <c r="H25">
        <f t="shared" si="0"/>
        <v>0.38397243543875248</v>
      </c>
      <c r="I25">
        <f t="shared" si="1"/>
        <v>0.40402622583515679</v>
      </c>
      <c r="J25">
        <f t="shared" si="2"/>
        <v>1.7999339527058594E-4</v>
      </c>
      <c r="K25">
        <f t="shared" si="3"/>
        <v>1.0312861889234567E-2</v>
      </c>
      <c r="L25">
        <f t="shared" si="4"/>
        <v>2.4750868534162964</v>
      </c>
    </row>
    <row r="26" spans="1:12" x14ac:dyDescent="0.15">
      <c r="C26">
        <f>C16/C14</f>
        <v>16.37022271802352</v>
      </c>
      <c r="G26">
        <v>23</v>
      </c>
      <c r="H26">
        <f t="shared" si="0"/>
        <v>0.40142572795869574</v>
      </c>
      <c r="I26">
        <f t="shared" si="1"/>
        <v>0.4244748162096047</v>
      </c>
      <c r="J26">
        <f t="shared" si="2"/>
        <v>1.7132241864384343E-4</v>
      </c>
      <c r="K26">
        <f t="shared" si="3"/>
        <v>9.8160515242656371E-3</v>
      </c>
      <c r="L26">
        <f t="shared" si="4"/>
        <v>2.3558523658237531</v>
      </c>
    </row>
    <row r="27" spans="1:12" x14ac:dyDescent="0.15">
      <c r="G27">
        <v>24</v>
      </c>
      <c r="H27">
        <f t="shared" si="0"/>
        <v>0.41887902047863906</v>
      </c>
      <c r="I27">
        <f t="shared" si="1"/>
        <v>0.4452286853085361</v>
      </c>
      <c r="J27">
        <f t="shared" si="2"/>
        <v>1.6333640343958345E-4</v>
      </c>
      <c r="K27">
        <f t="shared" si="3"/>
        <v>9.3584865579342345E-3</v>
      </c>
      <c r="L27">
        <f t="shared" si="4"/>
        <v>2.2460367739042164</v>
      </c>
    </row>
    <row r="28" spans="1:12" x14ac:dyDescent="0.15">
      <c r="G28">
        <v>25</v>
      </c>
      <c r="H28">
        <f t="shared" si="0"/>
        <v>0.43633231299858238</v>
      </c>
      <c r="I28">
        <f t="shared" si="1"/>
        <v>0.46630765815499858</v>
      </c>
      <c r="J28">
        <f t="shared" si="2"/>
        <v>1.5595294414456713E-4</v>
      </c>
      <c r="K28">
        <f t="shared" si="3"/>
        <v>8.935445502123161E-3</v>
      </c>
      <c r="L28">
        <f t="shared" si="4"/>
        <v>2.1445069205095586</v>
      </c>
    </row>
    <row r="29" spans="1:12" x14ac:dyDescent="0.15">
      <c r="G29">
        <v>26</v>
      </c>
      <c r="H29">
        <f t="shared" si="0"/>
        <v>0.4537856055185257</v>
      </c>
      <c r="I29">
        <f t="shared" si="1"/>
        <v>0.48773258856586144</v>
      </c>
      <c r="J29">
        <f t="shared" si="2"/>
        <v>1.4910230292436221E-4</v>
      </c>
      <c r="K29">
        <f t="shared" si="3"/>
        <v>8.5429326732470671E-3</v>
      </c>
      <c r="L29">
        <f t="shared" si="4"/>
        <v>2.050303841579296</v>
      </c>
    </row>
    <row r="30" spans="1:12" x14ac:dyDescent="0.15">
      <c r="G30">
        <v>27</v>
      </c>
      <c r="H30">
        <f t="shared" si="0"/>
        <v>0.47123889803846897</v>
      </c>
      <c r="I30">
        <f t="shared" si="1"/>
        <v>0.50952544949442879</v>
      </c>
      <c r="J30">
        <f t="shared" si="2"/>
        <v>1.427250635637299E-4</v>
      </c>
      <c r="K30">
        <f t="shared" si="3"/>
        <v>8.1775437729381274E-3</v>
      </c>
      <c r="L30">
        <f t="shared" si="4"/>
        <v>1.9626105055051506</v>
      </c>
    </row>
    <row r="31" spans="1:12" x14ac:dyDescent="0.15">
      <c r="G31">
        <v>28</v>
      </c>
      <c r="H31">
        <f t="shared" si="0"/>
        <v>0.48869219055841229</v>
      </c>
      <c r="I31">
        <f t="shared" si="1"/>
        <v>0.53170943166147877</v>
      </c>
      <c r="J31">
        <f t="shared" si="2"/>
        <v>1.367702881237022E-4</v>
      </c>
      <c r="K31">
        <f t="shared" si="3"/>
        <v>7.8363602722763825E-3</v>
      </c>
      <c r="L31">
        <f t="shared" si="4"/>
        <v>1.8807264653463318</v>
      </c>
    </row>
    <row r="32" spans="1:12" x14ac:dyDescent="0.15">
      <c r="G32">
        <v>29</v>
      </c>
      <c r="H32">
        <f t="shared" si="0"/>
        <v>0.50614548307835561</v>
      </c>
      <c r="I32">
        <f t="shared" si="1"/>
        <v>0.55430905145276899</v>
      </c>
      <c r="J32">
        <f t="shared" si="2"/>
        <v>1.3119405496958013E-4</v>
      </c>
      <c r="K32">
        <f t="shared" si="3"/>
        <v>7.5168656469642653E-3</v>
      </c>
      <c r="L32">
        <f t="shared" si="4"/>
        <v>1.8040477552714238</v>
      </c>
    </row>
    <row r="33" spans="7:12" x14ac:dyDescent="0.15">
      <c r="G33">
        <v>30</v>
      </c>
      <c r="H33">
        <f t="shared" si="0"/>
        <v>0.52359877559829882</v>
      </c>
      <c r="I33">
        <f t="shared" si="1"/>
        <v>0.57735026918962573</v>
      </c>
      <c r="J33">
        <f t="shared" si="2"/>
        <v>1.2595828918293179E-4</v>
      </c>
      <c r="K33">
        <f t="shared" si="3"/>
        <v>7.2168783648703227E-3</v>
      </c>
      <c r="L33">
        <f t="shared" si="4"/>
        <v>1.7320508075688774</v>
      </c>
    </row>
    <row r="34" spans="7:12" x14ac:dyDescent="0.15">
      <c r="G34">
        <v>31</v>
      </c>
      <c r="H34">
        <f t="shared" si="0"/>
        <v>0.54105206811824214</v>
      </c>
      <c r="I34">
        <f t="shared" si="1"/>
        <v>0.60086061902756038</v>
      </c>
      <c r="J34">
        <f t="shared" si="2"/>
        <v>1.2102981933501414E-4</v>
      </c>
      <c r="K34">
        <f t="shared" si="3"/>
        <v>6.9344978431271579E-3</v>
      </c>
      <c r="L34">
        <f t="shared" si="4"/>
        <v>1.6642794823505178</v>
      </c>
    </row>
    <row r="35" spans="7:12" x14ac:dyDescent="0.15">
      <c r="G35">
        <v>32</v>
      </c>
      <c r="H35">
        <f t="shared" si="0"/>
        <v>0.55850536063818546</v>
      </c>
      <c r="I35">
        <f t="shared" si="1"/>
        <v>0.62486935190932746</v>
      </c>
      <c r="J35">
        <f t="shared" si="2"/>
        <v>1.1637961110466309E-4</v>
      </c>
      <c r="K35">
        <f t="shared" si="3"/>
        <v>6.6680605376710439E-3</v>
      </c>
      <c r="L35">
        <f t="shared" si="4"/>
        <v>1.6003345290410507</v>
      </c>
    </row>
    <row r="36" spans="7:12" x14ac:dyDescent="0.15">
      <c r="G36">
        <v>33</v>
      </c>
      <c r="H36">
        <f t="shared" si="0"/>
        <v>0.57595865315812877</v>
      </c>
      <c r="I36">
        <f t="shared" si="1"/>
        <v>0.64940759319751062</v>
      </c>
      <c r="J36">
        <f t="shared" si="2"/>
        <v>1.1198214022778254E-4</v>
      </c>
      <c r="K36">
        <f t="shared" si="3"/>
        <v>6.4161040158940948E-3</v>
      </c>
      <c r="L36">
        <f t="shared" si="4"/>
        <v>1.5398649638145827</v>
      </c>
    </row>
    <row r="37" spans="7:12" x14ac:dyDescent="0.15">
      <c r="G37">
        <v>34</v>
      </c>
      <c r="H37">
        <f t="shared" si="0"/>
        <v>0.59341194567807209</v>
      </c>
      <c r="I37">
        <f t="shared" si="1"/>
        <v>0.67450851684242674</v>
      </c>
      <c r="J37">
        <f t="shared" si="2"/>
        <v>1.0781487609209704E-4</v>
      </c>
      <c r="K37">
        <f t="shared" si="3"/>
        <v>6.1773373688030824E-3</v>
      </c>
      <c r="L37">
        <f t="shared" si="4"/>
        <v>1.4825609685127399</v>
      </c>
    </row>
    <row r="38" spans="7:12" x14ac:dyDescent="0.15">
      <c r="G38">
        <v>35</v>
      </c>
      <c r="H38">
        <f t="shared" si="0"/>
        <v>0.6108652381980153</v>
      </c>
      <c r="I38">
        <f t="shared" si="1"/>
        <v>0.70020753820970971</v>
      </c>
      <c r="J38">
        <f t="shared" si="2"/>
        <v>1.0385785384768364E-4</v>
      </c>
      <c r="K38">
        <f t="shared" si="3"/>
        <v>5.950616694758811E-3</v>
      </c>
      <c r="L38">
        <f t="shared" si="4"/>
        <v>1.4281480067421146</v>
      </c>
    </row>
    <row r="39" spans="7:12" x14ac:dyDescent="0.15">
      <c r="G39">
        <v>36</v>
      </c>
      <c r="H39">
        <f t="shared" si="0"/>
        <v>0.62831853071795862</v>
      </c>
      <c r="I39">
        <f t="shared" si="1"/>
        <v>0.7265425280053609</v>
      </c>
      <c r="J39">
        <f t="shared" si="2"/>
        <v>1.0009331782143633E-4</v>
      </c>
      <c r="K39">
        <f t="shared" si="3"/>
        <v>5.7349246686298899E-3</v>
      </c>
      <c r="L39">
        <f t="shared" si="4"/>
        <v>1.3763819204711736</v>
      </c>
    </row>
    <row r="40" spans="7:12" x14ac:dyDescent="0.15">
      <c r="G40">
        <v>37</v>
      </c>
      <c r="H40">
        <f t="shared" si="0"/>
        <v>0.64577182323790194</v>
      </c>
      <c r="I40">
        <f t="shared" si="1"/>
        <v>0.75355405010279419</v>
      </c>
      <c r="J40">
        <f t="shared" si="2"/>
        <v>9.6505422745070773E-5</v>
      </c>
      <c r="K40">
        <f t="shared" si="3"/>
        <v>5.5293534234183749E-3</v>
      </c>
      <c r="L40">
        <f t="shared" si="4"/>
        <v>1.32704482162041</v>
      </c>
    </row>
    <row r="41" spans="7:12" x14ac:dyDescent="0.15">
      <c r="G41">
        <v>38</v>
      </c>
      <c r="H41">
        <f t="shared" si="0"/>
        <v>0.66322511575784515</v>
      </c>
      <c r="I41">
        <f t="shared" si="1"/>
        <v>0.78128562650671729</v>
      </c>
      <c r="J41">
        <f t="shared" si="2"/>
        <v>9.3079982146331149E-5</v>
      </c>
      <c r="K41">
        <f t="shared" si="3"/>
        <v>5.333090134137828E-3</v>
      </c>
      <c r="L41">
        <f t="shared" si="4"/>
        <v>1.2799416321930788</v>
      </c>
    </row>
    <row r="42" spans="7:12" x14ac:dyDescent="0.15">
      <c r="G42">
        <v>39</v>
      </c>
      <c r="H42">
        <f t="shared" si="0"/>
        <v>0.68067840827778847</v>
      </c>
      <c r="I42">
        <f t="shared" si="1"/>
        <v>0.80978403319500702</v>
      </c>
      <c r="J42">
        <f t="shared" si="2"/>
        <v>8.980425543771858E-5</v>
      </c>
      <c r="K42">
        <f t="shared" si="3"/>
        <v>5.1454048188960483E-3</v>
      </c>
      <c r="L42">
        <f t="shared" si="4"/>
        <v>1.2348971565350517</v>
      </c>
    </row>
    <row r="43" spans="7:12" x14ac:dyDescent="0.15">
      <c r="G43">
        <v>40</v>
      </c>
      <c r="H43">
        <f t="shared" si="0"/>
        <v>0.69813170079773179</v>
      </c>
      <c r="I43">
        <f t="shared" si="1"/>
        <v>0.83909963117727993</v>
      </c>
      <c r="J43">
        <f t="shared" si="2"/>
        <v>8.6666766930166983E-5</v>
      </c>
      <c r="K43">
        <f t="shared" si="3"/>
        <v>4.9656399691425422E-3</v>
      </c>
      <c r="L43">
        <f t="shared" si="4"/>
        <v>1.1917535925942102</v>
      </c>
    </row>
    <row r="44" spans="7:12" x14ac:dyDescent="0.15">
      <c r="G44">
        <v>41</v>
      </c>
      <c r="H44">
        <f t="shared" si="0"/>
        <v>0.715584993317675</v>
      </c>
      <c r="I44">
        <f t="shared" si="1"/>
        <v>0.86928673781622645</v>
      </c>
      <c r="J44">
        <f t="shared" si="2"/>
        <v>8.3657151320539719E-5</v>
      </c>
      <c r="K44">
        <f t="shared" si="3"/>
        <v>4.7932016967542077E-3</v>
      </c>
      <c r="L44">
        <f t="shared" si="4"/>
        <v>1.1503684072210099</v>
      </c>
    </row>
    <row r="45" spans="7:12" x14ac:dyDescent="0.15">
      <c r="G45">
        <v>42</v>
      </c>
      <c r="H45">
        <f t="shared" si="0"/>
        <v>0.73303828583761843</v>
      </c>
      <c r="I45">
        <f t="shared" si="1"/>
        <v>0.90040404429783993</v>
      </c>
      <c r="J45">
        <f t="shared" si="2"/>
        <v>8.0766021240099014E-5</v>
      </c>
      <c r="K45">
        <f t="shared" si="3"/>
        <v>4.627552145121637E-3</v>
      </c>
      <c r="L45">
        <f t="shared" si="4"/>
        <v>1.110612514829193</v>
      </c>
    </row>
    <row r="46" spans="7:12" x14ac:dyDescent="0.15">
      <c r="G46">
        <v>43</v>
      </c>
      <c r="H46">
        <f t="shared" si="0"/>
        <v>0.75049157835756164</v>
      </c>
      <c r="I46">
        <f t="shared" si="1"/>
        <v>0.93251508613766154</v>
      </c>
      <c r="J46">
        <f t="shared" si="2"/>
        <v>7.7984853272062643E-5</v>
      </c>
      <c r="K46">
        <f t="shared" si="3"/>
        <v>4.4682029584361778E-3</v>
      </c>
      <c r="L46">
        <f t="shared" si="4"/>
        <v>1.0723687100246826</v>
      </c>
    </row>
    <row r="47" spans="7:12" x14ac:dyDescent="0.15">
      <c r="G47">
        <v>44</v>
      </c>
      <c r="H47">
        <f t="shared" si="0"/>
        <v>0.76794487087750496</v>
      </c>
      <c r="I47">
        <f t="shared" si="1"/>
        <v>0.96568877480707394</v>
      </c>
      <c r="J47">
        <f t="shared" si="2"/>
        <v>7.5305889499397842E-5</v>
      </c>
      <c r="K47">
        <f t="shared" si="3"/>
        <v>4.3147096407940401E-3</v>
      </c>
      <c r="L47">
        <f t="shared" si="4"/>
        <v>1.0355303137905696</v>
      </c>
    </row>
    <row r="48" spans="7:12" x14ac:dyDescent="0.15">
      <c r="G48">
        <v>45</v>
      </c>
      <c r="H48">
        <f t="shared" si="0"/>
        <v>0.78539816339744828</v>
      </c>
      <c r="I48">
        <f t="shared" si="1"/>
        <v>0.99999999999999989</v>
      </c>
      <c r="J48">
        <f t="shared" si="2"/>
        <v>7.2722052166430409E-5</v>
      </c>
      <c r="K48">
        <f t="shared" si="3"/>
        <v>4.1666666666666675E-3</v>
      </c>
      <c r="L48">
        <f t="shared" si="4"/>
        <v>1.0000000000000002</v>
      </c>
    </row>
    <row r="49" spans="7:12" x14ac:dyDescent="0.15">
      <c r="G49">
        <v>46</v>
      </c>
      <c r="H49">
        <f t="shared" si="0"/>
        <v>0.80285145591739149</v>
      </c>
      <c r="I49">
        <f t="shared" si="1"/>
        <v>1.0355303137905694</v>
      </c>
      <c r="J49">
        <f t="shared" si="2"/>
        <v>7.0226869458056307E-5</v>
      </c>
      <c r="K49">
        <f t="shared" si="3"/>
        <v>4.0237032283628096E-3</v>
      </c>
      <c r="L49">
        <f t="shared" si="4"/>
        <v>0.96568877480707427</v>
      </c>
    </row>
    <row r="50" spans="7:12" x14ac:dyDescent="0.15">
      <c r="G50">
        <v>47</v>
      </c>
      <c r="H50">
        <f t="shared" si="0"/>
        <v>0.82030474843733492</v>
      </c>
      <c r="I50">
        <f t="shared" si="1"/>
        <v>1.0723687100246826</v>
      </c>
      <c r="J50">
        <f t="shared" si="2"/>
        <v>6.7814410740086364E-5</v>
      </c>
      <c r="K50">
        <f t="shared" si="3"/>
        <v>3.8854795255735897E-3</v>
      </c>
      <c r="L50">
        <f t="shared" si="4"/>
        <v>0.93251508613766154</v>
      </c>
    </row>
    <row r="51" spans="7:12" x14ac:dyDescent="0.15">
      <c r="G51">
        <v>48</v>
      </c>
      <c r="H51">
        <f t="shared" si="0"/>
        <v>0.83775804095727813</v>
      </c>
      <c r="I51">
        <f t="shared" si="1"/>
        <v>1.1106125148291928</v>
      </c>
      <c r="J51">
        <f t="shared" si="2"/>
        <v>6.5479229880292429E-5</v>
      </c>
      <c r="K51">
        <f t="shared" si="3"/>
        <v>3.7516835179076664E-3</v>
      </c>
      <c r="L51">
        <f t="shared" si="4"/>
        <v>0.90040404429783993</v>
      </c>
    </row>
    <row r="52" spans="7:12" x14ac:dyDescent="0.15">
      <c r="G52">
        <v>49</v>
      </c>
      <c r="H52">
        <f t="shared" si="0"/>
        <v>0.85521133347722145</v>
      </c>
      <c r="I52">
        <f t="shared" si="1"/>
        <v>1.1503684072210094</v>
      </c>
      <c r="J52">
        <f t="shared" si="2"/>
        <v>6.3216315495057745E-5</v>
      </c>
      <c r="K52">
        <f t="shared" si="3"/>
        <v>3.6220280742342782E-3</v>
      </c>
      <c r="L52">
        <f t="shared" si="4"/>
        <v>0.86928673781622678</v>
      </c>
    </row>
    <row r="53" spans="7:12" x14ac:dyDescent="0.15">
      <c r="G53">
        <v>50</v>
      </c>
      <c r="H53">
        <f t="shared" si="0"/>
        <v>0.87266462599716477</v>
      </c>
      <c r="I53">
        <f t="shared" si="1"/>
        <v>1.19175359259421</v>
      </c>
      <c r="J53">
        <f t="shared" si="2"/>
        <v>6.102104715130666E-5</v>
      </c>
      <c r="K53">
        <f t="shared" si="3"/>
        <v>3.496248463238667E-3</v>
      </c>
      <c r="L53">
        <f t="shared" si="4"/>
        <v>0.83909963117728015</v>
      </c>
    </row>
    <row r="54" spans="7:12" x14ac:dyDescent="0.15">
      <c r="G54">
        <v>51</v>
      </c>
      <c r="H54">
        <f t="shared" si="0"/>
        <v>0.89011791851710798</v>
      </c>
      <c r="I54">
        <f t="shared" si="1"/>
        <v>1.2348971565350511</v>
      </c>
      <c r="J54">
        <f t="shared" si="2"/>
        <v>5.8889156705549732E-5</v>
      </c>
      <c r="K54">
        <f t="shared" si="3"/>
        <v>3.3741001383125308E-3</v>
      </c>
      <c r="L54">
        <f t="shared" si="4"/>
        <v>0.80978403319500736</v>
      </c>
    </row>
    <row r="55" spans="7:12" x14ac:dyDescent="0.15">
      <c r="G55">
        <v>52</v>
      </c>
      <c r="H55">
        <f t="shared" si="0"/>
        <v>0.90757121103705141</v>
      </c>
      <c r="I55">
        <f t="shared" si="1"/>
        <v>1.2799416321930788</v>
      </c>
      <c r="J55">
        <f t="shared" si="2"/>
        <v>5.6816694087703754E-5</v>
      </c>
      <c r="K55">
        <f t="shared" si="3"/>
        <v>3.255356777111322E-3</v>
      </c>
      <c r="L55">
        <f t="shared" si="4"/>
        <v>0.78128562650671729</v>
      </c>
    </row>
    <row r="56" spans="7:12" x14ac:dyDescent="0.15">
      <c r="G56">
        <v>53</v>
      </c>
      <c r="H56">
        <f t="shared" si="0"/>
        <v>0.92502450355699462</v>
      </c>
      <c r="I56">
        <f t="shared" si="1"/>
        <v>1.3270448216204098</v>
      </c>
      <c r="J56">
        <f t="shared" si="2"/>
        <v>5.4799996941800308E-5</v>
      </c>
      <c r="K56">
        <f t="shared" si="3"/>
        <v>3.1398085420949761E-3</v>
      </c>
      <c r="L56">
        <f t="shared" si="4"/>
        <v>0.7535540501027943</v>
      </c>
    </row>
    <row r="57" spans="7:12" x14ac:dyDescent="0.15">
      <c r="G57">
        <v>54</v>
      </c>
      <c r="H57">
        <f t="shared" si="0"/>
        <v>0.94247779607693793</v>
      </c>
      <c r="I57">
        <f t="shared" si="1"/>
        <v>1.3763819204711734</v>
      </c>
      <c r="J57">
        <f t="shared" si="2"/>
        <v>5.283566362273608E-5</v>
      </c>
      <c r="K57">
        <f t="shared" si="3"/>
        <v>3.0272605333556708E-3</v>
      </c>
      <c r="L57">
        <f t="shared" si="4"/>
        <v>0.72654252800536101</v>
      </c>
    </row>
    <row r="58" spans="7:12" x14ac:dyDescent="0.15">
      <c r="G58">
        <v>55</v>
      </c>
      <c r="H58">
        <f t="shared" si="0"/>
        <v>0.95993108859688125</v>
      </c>
      <c r="I58">
        <f t="shared" si="1"/>
        <v>1.4281480067421144</v>
      </c>
      <c r="J58">
        <f t="shared" si="2"/>
        <v>5.0920529121014324E-5</v>
      </c>
      <c r="K58">
        <f t="shared" si="3"/>
        <v>2.9175314092071245E-3</v>
      </c>
      <c r="L58">
        <f t="shared" si="4"/>
        <v>0.70020753820970993</v>
      </c>
    </row>
    <row r="59" spans="7:12" x14ac:dyDescent="0.15">
      <c r="G59">
        <v>56</v>
      </c>
      <c r="H59">
        <f t="shared" si="0"/>
        <v>0.97738438111682457</v>
      </c>
      <c r="I59">
        <f t="shared" si="1"/>
        <v>1.4825609685127403</v>
      </c>
      <c r="J59">
        <f t="shared" si="2"/>
        <v>4.9051643548516542E-5</v>
      </c>
      <c r="K59">
        <f t="shared" si="3"/>
        <v>2.810452153510111E-3</v>
      </c>
      <c r="L59">
        <f t="shared" si="4"/>
        <v>0.67450851684242663</v>
      </c>
    </row>
    <row r="60" spans="7:12" x14ac:dyDescent="0.15">
      <c r="G60">
        <v>57</v>
      </c>
      <c r="H60">
        <f t="shared" si="0"/>
        <v>0.99483767363676778</v>
      </c>
      <c r="I60">
        <f t="shared" si="1"/>
        <v>1.5398649638145827</v>
      </c>
      <c r="J60">
        <f t="shared" si="2"/>
        <v>4.7226252869785378E-5</v>
      </c>
      <c r="K60">
        <f t="shared" si="3"/>
        <v>2.7058649716562942E-3</v>
      </c>
      <c r="L60">
        <f t="shared" si="4"/>
        <v>0.64940759319751062</v>
      </c>
    </row>
    <row r="61" spans="7:12" x14ac:dyDescent="0.15">
      <c r="G61">
        <v>58</v>
      </c>
      <c r="H61">
        <f t="shared" si="0"/>
        <v>1.0122909661567112</v>
      </c>
      <c r="I61">
        <f t="shared" si="1"/>
        <v>1.6003345290410507</v>
      </c>
      <c r="J61">
        <f t="shared" si="2"/>
        <v>4.5441781606753658E-5</v>
      </c>
      <c r="K61">
        <f t="shared" si="3"/>
        <v>2.6036222996221972E-3</v>
      </c>
      <c r="L61">
        <f t="shared" si="4"/>
        <v>0.62486935190932735</v>
      </c>
    </row>
    <row r="62" spans="7:12" x14ac:dyDescent="0.15">
      <c r="G62">
        <v>59</v>
      </c>
      <c r="H62">
        <f t="shared" si="0"/>
        <v>1.0297442586766543</v>
      </c>
      <c r="I62">
        <f t="shared" si="1"/>
        <v>1.6642794823505174</v>
      </c>
      <c r="J62">
        <f t="shared" si="2"/>
        <v>4.3695817281675923E-5</v>
      </c>
      <c r="K62">
        <f t="shared" si="3"/>
        <v>2.5035859126148357E-3</v>
      </c>
      <c r="L62">
        <f t="shared" si="4"/>
        <v>0.60086061902756061</v>
      </c>
    </row>
    <row r="63" spans="7:12" x14ac:dyDescent="0.15">
      <c r="G63">
        <v>60</v>
      </c>
      <c r="H63">
        <f t="shared" si="0"/>
        <v>1.0471975511965976</v>
      </c>
      <c r="I63">
        <f t="shared" si="1"/>
        <v>1.7320508075688767</v>
      </c>
      <c r="J63">
        <f t="shared" si="2"/>
        <v>4.1986096394310612E-5</v>
      </c>
      <c r="K63">
        <f t="shared" si="3"/>
        <v>2.4056261216234415E-3</v>
      </c>
      <c r="L63">
        <f t="shared" si="4"/>
        <v>0.57735026918962595</v>
      </c>
    </row>
    <row r="64" spans="7:12" x14ac:dyDescent="0.15">
      <c r="G64">
        <v>61</v>
      </c>
      <c r="H64">
        <f t="shared" si="0"/>
        <v>1.064650843716541</v>
      </c>
      <c r="I64">
        <f t="shared" si="1"/>
        <v>1.8040477552714236</v>
      </c>
      <c r="J64">
        <f t="shared" si="2"/>
        <v>4.0310491756072818E-5</v>
      </c>
      <c r="K64">
        <f t="shared" si="3"/>
        <v>2.309621047719871E-3</v>
      </c>
      <c r="L64">
        <f t="shared" si="4"/>
        <v>0.5543090514527691</v>
      </c>
    </row>
    <row r="65" spans="7:12" x14ac:dyDescent="0.15">
      <c r="G65">
        <v>62</v>
      </c>
      <c r="H65">
        <f t="shared" si="0"/>
        <v>1.0821041362364843</v>
      </c>
      <c r="I65">
        <f t="shared" si="1"/>
        <v>1.8807264653463318</v>
      </c>
      <c r="J65">
        <f t="shared" si="2"/>
        <v>3.8667001026669121E-5</v>
      </c>
      <c r="K65">
        <f t="shared" si="3"/>
        <v>2.2154559652561617E-3</v>
      </c>
      <c r="L65">
        <f t="shared" si="4"/>
        <v>0.53170943166147888</v>
      </c>
    </row>
    <row r="66" spans="7:12" x14ac:dyDescent="0.15">
      <c r="G66">
        <v>63</v>
      </c>
      <c r="H66">
        <f t="shared" si="0"/>
        <v>1.0995574287564276</v>
      </c>
      <c r="I66">
        <f t="shared" si="1"/>
        <v>1.9626105055051504</v>
      </c>
      <c r="J66">
        <f t="shared" si="2"/>
        <v>3.7053736318257748E-5</v>
      </c>
      <c r="K66">
        <f t="shared" si="3"/>
        <v>2.1230227062267867E-3</v>
      </c>
      <c r="L66">
        <f t="shared" si="4"/>
        <v>0.50952544949442879</v>
      </c>
    </row>
    <row r="67" spans="7:12" x14ac:dyDescent="0.15">
      <c r="G67">
        <v>64</v>
      </c>
      <c r="H67">
        <f t="shared" si="0"/>
        <v>1.1170107212763709</v>
      </c>
      <c r="I67">
        <f t="shared" si="1"/>
        <v>2.050303841579296</v>
      </c>
      <c r="J67">
        <f t="shared" si="2"/>
        <v>3.5468914748954711E-5</v>
      </c>
      <c r="K67">
        <f t="shared" si="3"/>
        <v>2.0322191190244227E-3</v>
      </c>
      <c r="L67">
        <f t="shared" si="4"/>
        <v>0.48773258856586144</v>
      </c>
    </row>
    <row r="68" spans="7:12" x14ac:dyDescent="0.15">
      <c r="G68">
        <v>65</v>
      </c>
      <c r="H68">
        <f t="shared" si="0"/>
        <v>1.1344640137963142</v>
      </c>
      <c r="I68">
        <f t="shared" si="1"/>
        <v>2.1445069205095586</v>
      </c>
      <c r="J68">
        <f t="shared" si="2"/>
        <v>3.39108498419538E-5</v>
      </c>
      <c r="K68">
        <f t="shared" si="3"/>
        <v>1.9429485756458273E-3</v>
      </c>
      <c r="L68">
        <f t="shared" si="4"/>
        <v>0.46630765815499858</v>
      </c>
    </row>
    <row r="69" spans="7:12" x14ac:dyDescent="0.15">
      <c r="G69">
        <v>66</v>
      </c>
      <c r="H69">
        <f t="shared" ref="H69:H92" si="5">G69*PI()/180</f>
        <v>1.1519173063162575</v>
      </c>
      <c r="I69">
        <f t="shared" ref="I69:I92" si="6">TAN(H69)</f>
        <v>2.2460367739042164</v>
      </c>
      <c r="J69">
        <f t="shared" ref="J69:J92" si="7">$C$14/I69</f>
        <v>3.2377943678998583E-5</v>
      </c>
      <c r="K69">
        <f t="shared" ref="K69:K92" si="8">J69*180/PI()</f>
        <v>1.8551195221189001E-3</v>
      </c>
      <c r="L69">
        <f t="shared" ref="L69:L92" si="9">K69/$C$8</f>
        <v>0.44522868530853604</v>
      </c>
    </row>
    <row r="70" spans="7:12" x14ac:dyDescent="0.15">
      <c r="G70">
        <v>67</v>
      </c>
      <c r="H70">
        <f t="shared" si="5"/>
        <v>1.1693705988362006</v>
      </c>
      <c r="I70">
        <f t="shared" si="6"/>
        <v>2.3558523658237518</v>
      </c>
      <c r="J70">
        <f t="shared" si="7"/>
        <v>3.0868679727730844E-5</v>
      </c>
      <c r="K70">
        <f t="shared" si="8"/>
        <v>1.7686450675400206E-3</v>
      </c>
      <c r="L70">
        <f t="shared" si="9"/>
        <v>0.42447481620960492</v>
      </c>
    </row>
    <row r="71" spans="7:12" x14ac:dyDescent="0.15">
      <c r="G71">
        <v>68</v>
      </c>
      <c r="H71">
        <f t="shared" si="5"/>
        <v>1.1868238913561442</v>
      </c>
      <c r="I71">
        <f t="shared" si="6"/>
        <v>2.4750868534162964</v>
      </c>
      <c r="J71">
        <f t="shared" si="7"/>
        <v>2.9381616271790254E-5</v>
      </c>
      <c r="K71">
        <f t="shared" si="8"/>
        <v>1.6834426076464864E-3</v>
      </c>
      <c r="L71">
        <f t="shared" si="9"/>
        <v>0.40402622583515674</v>
      </c>
    </row>
    <row r="72" spans="7:12" x14ac:dyDescent="0.15">
      <c r="G72">
        <v>69</v>
      </c>
      <c r="H72">
        <f t="shared" si="5"/>
        <v>1.2042771838760873</v>
      </c>
      <c r="I72">
        <f t="shared" si="6"/>
        <v>2.6050890646938005</v>
      </c>
      <c r="J72">
        <f t="shared" si="7"/>
        <v>2.7915380380661982E-5</v>
      </c>
      <c r="K72">
        <f t="shared" si="8"/>
        <v>1.5994334793142332E-3</v>
      </c>
      <c r="L72">
        <f t="shared" si="9"/>
        <v>0.383864035035416</v>
      </c>
    </row>
    <row r="73" spans="7:12" x14ac:dyDescent="0.15">
      <c r="G73">
        <v>70</v>
      </c>
      <c r="H73">
        <f t="shared" si="5"/>
        <v>1.2217304763960306</v>
      </c>
      <c r="I73">
        <f t="shared" si="6"/>
        <v>2.7474774194546216</v>
      </c>
      <c r="J73">
        <f t="shared" si="7"/>
        <v>2.6468662363334666E-5</v>
      </c>
      <c r="K73">
        <f t="shared" si="8"/>
        <v>1.5165426427758437E-3</v>
      </c>
      <c r="L73">
        <f t="shared" si="9"/>
        <v>0.36397023426620251</v>
      </c>
    </row>
    <row r="74" spans="7:12" x14ac:dyDescent="0.15">
      <c r="G74">
        <v>71</v>
      </c>
      <c r="H74">
        <f t="shared" si="5"/>
        <v>1.2391837689159739</v>
      </c>
      <c r="I74">
        <f t="shared" si="6"/>
        <v>2.9042108776758222</v>
      </c>
      <c r="J74">
        <f t="shared" si="7"/>
        <v>2.5040210655993514E-5</v>
      </c>
      <c r="K74">
        <f t="shared" si="8"/>
        <v>1.4346983887069389E-3</v>
      </c>
      <c r="L74">
        <f t="shared" si="9"/>
        <v>0.34432761328966532</v>
      </c>
    </row>
    <row r="75" spans="7:12" x14ac:dyDescent="0.15">
      <c r="G75">
        <v>72</v>
      </c>
      <c r="H75">
        <f t="shared" si="5"/>
        <v>1.2566370614359172</v>
      </c>
      <c r="I75">
        <f t="shared" si="6"/>
        <v>3.0776835371752527</v>
      </c>
      <c r="J75">
        <f t="shared" si="7"/>
        <v>2.3628827099350138E-5</v>
      </c>
      <c r="K75">
        <f t="shared" si="8"/>
        <v>1.35383206763711E-3</v>
      </c>
      <c r="L75">
        <f t="shared" si="9"/>
        <v>0.3249196962329064</v>
      </c>
    </row>
    <row r="76" spans="7:12" x14ac:dyDescent="0.15">
      <c r="G76">
        <v>73</v>
      </c>
      <c r="H76">
        <f t="shared" si="5"/>
        <v>1.2740903539558606</v>
      </c>
      <c r="I76">
        <f t="shared" si="6"/>
        <v>3.2708526184841404</v>
      </c>
      <c r="J76">
        <f t="shared" si="7"/>
        <v>2.2233362565915017E-5</v>
      </c>
      <c r="K76">
        <f t="shared" si="8"/>
        <v>1.273877839411085E-3</v>
      </c>
      <c r="L76">
        <f t="shared" si="9"/>
        <v>0.30573068145866039</v>
      </c>
    </row>
    <row r="77" spans="7:12" x14ac:dyDescent="0.15">
      <c r="G77">
        <v>74</v>
      </c>
      <c r="H77">
        <f t="shared" si="5"/>
        <v>1.2915436464758039</v>
      </c>
      <c r="I77">
        <f t="shared" si="6"/>
        <v>3.4874144438409087</v>
      </c>
      <c r="J77">
        <f t="shared" si="7"/>
        <v>2.085271290163524E-5</v>
      </c>
      <c r="K77">
        <f t="shared" si="8"/>
        <v>1.1947724406616998E-3</v>
      </c>
      <c r="L77">
        <f t="shared" si="9"/>
        <v>0.28674538575880798</v>
      </c>
    </row>
    <row r="78" spans="7:12" x14ac:dyDescent="0.15">
      <c r="G78">
        <v>75</v>
      </c>
      <c r="H78">
        <f t="shared" si="5"/>
        <v>1.3089969389957472</v>
      </c>
      <c r="I78">
        <f t="shared" si="6"/>
        <v>3.7320508075688776</v>
      </c>
      <c r="J78">
        <f t="shared" si="7"/>
        <v>1.9485815149928999E-5</v>
      </c>
      <c r="K78">
        <f t="shared" si="8"/>
        <v>1.1164549684630112E-3</v>
      </c>
      <c r="L78">
        <f t="shared" si="9"/>
        <v>0.2679491924311227</v>
      </c>
    </row>
    <row r="79" spans="7:12" x14ac:dyDescent="0.15">
      <c r="G79">
        <v>76</v>
      </c>
      <c r="H79">
        <f t="shared" si="5"/>
        <v>1.3264502315156903</v>
      </c>
      <c r="I79">
        <f t="shared" si="6"/>
        <v>4.010780933535842</v>
      </c>
      <c r="J79">
        <f t="shared" si="7"/>
        <v>1.8131644029313704E-5</v>
      </c>
      <c r="K79">
        <f t="shared" si="8"/>
        <v>1.0388666785132534E-3</v>
      </c>
      <c r="L79">
        <f t="shared" si="9"/>
        <v>0.24932800284318082</v>
      </c>
    </row>
    <row r="80" spans="7:12" x14ac:dyDescent="0.15">
      <c r="G80">
        <v>77</v>
      </c>
      <c r="H80">
        <f t="shared" si="5"/>
        <v>1.3439035240356338</v>
      </c>
      <c r="I80">
        <f t="shared" si="6"/>
        <v>4.3314758742841573</v>
      </c>
      <c r="J80">
        <f t="shared" si="7"/>
        <v>1.6789208638602615E-5</v>
      </c>
      <c r="K80">
        <f t="shared" si="8"/>
        <v>9.6195079635651246E-4</v>
      </c>
      <c r="L80">
        <f t="shared" si="9"/>
        <v>0.230868191125563</v>
      </c>
    </row>
    <row r="81" spans="7:12" x14ac:dyDescent="0.15">
      <c r="G81">
        <v>78</v>
      </c>
      <c r="H81">
        <f t="shared" si="5"/>
        <v>1.3613568165555769</v>
      </c>
      <c r="I81">
        <f t="shared" si="6"/>
        <v>4.7046301094784511</v>
      </c>
      <c r="J81">
        <f t="shared" si="7"/>
        <v>1.5457549366084438E-5</v>
      </c>
      <c r="K81">
        <f t="shared" si="8"/>
        <v>8.8565234029175941E-4</v>
      </c>
      <c r="L81">
        <f t="shared" si="9"/>
        <v>0.21255656167002226</v>
      </c>
    </row>
    <row r="82" spans="7:12" x14ac:dyDescent="0.15">
      <c r="G82">
        <v>79</v>
      </c>
      <c r="H82">
        <f t="shared" si="5"/>
        <v>1.3788101090755203</v>
      </c>
      <c r="I82">
        <f t="shared" si="6"/>
        <v>5.1445540159703071</v>
      </c>
      <c r="J82">
        <f t="shared" si="7"/>
        <v>1.4135734981240038E-5</v>
      </c>
      <c r="K82">
        <f t="shared" si="8"/>
        <v>8.0991795474049419E-4</v>
      </c>
      <c r="L82">
        <f t="shared" si="9"/>
        <v>0.19438030913771862</v>
      </c>
    </row>
    <row r="83" spans="7:12" x14ac:dyDescent="0.15">
      <c r="G83">
        <v>80</v>
      </c>
      <c r="H83">
        <f t="shared" si="5"/>
        <v>1.3962634015954636</v>
      </c>
      <c r="I83">
        <f t="shared" si="6"/>
        <v>5.6712818196177066</v>
      </c>
      <c r="J83">
        <f t="shared" si="7"/>
        <v>1.2822859889430162E-5</v>
      </c>
      <c r="K83">
        <f t="shared" si="8"/>
        <v>7.3469575295193761E-4</v>
      </c>
      <c r="L83">
        <f t="shared" si="9"/>
        <v>0.17632698070846503</v>
      </c>
    </row>
    <row r="84" spans="7:12" x14ac:dyDescent="0.15">
      <c r="G84">
        <v>81</v>
      </c>
      <c r="H84">
        <f t="shared" si="5"/>
        <v>1.4137166941154069</v>
      </c>
      <c r="I84">
        <f t="shared" si="6"/>
        <v>6.3137515146750411</v>
      </c>
      <c r="J84">
        <f t="shared" si="7"/>
        <v>1.1518041531631814E-5</v>
      </c>
      <c r="K84">
        <f t="shared" si="8"/>
        <v>6.5993516801890137E-4</v>
      </c>
      <c r="L84">
        <f t="shared" si="9"/>
        <v>0.15838444032453633</v>
      </c>
    </row>
    <row r="85" spans="7:12" x14ac:dyDescent="0.15">
      <c r="G85">
        <v>82</v>
      </c>
      <c r="H85">
        <f t="shared" si="5"/>
        <v>1.43116998663535</v>
      </c>
      <c r="I85">
        <f t="shared" si="6"/>
        <v>7.1153697223841954</v>
      </c>
      <c r="J85">
        <f t="shared" si="7"/>
        <v>1.0220417912741001E-5</v>
      </c>
      <c r="K85">
        <f t="shared" si="8"/>
        <v>5.8558681125996537E-4</v>
      </c>
      <c r="L85">
        <f t="shared" si="9"/>
        <v>0.1405408347023917</v>
      </c>
    </row>
    <row r="86" spans="7:12" x14ac:dyDescent="0.15">
      <c r="G86">
        <v>83</v>
      </c>
      <c r="H86">
        <f t="shared" si="5"/>
        <v>1.4486232791552935</v>
      </c>
      <c r="I86">
        <f t="shared" si="6"/>
        <v>8.1443464279745932</v>
      </c>
      <c r="J86">
        <f t="shared" si="7"/>
        <v>8.9291452432132783E-6</v>
      </c>
      <c r="K86">
        <f t="shared" si="8"/>
        <v>5.1160233709543587E-4</v>
      </c>
      <c r="L86">
        <f t="shared" si="9"/>
        <v>0.12278456090290461</v>
      </c>
    </row>
    <row r="87" spans="7:12" x14ac:dyDescent="0.15">
      <c r="G87">
        <v>84</v>
      </c>
      <c r="H87">
        <f t="shared" si="5"/>
        <v>1.4660765716752369</v>
      </c>
      <c r="I87">
        <f t="shared" si="6"/>
        <v>9.5143644542225871</v>
      </c>
      <c r="J87">
        <f t="shared" si="7"/>
        <v>7.6433956799032959E-6</v>
      </c>
      <c r="K87">
        <f t="shared" si="8"/>
        <v>4.3793431360698517E-4</v>
      </c>
      <c r="L87">
        <f t="shared" si="9"/>
        <v>0.10510423526567644</v>
      </c>
    </row>
    <row r="88" spans="7:12" x14ac:dyDescent="0.15">
      <c r="G88">
        <v>85</v>
      </c>
      <c r="H88">
        <f t="shared" si="5"/>
        <v>1.4835298641951802</v>
      </c>
      <c r="I88">
        <f t="shared" si="6"/>
        <v>11.430052302761348</v>
      </c>
      <c r="J88">
        <f t="shared" si="7"/>
        <v>6.3623551529035184E-6</v>
      </c>
      <c r="K88">
        <f t="shared" si="8"/>
        <v>3.6453609802468315E-4</v>
      </c>
      <c r="L88">
        <f t="shared" si="9"/>
        <v>8.7488663525923951E-2</v>
      </c>
    </row>
    <row r="89" spans="7:12" x14ac:dyDescent="0.15">
      <c r="G89">
        <v>86</v>
      </c>
      <c r="H89">
        <f t="shared" si="5"/>
        <v>1.5009831567151233</v>
      </c>
      <c r="I89">
        <f t="shared" si="6"/>
        <v>14.300666256711896</v>
      </c>
      <c r="J89">
        <f t="shared" si="7"/>
        <v>5.085221265988144E-6</v>
      </c>
      <c r="K89">
        <f t="shared" si="8"/>
        <v>2.9136171643129403E-4</v>
      </c>
      <c r="L89">
        <f t="shared" si="9"/>
        <v>6.9926811943510567E-2</v>
      </c>
    </row>
    <row r="90" spans="7:12" x14ac:dyDescent="0.15">
      <c r="G90">
        <v>87</v>
      </c>
      <c r="H90">
        <f t="shared" si="5"/>
        <v>1.5184364492350666</v>
      </c>
      <c r="I90">
        <f t="shared" si="6"/>
        <v>19.081136687728161</v>
      </c>
      <c r="J90">
        <f t="shared" si="7"/>
        <v>3.8112012589481023E-6</v>
      </c>
      <c r="K90">
        <f t="shared" si="8"/>
        <v>2.1836574701267225E-4</v>
      </c>
      <c r="L90">
        <f t="shared" si="9"/>
        <v>5.2407779283041342E-2</v>
      </c>
    </row>
    <row r="91" spans="7:12" x14ac:dyDescent="0.15">
      <c r="G91">
        <v>88</v>
      </c>
      <c r="H91">
        <f t="shared" si="5"/>
        <v>1.5358897417550099</v>
      </c>
      <c r="I91">
        <f t="shared" si="6"/>
        <v>28.636253282915515</v>
      </c>
      <c r="J91">
        <f t="shared" si="7"/>
        <v>2.5395100206707772E-6</v>
      </c>
      <c r="K91">
        <f t="shared" si="8"/>
        <v>1.4550320621561599E-4</v>
      </c>
      <c r="L91">
        <f t="shared" si="9"/>
        <v>3.4920769491747834E-2</v>
      </c>
    </row>
    <row r="92" spans="7:12" x14ac:dyDescent="0.15">
      <c r="G92">
        <v>89</v>
      </c>
      <c r="H92">
        <f t="shared" si="5"/>
        <v>1.5533430342749535</v>
      </c>
      <c r="I92">
        <f t="shared" si="6"/>
        <v>57.289961630759876</v>
      </c>
      <c r="J92">
        <f t="shared" si="7"/>
        <v>1.2693681422782589E-6</v>
      </c>
      <c r="K92">
        <f t="shared" si="8"/>
        <v>7.2729437200906027E-5</v>
      </c>
      <c r="L92">
        <f t="shared" si="9"/>
        <v>1.7455064928217447E-2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E24"/>
  <sheetViews>
    <sheetView workbookViewId="0"/>
  </sheetViews>
  <sheetFormatPr baseColWidth="10" defaultColWidth="8.83203125" defaultRowHeight="13" x14ac:dyDescent="0.15"/>
  <cols>
    <col min="1" max="1" width="8.83203125" style="1" customWidth="1"/>
    <col min="2" max="2" width="23.83203125" style="1" customWidth="1"/>
    <col min="3" max="3" width="12.5" style="1" bestFit="1" customWidth="1"/>
    <col min="4" max="4" width="14.5" style="1" customWidth="1"/>
    <col min="5" max="16384" width="8.83203125" style="1"/>
  </cols>
  <sheetData>
    <row r="3" spans="2:4" x14ac:dyDescent="0.15">
      <c r="B3" s="1" t="s">
        <v>301</v>
      </c>
      <c r="C3" s="1">
        <v>0.64</v>
      </c>
      <c r="D3" s="1" t="s">
        <v>43</v>
      </c>
    </row>
    <row r="4" spans="2:4" x14ac:dyDescent="0.15">
      <c r="B4" s="1" t="s">
        <v>189</v>
      </c>
      <c r="C4" s="1">
        <f>C3/2</f>
        <v>0.32</v>
      </c>
      <c r="D4" s="1" t="s">
        <v>43</v>
      </c>
    </row>
    <row r="5" spans="2:4" x14ac:dyDescent="0.15">
      <c r="B5" s="1" t="s">
        <v>190</v>
      </c>
      <c r="C5" s="9">
        <v>10</v>
      </c>
      <c r="D5" s="1" t="s">
        <v>95</v>
      </c>
    </row>
    <row r="6" spans="2:4" x14ac:dyDescent="0.15">
      <c r="B6" s="1" t="s">
        <v>191</v>
      </c>
      <c r="C6" s="1">
        <v>20</v>
      </c>
      <c r="D6" s="1" t="s">
        <v>0</v>
      </c>
    </row>
    <row r="7" spans="2:4" x14ac:dyDescent="0.15">
      <c r="B7" s="1" t="s">
        <v>26</v>
      </c>
      <c r="C7" s="1">
        <v>15</v>
      </c>
      <c r="D7" s="1" t="s">
        <v>27</v>
      </c>
    </row>
    <row r="9" spans="2:4" x14ac:dyDescent="0.15">
      <c r="B9" s="1" t="s">
        <v>192</v>
      </c>
      <c r="C9" s="46">
        <f>ATAN((C5*0.000001/C6)/C4)*180/PI()/C7</f>
        <v>5.9683103659412183E-6</v>
      </c>
      <c r="D9" s="1" t="s">
        <v>38</v>
      </c>
    </row>
    <row r="10" spans="2:4" x14ac:dyDescent="0.15">
      <c r="C10" s="16">
        <f>C9*3600</f>
        <v>2.1485917317388387E-2</v>
      </c>
      <c r="D10" s="1" t="s">
        <v>523</v>
      </c>
    </row>
    <row r="14" spans="2:4" x14ac:dyDescent="0.15">
      <c r="B14" s="189" t="s">
        <v>301</v>
      </c>
      <c r="C14" s="189">
        <v>0.64</v>
      </c>
      <c r="D14" s="189" t="s">
        <v>43</v>
      </c>
    </row>
    <row r="15" spans="2:4" x14ac:dyDescent="0.15">
      <c r="B15" s="189" t="s">
        <v>189</v>
      </c>
      <c r="C15" s="189">
        <f>C14/2</f>
        <v>0.32</v>
      </c>
      <c r="D15" s="189" t="s">
        <v>43</v>
      </c>
    </row>
    <row r="16" spans="2:4" x14ac:dyDescent="0.15">
      <c r="B16" s="189" t="s">
        <v>190</v>
      </c>
      <c r="C16" s="190">
        <v>10</v>
      </c>
      <c r="D16" s="189" t="s">
        <v>95</v>
      </c>
    </row>
    <row r="17" spans="2:5" ht="28" x14ac:dyDescent="0.15">
      <c r="B17" s="191" t="s">
        <v>516</v>
      </c>
      <c r="C17" s="192">
        <f>ATAN(C16*0.000001/C15)*180/PI()</f>
        <v>1.7904931092009792E-3</v>
      </c>
      <c r="D17" s="189" t="s">
        <v>155</v>
      </c>
    </row>
    <row r="18" spans="2:5" x14ac:dyDescent="0.15">
      <c r="B18" s="189"/>
      <c r="C18" s="192">
        <f>C17*3600</f>
        <v>6.4457751931235254</v>
      </c>
      <c r="D18" s="189" t="s">
        <v>517</v>
      </c>
    </row>
    <row r="19" spans="2:5" x14ac:dyDescent="0.15">
      <c r="B19" s="189"/>
      <c r="C19" s="189"/>
      <c r="D19" s="189"/>
    </row>
    <row r="20" spans="2:5" x14ac:dyDescent="0.15">
      <c r="B20" s="189" t="s">
        <v>518</v>
      </c>
      <c r="C20" s="189">
        <v>0.1</v>
      </c>
      <c r="D20" s="189" t="s">
        <v>190</v>
      </c>
      <c r="E20" s="188" t="s">
        <v>520</v>
      </c>
    </row>
    <row r="21" spans="2:5" x14ac:dyDescent="0.15">
      <c r="B21" s="189" t="s">
        <v>519</v>
      </c>
      <c r="C21" s="189">
        <v>1</v>
      </c>
      <c r="D21" s="189" t="s">
        <v>27</v>
      </c>
      <c r="E21" s="188"/>
    </row>
    <row r="22" spans="2:5" x14ac:dyDescent="0.15">
      <c r="B22" s="189" t="s">
        <v>521</v>
      </c>
      <c r="C22" s="192">
        <f>C18*C20/C21</f>
        <v>0.64457751931235263</v>
      </c>
      <c r="D22" s="189" t="s">
        <v>522</v>
      </c>
    </row>
    <row r="23" spans="2:5" x14ac:dyDescent="0.15">
      <c r="B23" s="189"/>
      <c r="C23" s="189"/>
      <c r="D23" s="189"/>
    </row>
    <row r="24" spans="2:5" x14ac:dyDescent="0.15">
      <c r="B24" s="193" t="s">
        <v>524</v>
      </c>
      <c r="C24" s="194">
        <f>C22/C10</f>
        <v>29.999999990258782</v>
      </c>
      <c r="D24" s="189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F25"/>
  <sheetViews>
    <sheetView workbookViewId="0"/>
  </sheetViews>
  <sheetFormatPr baseColWidth="10" defaultColWidth="8.83203125" defaultRowHeight="13" x14ac:dyDescent="0.15"/>
  <cols>
    <col min="3" max="3" width="15.5" customWidth="1"/>
  </cols>
  <sheetData>
    <row r="3" spans="2:5" x14ac:dyDescent="0.15">
      <c r="B3">
        <v>180</v>
      </c>
      <c r="C3" t="s">
        <v>302</v>
      </c>
    </row>
    <row r="4" spans="2:5" x14ac:dyDescent="0.15">
      <c r="B4">
        <v>60</v>
      </c>
      <c r="C4" t="s">
        <v>284</v>
      </c>
    </row>
    <row r="5" spans="2:5" x14ac:dyDescent="0.15">
      <c r="B5">
        <f>B3/B4</f>
        <v>3</v>
      </c>
      <c r="C5" t="s">
        <v>38</v>
      </c>
    </row>
    <row r="7" spans="2:5" x14ac:dyDescent="0.15">
      <c r="B7">
        <v>3.5</v>
      </c>
      <c r="C7" t="s">
        <v>38</v>
      </c>
      <c r="D7" t="s">
        <v>320</v>
      </c>
    </row>
    <row r="8" spans="2:5" x14ac:dyDescent="0.15">
      <c r="B8">
        <v>1</v>
      </c>
      <c r="C8" t="s">
        <v>321</v>
      </c>
      <c r="D8" t="s">
        <v>320</v>
      </c>
    </row>
    <row r="12" spans="2:5" x14ac:dyDescent="0.15">
      <c r="C12" t="s">
        <v>341</v>
      </c>
    </row>
    <row r="13" spans="2:5" x14ac:dyDescent="0.15">
      <c r="C13" t="s">
        <v>342</v>
      </c>
      <c r="D13">
        <v>1</v>
      </c>
      <c r="E13" t="s">
        <v>29</v>
      </c>
    </row>
    <row r="14" spans="2:5" x14ac:dyDescent="0.15">
      <c r="C14" t="s">
        <v>344</v>
      </c>
      <c r="D14">
        <v>20</v>
      </c>
    </row>
    <row r="15" spans="2:5" x14ac:dyDescent="0.15">
      <c r="C15" t="s">
        <v>345</v>
      </c>
      <c r="D15">
        <f>D13/D14</f>
        <v>0.05</v>
      </c>
      <c r="E15" t="s">
        <v>29</v>
      </c>
    </row>
    <row r="16" spans="2:5" x14ac:dyDescent="0.15">
      <c r="C16" t="s">
        <v>343</v>
      </c>
      <c r="D16">
        <v>320</v>
      </c>
      <c r="E16" t="s">
        <v>29</v>
      </c>
    </row>
    <row r="17" spans="2:6" x14ac:dyDescent="0.15">
      <c r="C17" t="s">
        <v>280</v>
      </c>
      <c r="D17">
        <f>ASIN(D15/D16)</f>
        <v>1.5625000063578291E-4</v>
      </c>
      <c r="E17" t="s">
        <v>173</v>
      </c>
    </row>
    <row r="18" spans="2:6" x14ac:dyDescent="0.15">
      <c r="D18">
        <f>D17*180/PI()</f>
        <v>8.9524655853467899E-3</v>
      </c>
      <c r="E18" t="s">
        <v>155</v>
      </c>
    </row>
    <row r="19" spans="2:6" x14ac:dyDescent="0.15">
      <c r="C19" t="s">
        <v>346</v>
      </c>
      <c r="D19" s="11">
        <f>D18</f>
        <v>8.9524655853467899E-3</v>
      </c>
      <c r="E19" t="s">
        <v>155</v>
      </c>
    </row>
    <row r="22" spans="2:6" x14ac:dyDescent="0.15">
      <c r="B22" s="4" t="s">
        <v>609</v>
      </c>
    </row>
    <row r="23" spans="2:6" x14ac:dyDescent="0.15">
      <c r="B23" s="4">
        <v>90</v>
      </c>
      <c r="C23" s="4" t="s">
        <v>155</v>
      </c>
      <c r="D23" s="4" t="s">
        <v>610</v>
      </c>
      <c r="E23" s="4"/>
      <c r="F23" s="4"/>
    </row>
    <row r="24" spans="2:6" x14ac:dyDescent="0.15">
      <c r="B24" s="4">
        <v>30</v>
      </c>
      <c r="C24" s="4" t="s">
        <v>27</v>
      </c>
      <c r="D24" s="4"/>
      <c r="E24" s="4"/>
      <c r="F24" s="4"/>
    </row>
    <row r="25" spans="2:6" x14ac:dyDescent="0.15">
      <c r="B25" s="4">
        <f>B23/B24</f>
        <v>3</v>
      </c>
      <c r="C25" s="4" t="s">
        <v>38</v>
      </c>
      <c r="D25" s="4" t="s">
        <v>611</v>
      </c>
      <c r="E25" s="4"/>
      <c r="F25" s="4"/>
    </row>
  </sheetData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4:E4"/>
  <sheetViews>
    <sheetView workbookViewId="0"/>
  </sheetViews>
  <sheetFormatPr baseColWidth="10" defaultColWidth="8.83203125" defaultRowHeight="13" x14ac:dyDescent="0.15"/>
  <cols>
    <col min="3" max="3" width="10.6640625" customWidth="1"/>
  </cols>
  <sheetData>
    <row r="4" spans="3:5" x14ac:dyDescent="0.15">
      <c r="C4" t="s">
        <v>330</v>
      </c>
      <c r="D4">
        <v>2</v>
      </c>
      <c r="E4" t="s">
        <v>27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06"/>
  <sheetViews>
    <sheetView workbookViewId="0"/>
  </sheetViews>
  <sheetFormatPr baseColWidth="10" defaultColWidth="8.83203125" defaultRowHeight="13" x14ac:dyDescent="0.15"/>
  <cols>
    <col min="2" max="2" width="10.83203125" customWidth="1"/>
    <col min="3" max="3" width="11.33203125" bestFit="1" customWidth="1"/>
    <col min="4" max="4" width="12.5" bestFit="1" customWidth="1"/>
  </cols>
  <sheetData>
    <row r="1" spans="1:14" ht="14" thickBot="1" x14ac:dyDescent="0.2">
      <c r="H1" t="s">
        <v>701</v>
      </c>
    </row>
    <row r="2" spans="1:14" x14ac:dyDescent="0.15">
      <c r="H2" s="260"/>
      <c r="I2" s="261" t="s">
        <v>702</v>
      </c>
      <c r="J2" s="261" t="s">
        <v>703</v>
      </c>
      <c r="K2" s="261" t="s">
        <v>704</v>
      </c>
      <c r="L2" s="261" t="s">
        <v>705</v>
      </c>
      <c r="M2" s="262" t="s">
        <v>706</v>
      </c>
    </row>
    <row r="3" spans="1:14" ht="14" thickBot="1" x14ac:dyDescent="0.2">
      <c r="H3" s="255" t="s">
        <v>707</v>
      </c>
      <c r="I3" s="256">
        <v>1.1898658049934034</v>
      </c>
      <c r="J3" s="256">
        <v>5.1436874974404784E-4</v>
      </c>
      <c r="K3" s="256">
        <v>5.0724420907861023E-4</v>
      </c>
      <c r="L3" s="256">
        <v>1.7388734170916241E-4</v>
      </c>
      <c r="M3" s="263">
        <v>1.6724794149169562E-4</v>
      </c>
    </row>
    <row r="4" spans="1:14" x14ac:dyDescent="0.15">
      <c r="B4" s="172" t="s">
        <v>708</v>
      </c>
      <c r="C4" s="172"/>
      <c r="D4" s="172" t="s">
        <v>709</v>
      </c>
    </row>
    <row r="5" spans="1:14" x14ac:dyDescent="0.15">
      <c r="H5" t="s">
        <v>710</v>
      </c>
    </row>
    <row r="6" spans="1:14" x14ac:dyDescent="0.15">
      <c r="B6" t="s">
        <v>83</v>
      </c>
    </row>
    <row r="7" spans="1:14" x14ac:dyDescent="0.15">
      <c r="B7" t="s">
        <v>384</v>
      </c>
      <c r="C7" t="s">
        <v>151</v>
      </c>
      <c r="D7" t="s">
        <v>324</v>
      </c>
      <c r="H7" t="s">
        <v>385</v>
      </c>
      <c r="I7" t="s">
        <v>386</v>
      </c>
    </row>
    <row r="8" spans="1:14" ht="14" thickBot="1" x14ac:dyDescent="0.2">
      <c r="C8" t="s">
        <v>326</v>
      </c>
      <c r="D8" t="s">
        <v>325</v>
      </c>
      <c r="H8">
        <v>1</v>
      </c>
      <c r="I8">
        <v>3.3006043143642652E-2</v>
      </c>
    </row>
    <row r="9" spans="1:14" x14ac:dyDescent="0.15">
      <c r="A9" t="s">
        <v>390</v>
      </c>
      <c r="B9" s="11">
        <f>'[1]7a1'!W28</f>
        <v>0.67087033275216701</v>
      </c>
      <c r="C9">
        <v>8.9999999999999993E-3</v>
      </c>
      <c r="D9">
        <f>B9*C9</f>
        <v>6.0378329947695028E-3</v>
      </c>
      <c r="H9">
        <v>2</v>
      </c>
      <c r="I9">
        <v>1.3310277538804479E-2</v>
      </c>
      <c r="L9" s="81" t="s">
        <v>387</v>
      </c>
      <c r="M9" s="81" t="s">
        <v>388</v>
      </c>
      <c r="N9" s="81" t="s">
        <v>389</v>
      </c>
    </row>
    <row r="10" spans="1:14" x14ac:dyDescent="0.15">
      <c r="A10" t="s">
        <v>328</v>
      </c>
      <c r="B10" s="11">
        <f>'[1]7a1'!W19</f>
        <v>0.14598048719199616</v>
      </c>
      <c r="C10">
        <v>0.5</v>
      </c>
      <c r="D10">
        <f>B10*C10/1000</f>
        <v>7.2990243595998086E-5</v>
      </c>
      <c r="H10">
        <v>3</v>
      </c>
      <c r="I10">
        <v>8.5705152610565313E-3</v>
      </c>
      <c r="L10" s="82">
        <v>5.3531433756486598E-4</v>
      </c>
      <c r="M10" s="82">
        <v>1</v>
      </c>
      <c r="N10" s="83">
        <v>1.0101010101010102E-2</v>
      </c>
    </row>
    <row r="11" spans="1:14" x14ac:dyDescent="0.15">
      <c r="H11">
        <v>4</v>
      </c>
      <c r="I11">
        <v>1.601161370505795E-2</v>
      </c>
      <c r="L11" s="82">
        <v>4.3480562707254936E-3</v>
      </c>
      <c r="M11" s="82">
        <v>6</v>
      </c>
      <c r="N11" s="83">
        <v>5.0505050505050504E-2</v>
      </c>
    </row>
    <row r="12" spans="1:14" x14ac:dyDescent="0.15">
      <c r="C12" t="s">
        <v>155</v>
      </c>
      <c r="H12">
        <v>5</v>
      </c>
      <c r="I12">
        <v>1.5899877861166128E-2</v>
      </c>
      <c r="L12" s="82">
        <v>8.1607982038861202E-3</v>
      </c>
      <c r="M12" s="82">
        <v>6</v>
      </c>
      <c r="N12" s="83">
        <v>0.18181818181818182</v>
      </c>
    </row>
    <row r="13" spans="1:14" x14ac:dyDescent="0.15">
      <c r="B13" s="130" t="s">
        <v>390</v>
      </c>
      <c r="C13" s="130">
        <f>C9/60</f>
        <v>1.4999999999999999E-4</v>
      </c>
      <c r="D13" s="130" t="s">
        <v>155</v>
      </c>
      <c r="E13" s="130" t="s">
        <v>372</v>
      </c>
      <c r="H13">
        <v>6</v>
      </c>
      <c r="I13">
        <v>2.8291384483619782E-2</v>
      </c>
      <c r="L13" s="82">
        <v>1.1973540137046748E-2</v>
      </c>
      <c r="M13" s="82">
        <v>11</v>
      </c>
      <c r="N13" s="83">
        <v>0.36363636363636365</v>
      </c>
    </row>
    <row r="14" spans="1:14" x14ac:dyDescent="0.15">
      <c r="H14">
        <v>7</v>
      </c>
      <c r="I14">
        <v>2.5814964990098332E-2</v>
      </c>
      <c r="L14" s="264">
        <v>1.5786282070207377E-2</v>
      </c>
      <c r="M14" s="264">
        <v>13</v>
      </c>
      <c r="N14" s="265">
        <v>0.51515151515151514</v>
      </c>
    </row>
    <row r="15" spans="1:14" x14ac:dyDescent="0.15">
      <c r="B15" s="130" t="s">
        <v>328</v>
      </c>
      <c r="C15" s="130">
        <v>0.5</v>
      </c>
      <c r="D15" s="130" t="s">
        <v>95</v>
      </c>
      <c r="E15" s="130" t="s">
        <v>372</v>
      </c>
      <c r="H15">
        <v>8</v>
      </c>
      <c r="I15">
        <v>1.2203298078798211E-2</v>
      </c>
      <c r="L15" s="82">
        <v>1.9599024003368003E-2</v>
      </c>
      <c r="M15" s="82">
        <v>21</v>
      </c>
      <c r="N15" s="83">
        <v>0.6767676767676768</v>
      </c>
    </row>
    <row r="16" spans="1:14" x14ac:dyDescent="0.15">
      <c r="H16">
        <v>9</v>
      </c>
      <c r="I16">
        <v>2.6334294829366528E-2</v>
      </c>
      <c r="L16" s="82">
        <v>2.3411765936528633E-2</v>
      </c>
      <c r="M16" s="82">
        <v>14</v>
      </c>
      <c r="N16" s="83">
        <v>0.82828282828282829</v>
      </c>
    </row>
    <row r="17" spans="2:14" x14ac:dyDescent="0.15">
      <c r="B17" t="s">
        <v>339</v>
      </c>
      <c r="D17">
        <v>20</v>
      </c>
      <c r="E17" t="s">
        <v>7</v>
      </c>
      <c r="H17">
        <v>10</v>
      </c>
      <c r="I17">
        <v>3.0386813521657671E-2</v>
      </c>
      <c r="L17" s="82">
        <v>2.722450786968926E-2</v>
      </c>
      <c r="M17" s="82">
        <v>11</v>
      </c>
      <c r="N17" s="83">
        <v>0.93939393939393945</v>
      </c>
    </row>
    <row r="18" spans="2:14" x14ac:dyDescent="0.15">
      <c r="H18">
        <v>11</v>
      </c>
      <c r="I18">
        <v>2.5431786145687842E-2</v>
      </c>
      <c r="L18" s="82">
        <v>3.1037249802849887E-2</v>
      </c>
      <c r="M18" s="82">
        <v>6</v>
      </c>
      <c r="N18" s="83">
        <v>0.98989898989898994</v>
      </c>
    </row>
    <row r="19" spans="2:14" ht="14" thickBot="1" x14ac:dyDescent="0.2">
      <c r="B19" t="s">
        <v>369</v>
      </c>
      <c r="H19">
        <v>12</v>
      </c>
      <c r="I19">
        <v>4.7989178946924614E-3</v>
      </c>
      <c r="L19" s="84" t="s">
        <v>391</v>
      </c>
      <c r="M19" s="84">
        <v>10</v>
      </c>
      <c r="N19" s="85">
        <v>1</v>
      </c>
    </row>
    <row r="20" spans="2:14" x14ac:dyDescent="0.15">
      <c r="B20" t="s">
        <v>370</v>
      </c>
      <c r="D20">
        <f>1000*320*SIN(C13*PI()/180)</f>
        <v>0.83775804095632112</v>
      </c>
      <c r="E20" t="s">
        <v>711</v>
      </c>
      <c r="H20">
        <v>13</v>
      </c>
      <c r="I20">
        <v>2.6563634703104987E-2</v>
      </c>
    </row>
    <row r="21" spans="2:14" x14ac:dyDescent="0.15">
      <c r="B21" t="s">
        <v>371</v>
      </c>
      <c r="H21">
        <v>14</v>
      </c>
      <c r="I21">
        <v>1.3507409616947323E-2</v>
      </c>
    </row>
    <row r="22" spans="2:14" x14ac:dyDescent="0.15">
      <c r="B22" s="130" t="s">
        <v>712</v>
      </c>
      <c r="C22" s="130">
        <v>1</v>
      </c>
      <c r="D22" s="130" t="s">
        <v>95</v>
      </c>
      <c r="E22" s="130" t="s">
        <v>372</v>
      </c>
      <c r="H22">
        <v>15</v>
      </c>
      <c r="I22">
        <v>1.4995807547444799E-2</v>
      </c>
    </row>
    <row r="23" spans="2:14" x14ac:dyDescent="0.15">
      <c r="H23">
        <v>16</v>
      </c>
      <c r="I23">
        <v>4.305450238941284E-3</v>
      </c>
    </row>
    <row r="24" spans="2:14" x14ac:dyDescent="0.15">
      <c r="H24">
        <v>17</v>
      </c>
      <c r="I24">
        <v>1.6902206132928418E-2</v>
      </c>
    </row>
    <row r="25" spans="2:14" x14ac:dyDescent="0.15">
      <c r="B25" t="s">
        <v>384</v>
      </c>
      <c r="C25" t="s">
        <v>151</v>
      </c>
      <c r="D25" t="s">
        <v>324</v>
      </c>
      <c r="H25">
        <v>18</v>
      </c>
      <c r="I25">
        <v>2.1801098045740753E-2</v>
      </c>
    </row>
    <row r="26" spans="2:14" x14ac:dyDescent="0.15">
      <c r="C26" t="s">
        <v>326</v>
      </c>
      <c r="D26" t="s">
        <v>325</v>
      </c>
      <c r="H26">
        <v>19</v>
      </c>
      <c r="I26">
        <v>2.0279844673961437E-2</v>
      </c>
    </row>
    <row r="27" spans="2:14" x14ac:dyDescent="0.15">
      <c r="B27">
        <v>1.3022951081392184</v>
      </c>
      <c r="C27">
        <v>8.9999999999999993E-3</v>
      </c>
      <c r="D27">
        <f>B27*C27</f>
        <v>1.1720655973252964E-2</v>
      </c>
      <c r="F27">
        <v>1.4923202675492613E-2</v>
      </c>
      <c r="H27">
        <v>20</v>
      </c>
      <c r="I27">
        <v>1.3073519226283446E-2</v>
      </c>
    </row>
    <row r="28" spans="2:14" x14ac:dyDescent="0.15">
      <c r="C28" t="s">
        <v>155</v>
      </c>
      <c r="H28">
        <v>21</v>
      </c>
      <c r="I28">
        <v>1.4973321576724498E-2</v>
      </c>
    </row>
    <row r="29" spans="2:14" x14ac:dyDescent="0.15">
      <c r="B29" s="4" t="s">
        <v>390</v>
      </c>
      <c r="C29" s="4">
        <f>C27/60</f>
        <v>1.4999999999999999E-4</v>
      </c>
      <c r="D29" s="4" t="s">
        <v>155</v>
      </c>
      <c r="E29" s="4" t="s">
        <v>372</v>
      </c>
      <c r="H29">
        <v>22</v>
      </c>
      <c r="I29">
        <v>3.1463670733085217E-2</v>
      </c>
    </row>
    <row r="30" spans="2:14" x14ac:dyDescent="0.15">
      <c r="H30">
        <v>23</v>
      </c>
      <c r="I30">
        <v>3.3616331804645232E-2</v>
      </c>
    </row>
    <row r="31" spans="2:14" x14ac:dyDescent="0.15">
      <c r="B31" s="4" t="s">
        <v>328</v>
      </c>
      <c r="C31" s="4">
        <v>0.5</v>
      </c>
      <c r="D31" s="4" t="s">
        <v>95</v>
      </c>
      <c r="E31" s="4" t="s">
        <v>372</v>
      </c>
      <c r="H31">
        <v>24</v>
      </c>
      <c r="I31">
        <v>2.7503758256645573E-2</v>
      </c>
    </row>
    <row r="32" spans="2:14" x14ac:dyDescent="0.15">
      <c r="H32">
        <v>25</v>
      </c>
      <c r="I32">
        <v>2.0719527102711542E-2</v>
      </c>
    </row>
    <row r="33" spans="2:9" x14ac:dyDescent="0.15">
      <c r="B33" t="s">
        <v>339</v>
      </c>
      <c r="D33">
        <v>20</v>
      </c>
      <c r="E33" t="s">
        <v>7</v>
      </c>
      <c r="H33">
        <v>26</v>
      </c>
      <c r="I33">
        <v>2.2483353899274017E-2</v>
      </c>
    </row>
    <row r="34" spans="2:9" x14ac:dyDescent="0.15">
      <c r="H34">
        <v>27</v>
      </c>
      <c r="I34">
        <v>5.06071653424709E-3</v>
      </c>
    </row>
    <row r="35" spans="2:9" x14ac:dyDescent="0.15">
      <c r="B35" t="s">
        <v>369</v>
      </c>
      <c r="H35">
        <v>28</v>
      </c>
      <c r="I35">
        <v>3.4849991736010513E-2</v>
      </c>
    </row>
    <row r="36" spans="2:9" x14ac:dyDescent="0.15">
      <c r="B36" t="s">
        <v>370</v>
      </c>
      <c r="D36">
        <f>1000*320*SIN(C29*PI()/180)</f>
        <v>0.83775804095632112</v>
      </c>
      <c r="E36" t="s">
        <v>711</v>
      </c>
      <c r="H36">
        <v>29</v>
      </c>
      <c r="I36">
        <v>1.8474461092004846E-2</v>
      </c>
    </row>
    <row r="37" spans="2:9" x14ac:dyDescent="0.15">
      <c r="B37" t="s">
        <v>371</v>
      </c>
      <c r="H37">
        <v>30</v>
      </c>
      <c r="I37">
        <v>1.823489192071067E-2</v>
      </c>
    </row>
    <row r="38" spans="2:9" x14ac:dyDescent="0.15">
      <c r="B38" s="4">
        <v>1</v>
      </c>
      <c r="C38" s="4" t="s">
        <v>95</v>
      </c>
      <c r="D38" s="4" t="s">
        <v>372</v>
      </c>
      <c r="H38">
        <v>31</v>
      </c>
      <c r="I38">
        <v>1.8914067924166934E-2</v>
      </c>
    </row>
    <row r="39" spans="2:9" x14ac:dyDescent="0.15">
      <c r="H39">
        <v>32</v>
      </c>
      <c r="I39">
        <v>1.8390564537283764E-2</v>
      </c>
    </row>
    <row r="40" spans="2:9" x14ac:dyDescent="0.15">
      <c r="H40">
        <v>33</v>
      </c>
      <c r="I40">
        <v>2.2333724558165409E-2</v>
      </c>
    </row>
    <row r="41" spans="2:9" x14ac:dyDescent="0.15">
      <c r="H41">
        <v>34</v>
      </c>
      <c r="I41">
        <v>2.5826319626303735E-2</v>
      </c>
    </row>
    <row r="42" spans="2:9" x14ac:dyDescent="0.15">
      <c r="H42">
        <v>35</v>
      </c>
      <c r="I42">
        <v>3.3882507099681977E-2</v>
      </c>
    </row>
    <row r="43" spans="2:9" x14ac:dyDescent="0.15">
      <c r="H43">
        <v>36</v>
      </c>
      <c r="I43">
        <v>1.8311570549791722E-2</v>
      </c>
    </row>
    <row r="44" spans="2:9" x14ac:dyDescent="0.15">
      <c r="H44">
        <v>37</v>
      </c>
      <c r="I44">
        <v>2.4053849617888649E-2</v>
      </c>
    </row>
    <row r="45" spans="2:9" x14ac:dyDescent="0.15">
      <c r="H45">
        <v>38</v>
      </c>
      <c r="I45">
        <v>1.1717708690695598E-2</v>
      </c>
    </row>
    <row r="46" spans="2:9" x14ac:dyDescent="0.15">
      <c r="H46">
        <v>39</v>
      </c>
      <c r="I46">
        <v>5.5215180666191924E-3</v>
      </c>
    </row>
    <row r="47" spans="2:9" x14ac:dyDescent="0.15">
      <c r="H47">
        <v>40</v>
      </c>
      <c r="I47">
        <v>2.4211338252975636E-2</v>
      </c>
    </row>
    <row r="48" spans="2:9" x14ac:dyDescent="0.15">
      <c r="H48">
        <v>41</v>
      </c>
      <c r="I48">
        <v>2.2379366225163774E-2</v>
      </c>
    </row>
    <row r="49" spans="8:9" x14ac:dyDescent="0.15">
      <c r="H49">
        <v>42</v>
      </c>
      <c r="I49">
        <v>2.2137087681987484E-2</v>
      </c>
    </row>
    <row r="50" spans="8:9" x14ac:dyDescent="0.15">
      <c r="H50">
        <v>43</v>
      </c>
      <c r="I50">
        <v>2.3156683161454708E-2</v>
      </c>
    </row>
    <row r="51" spans="8:9" x14ac:dyDescent="0.15">
      <c r="H51">
        <v>44</v>
      </c>
      <c r="I51">
        <v>3.1829012616793557E-2</v>
      </c>
    </row>
    <row r="52" spans="8:9" x14ac:dyDescent="0.15">
      <c r="H52">
        <v>45</v>
      </c>
      <c r="I52">
        <v>1.7366832208552091E-2</v>
      </c>
    </row>
    <row r="53" spans="8:9" x14ac:dyDescent="0.15">
      <c r="H53">
        <v>46</v>
      </c>
      <c r="I53">
        <v>1.0708062039417054E-2</v>
      </c>
    </row>
    <row r="54" spans="8:9" x14ac:dyDescent="0.15">
      <c r="H54">
        <v>47</v>
      </c>
      <c r="I54">
        <v>1.0920912167030708E-2</v>
      </c>
    </row>
    <row r="55" spans="8:9" x14ac:dyDescent="0.15">
      <c r="H55">
        <v>48</v>
      </c>
      <c r="I55">
        <v>3.3328853376016383E-2</v>
      </c>
    </row>
    <row r="56" spans="8:9" x14ac:dyDescent="0.15">
      <c r="H56">
        <v>49</v>
      </c>
      <c r="I56">
        <v>2.5531444155002341E-2</v>
      </c>
    </row>
    <row r="57" spans="8:9" x14ac:dyDescent="0.15">
      <c r="H57">
        <v>50</v>
      </c>
      <c r="I57">
        <v>1.6137527919728018E-2</v>
      </c>
    </row>
    <row r="58" spans="8:9" x14ac:dyDescent="0.15">
      <c r="H58">
        <v>51</v>
      </c>
      <c r="I58">
        <v>7.9624174118164883E-3</v>
      </c>
    </row>
    <row r="59" spans="8:9" x14ac:dyDescent="0.15">
      <c r="H59">
        <v>52</v>
      </c>
      <c r="I59">
        <v>3.0261690221136072E-2</v>
      </c>
    </row>
    <row r="60" spans="8:9" x14ac:dyDescent="0.15">
      <c r="H60">
        <v>53</v>
      </c>
      <c r="I60">
        <v>1.674740378207926E-2</v>
      </c>
    </row>
    <row r="61" spans="8:9" x14ac:dyDescent="0.15">
      <c r="H61">
        <v>54</v>
      </c>
      <c r="I61">
        <v>8.9744790511763917E-3</v>
      </c>
    </row>
    <row r="62" spans="8:9" x14ac:dyDescent="0.15">
      <c r="H62">
        <v>55</v>
      </c>
      <c r="I62">
        <v>1.2320761177784407E-2</v>
      </c>
    </row>
    <row r="63" spans="8:9" x14ac:dyDescent="0.15">
      <c r="H63">
        <v>56</v>
      </c>
      <c r="I63">
        <v>1.1469374009073175E-2</v>
      </c>
    </row>
    <row r="64" spans="8:9" x14ac:dyDescent="0.15">
      <c r="H64">
        <v>57</v>
      </c>
      <c r="I64">
        <v>3.352470575322028E-2</v>
      </c>
    </row>
    <row r="65" spans="8:9" x14ac:dyDescent="0.15">
      <c r="H65">
        <v>58</v>
      </c>
      <c r="I65">
        <v>3.5370007407404744E-3</v>
      </c>
    </row>
    <row r="66" spans="8:9" x14ac:dyDescent="0.15">
      <c r="H66">
        <v>59</v>
      </c>
      <c r="I66">
        <v>2.0613987701558419E-2</v>
      </c>
    </row>
    <row r="67" spans="8:9" x14ac:dyDescent="0.15">
      <c r="H67">
        <v>60</v>
      </c>
      <c r="I67">
        <v>9.4375739340151459E-3</v>
      </c>
    </row>
    <row r="68" spans="8:9" x14ac:dyDescent="0.15">
      <c r="H68">
        <v>61</v>
      </c>
      <c r="I68">
        <v>1.3248759784976078E-2</v>
      </c>
    </row>
    <row r="69" spans="8:9" x14ac:dyDescent="0.15">
      <c r="H69">
        <v>62</v>
      </c>
      <c r="I69">
        <v>2.9690020141454953E-2</v>
      </c>
    </row>
    <row r="70" spans="8:9" x14ac:dyDescent="0.15">
      <c r="H70">
        <v>63</v>
      </c>
      <c r="I70">
        <v>1.7258117644749115E-2</v>
      </c>
    </row>
    <row r="71" spans="8:9" x14ac:dyDescent="0.15">
      <c r="H71">
        <v>64</v>
      </c>
      <c r="I71">
        <v>1.1548585707349587E-2</v>
      </c>
    </row>
    <row r="72" spans="8:9" x14ac:dyDescent="0.15">
      <c r="H72">
        <v>65</v>
      </c>
      <c r="I72">
        <v>2.2489837708618503E-2</v>
      </c>
    </row>
    <row r="73" spans="8:9" x14ac:dyDescent="0.15">
      <c r="H73">
        <v>66</v>
      </c>
      <c r="I73">
        <v>1.5866510018274466E-2</v>
      </c>
    </row>
    <row r="74" spans="8:9" x14ac:dyDescent="0.15">
      <c r="H74">
        <v>67</v>
      </c>
      <c r="I74">
        <v>3.4825937690175449E-3</v>
      </c>
    </row>
    <row r="75" spans="8:9" x14ac:dyDescent="0.15">
      <c r="H75">
        <v>68</v>
      </c>
      <c r="I75">
        <v>1.6833577416580311E-2</v>
      </c>
    </row>
    <row r="76" spans="8:9" x14ac:dyDescent="0.15">
      <c r="H76">
        <v>69</v>
      </c>
      <c r="I76">
        <v>2.2949904735314341E-2</v>
      </c>
    </row>
    <row r="77" spans="8:9" x14ac:dyDescent="0.15">
      <c r="H77">
        <v>70</v>
      </c>
      <c r="I77">
        <v>2.3538687813896082E-3</v>
      </c>
    </row>
    <row r="78" spans="8:9" x14ac:dyDescent="0.15">
      <c r="H78">
        <v>71</v>
      </c>
      <c r="I78">
        <v>2.2920218149049137E-2</v>
      </c>
    </row>
    <row r="79" spans="8:9" x14ac:dyDescent="0.15">
      <c r="H79">
        <v>72</v>
      </c>
      <c r="I79">
        <v>1.7543805858478916E-2</v>
      </c>
    </row>
    <row r="80" spans="8:9" x14ac:dyDescent="0.15">
      <c r="H80">
        <v>73</v>
      </c>
      <c r="I80">
        <v>1.4493184500309106E-2</v>
      </c>
    </row>
    <row r="81" spans="8:9" x14ac:dyDescent="0.15">
      <c r="H81">
        <v>74</v>
      </c>
      <c r="I81">
        <v>2.7009496889797879E-2</v>
      </c>
    </row>
    <row r="82" spans="8:9" x14ac:dyDescent="0.15">
      <c r="H82">
        <v>75</v>
      </c>
      <c r="I82">
        <v>3.2760486013488868E-2</v>
      </c>
    </row>
    <row r="83" spans="8:9" x14ac:dyDescent="0.15">
      <c r="H83">
        <v>76</v>
      </c>
      <c r="I83">
        <v>4.4243503477911427E-3</v>
      </c>
    </row>
    <row r="84" spans="8:9" x14ac:dyDescent="0.15">
      <c r="H84">
        <v>77</v>
      </c>
      <c r="I84">
        <v>1.6038677057662955E-2</v>
      </c>
    </row>
    <row r="85" spans="8:9" x14ac:dyDescent="0.15">
      <c r="H85">
        <v>78</v>
      </c>
      <c r="I85">
        <v>1.220723153544666E-2</v>
      </c>
    </row>
    <row r="86" spans="8:9" x14ac:dyDescent="0.15">
      <c r="H86">
        <v>79</v>
      </c>
      <c r="I86">
        <v>2.3407482988138693E-2</v>
      </c>
    </row>
    <row r="87" spans="8:9" x14ac:dyDescent="0.15">
      <c r="H87">
        <v>80</v>
      </c>
      <c r="I87">
        <v>1.1360092281315355E-2</v>
      </c>
    </row>
    <row r="88" spans="8:9" x14ac:dyDescent="0.15">
      <c r="H88">
        <v>81</v>
      </c>
      <c r="I88">
        <v>2.7952897641568431E-2</v>
      </c>
    </row>
    <row r="89" spans="8:9" x14ac:dyDescent="0.15">
      <c r="H89">
        <v>82</v>
      </c>
      <c r="I89">
        <v>1.512048388643698E-2</v>
      </c>
    </row>
    <row r="90" spans="8:9" x14ac:dyDescent="0.15">
      <c r="H90">
        <v>83</v>
      </c>
      <c r="I90">
        <v>1.6194173218784656E-2</v>
      </c>
    </row>
    <row r="91" spans="8:9" x14ac:dyDescent="0.15">
      <c r="H91">
        <v>84</v>
      </c>
      <c r="I91">
        <v>9.9900658576407616E-3</v>
      </c>
    </row>
    <row r="92" spans="8:9" x14ac:dyDescent="0.15">
      <c r="H92">
        <v>85</v>
      </c>
      <c r="I92">
        <v>1.0259902533650091E-2</v>
      </c>
    </row>
    <row r="93" spans="8:9" x14ac:dyDescent="0.15">
      <c r="H93">
        <v>86</v>
      </c>
      <c r="I93">
        <v>5.3531433756486598E-4</v>
      </c>
    </row>
    <row r="94" spans="8:9" x14ac:dyDescent="0.15">
      <c r="H94">
        <v>87</v>
      </c>
      <c r="I94">
        <v>1.7639853060612571E-2</v>
      </c>
    </row>
    <row r="95" spans="8:9" x14ac:dyDescent="0.15">
      <c r="H95">
        <v>88</v>
      </c>
      <c r="I95">
        <v>5.906446986132961E-3</v>
      </c>
    </row>
    <row r="96" spans="8:9" x14ac:dyDescent="0.15">
      <c r="H96">
        <v>89</v>
      </c>
      <c r="I96">
        <v>1.610464384703993E-2</v>
      </c>
    </row>
    <row r="97" spans="8:9" x14ac:dyDescent="0.15">
      <c r="H97">
        <v>90</v>
      </c>
      <c r="I97">
        <v>1.8048494146604116E-2</v>
      </c>
    </row>
    <row r="98" spans="8:9" x14ac:dyDescent="0.15">
      <c r="H98">
        <v>91</v>
      </c>
      <c r="I98">
        <v>2.4681963361126748E-2</v>
      </c>
    </row>
    <row r="99" spans="8:9" x14ac:dyDescent="0.15">
      <c r="H99">
        <v>92</v>
      </c>
      <c r="I99">
        <v>2.3123045183539376E-2</v>
      </c>
    </row>
    <row r="100" spans="8:9" x14ac:dyDescent="0.15">
      <c r="H100">
        <v>93</v>
      </c>
      <c r="I100">
        <v>3.2526904270772546E-2</v>
      </c>
    </row>
    <row r="101" spans="8:9" x14ac:dyDescent="0.15">
      <c r="H101">
        <v>94</v>
      </c>
      <c r="I101">
        <v>2.5487447577194774E-3</v>
      </c>
    </row>
    <row r="102" spans="8:9" x14ac:dyDescent="0.15">
      <c r="H102">
        <v>95</v>
      </c>
      <c r="I102">
        <v>4.1007896995582625E-3</v>
      </c>
    </row>
    <row r="103" spans="8:9" x14ac:dyDescent="0.15">
      <c r="H103">
        <v>96</v>
      </c>
      <c r="I103">
        <v>1.4469929404112666E-2</v>
      </c>
    </row>
    <row r="104" spans="8:9" x14ac:dyDescent="0.15">
      <c r="H104">
        <v>97</v>
      </c>
      <c r="I104">
        <v>1.2662892408924657E-2</v>
      </c>
    </row>
    <row r="105" spans="8:9" x14ac:dyDescent="0.15">
      <c r="H105">
        <v>98</v>
      </c>
      <c r="I105">
        <v>2.4114539113157477E-2</v>
      </c>
    </row>
    <row r="106" spans="8:9" x14ac:dyDescent="0.15">
      <c r="H106">
        <v>99</v>
      </c>
      <c r="I106">
        <v>1.6389447341506193E-2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E30"/>
  <sheetViews>
    <sheetView workbookViewId="0"/>
  </sheetViews>
  <sheetFormatPr baseColWidth="10" defaultColWidth="8.83203125" defaultRowHeight="13" x14ac:dyDescent="0.15"/>
  <cols>
    <col min="2" max="2" width="9.5" bestFit="1" customWidth="1"/>
    <col min="3" max="3" width="12.33203125" bestFit="1" customWidth="1"/>
    <col min="4" max="4" width="12.5" customWidth="1"/>
  </cols>
  <sheetData>
    <row r="1" spans="2:5" x14ac:dyDescent="0.15">
      <c r="B1" s="88" t="s">
        <v>404</v>
      </c>
      <c r="C1" s="89">
        <v>0.02</v>
      </c>
      <c r="D1" s="90" t="s">
        <v>405</v>
      </c>
    </row>
    <row r="2" spans="2:5" x14ac:dyDescent="0.15">
      <c r="B2" t="s">
        <v>377</v>
      </c>
    </row>
    <row r="3" spans="2:5" x14ac:dyDescent="0.15">
      <c r="B3" t="s">
        <v>379</v>
      </c>
    </row>
    <row r="4" spans="2:5" x14ac:dyDescent="0.15">
      <c r="B4">
        <v>0.4</v>
      </c>
      <c r="C4" t="s">
        <v>380</v>
      </c>
    </row>
    <row r="5" spans="2:5" x14ac:dyDescent="0.15">
      <c r="B5" s="2">
        <f>B4/3600</f>
        <v>1.1111111111111112E-4</v>
      </c>
      <c r="C5" t="s">
        <v>155</v>
      </c>
    </row>
    <row r="7" spans="2:5" x14ac:dyDescent="0.15">
      <c r="B7" t="s">
        <v>378</v>
      </c>
    </row>
    <row r="8" spans="2:5" x14ac:dyDescent="0.15">
      <c r="B8" t="s">
        <v>410</v>
      </c>
      <c r="C8">
        <v>50</v>
      </c>
      <c r="D8" t="s">
        <v>364</v>
      </c>
    </row>
    <row r="9" spans="2:5" x14ac:dyDescent="0.15">
      <c r="B9" t="s">
        <v>401</v>
      </c>
      <c r="C9">
        <f>C8/4</f>
        <v>12.5</v>
      </c>
      <c r="D9" t="s">
        <v>364</v>
      </c>
    </row>
    <row r="10" spans="2:5" x14ac:dyDescent="0.15">
      <c r="B10" t="s">
        <v>411</v>
      </c>
      <c r="C10">
        <f>C1*C9</f>
        <v>0.25</v>
      </c>
      <c r="D10" t="s">
        <v>407</v>
      </c>
      <c r="E10" t="s">
        <v>413</v>
      </c>
    </row>
    <row r="12" spans="2:5" x14ac:dyDescent="0.15">
      <c r="B12" t="s">
        <v>375</v>
      </c>
    </row>
    <row r="14" spans="2:5" x14ac:dyDescent="0.15">
      <c r="B14">
        <f>C8*2</f>
        <v>100</v>
      </c>
      <c r="C14" t="s">
        <v>95</v>
      </c>
    </row>
    <row r="16" spans="2:5" x14ac:dyDescent="0.15">
      <c r="B16" t="s">
        <v>394</v>
      </c>
      <c r="C16">
        <v>0.97250000000000003</v>
      </c>
      <c r="D16" t="s">
        <v>43</v>
      </c>
      <c r="E16" t="s">
        <v>393</v>
      </c>
    </row>
    <row r="17" spans="2:5" x14ac:dyDescent="0.15">
      <c r="B17" t="s">
        <v>395</v>
      </c>
      <c r="C17">
        <v>7</v>
      </c>
      <c r="D17" t="s">
        <v>27</v>
      </c>
      <c r="E17" t="s">
        <v>397</v>
      </c>
    </row>
    <row r="18" spans="2:5" x14ac:dyDescent="0.15">
      <c r="B18" t="s">
        <v>414</v>
      </c>
      <c r="C18" s="2">
        <f>2*C17/3600</f>
        <v>3.8888888888888888E-3</v>
      </c>
      <c r="D18" t="s">
        <v>396</v>
      </c>
    </row>
    <row r="20" spans="2:5" x14ac:dyDescent="0.15">
      <c r="B20" t="s">
        <v>399</v>
      </c>
      <c r="C20" s="86">
        <f>C16*SIN(C18/2*PI()/180)*1000000</f>
        <v>33.003691335196507</v>
      </c>
      <c r="D20" t="s">
        <v>95</v>
      </c>
      <c r="E20" t="s">
        <v>398</v>
      </c>
    </row>
    <row r="21" spans="2:5" x14ac:dyDescent="0.15">
      <c r="B21" t="s">
        <v>400</v>
      </c>
      <c r="C21" s="86">
        <f>2*C20</f>
        <v>66.007382670393014</v>
      </c>
      <c r="D21" t="s">
        <v>95</v>
      </c>
    </row>
    <row r="22" spans="2:5" x14ac:dyDescent="0.15">
      <c r="B22" t="s">
        <v>401</v>
      </c>
      <c r="C22" s="11">
        <f>C21/4</f>
        <v>16.501845667598253</v>
      </c>
      <c r="D22" t="s">
        <v>402</v>
      </c>
    </row>
    <row r="24" spans="2:5" x14ac:dyDescent="0.15">
      <c r="B24" t="s">
        <v>403</v>
      </c>
    </row>
    <row r="26" spans="2:5" x14ac:dyDescent="0.15">
      <c r="B26" t="s">
        <v>412</v>
      </c>
      <c r="C26" s="87">
        <f>C22*C1</f>
        <v>0.33003691335196506</v>
      </c>
      <c r="D26" t="s">
        <v>407</v>
      </c>
      <c r="E26" t="s">
        <v>406</v>
      </c>
    </row>
    <row r="28" spans="2:5" x14ac:dyDescent="0.15">
      <c r="B28" t="s">
        <v>408</v>
      </c>
    </row>
    <row r="29" spans="2:5" x14ac:dyDescent="0.15">
      <c r="B29" t="s">
        <v>409</v>
      </c>
      <c r="C29" s="86">
        <f>SQRT(C10^2+C26^2)</f>
        <v>0.41403425483272815</v>
      </c>
    </row>
    <row r="30" spans="2:5" x14ac:dyDescent="0.15">
      <c r="B30" t="s">
        <v>90</v>
      </c>
      <c r="C30">
        <v>0.4</v>
      </c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4"/>
  <sheetViews>
    <sheetView workbookViewId="0"/>
  </sheetViews>
  <sheetFormatPr baseColWidth="10" defaultColWidth="8.83203125" defaultRowHeight="13" x14ac:dyDescent="0.15"/>
  <sheetData>
    <row r="4" spans="2:2" x14ac:dyDescent="0.15">
      <c r="B4" t="s">
        <v>479</v>
      </c>
    </row>
  </sheetData>
  <phoneticPr fontId="2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C3:D14"/>
  <sheetViews>
    <sheetView workbookViewId="0"/>
  </sheetViews>
  <sheetFormatPr baseColWidth="10" defaultColWidth="9.1640625" defaultRowHeight="12" x14ac:dyDescent="0.15"/>
  <cols>
    <col min="1" max="2" width="9.1640625" style="197"/>
    <col min="3" max="3" width="20.5" style="197" customWidth="1"/>
    <col min="4" max="16384" width="9.1640625" style="197"/>
  </cols>
  <sheetData>
    <row r="3" spans="3:4" x14ac:dyDescent="0.15">
      <c r="C3" s="197" t="s">
        <v>555</v>
      </c>
      <c r="D3" s="198" t="s">
        <v>556</v>
      </c>
    </row>
    <row r="4" spans="3:4" x14ac:dyDescent="0.15">
      <c r="D4" s="198" t="s">
        <v>557</v>
      </c>
    </row>
    <row r="5" spans="3:4" x14ac:dyDescent="0.15">
      <c r="D5" s="198" t="s">
        <v>558</v>
      </c>
    </row>
    <row r="6" spans="3:4" x14ac:dyDescent="0.15">
      <c r="D6" s="197" t="s">
        <v>559</v>
      </c>
    </row>
    <row r="8" spans="3:4" x14ac:dyDescent="0.15">
      <c r="D8" s="197" t="s">
        <v>560</v>
      </c>
    </row>
    <row r="10" spans="3:4" x14ac:dyDescent="0.15">
      <c r="D10" s="197" t="s">
        <v>29</v>
      </c>
    </row>
    <row r="11" spans="3:4" x14ac:dyDescent="0.15">
      <c r="C11" s="197" t="s">
        <v>561</v>
      </c>
      <c r="D11" s="199">
        <v>86</v>
      </c>
    </row>
    <row r="12" spans="3:4" x14ac:dyDescent="0.15">
      <c r="C12" s="197" t="s">
        <v>562</v>
      </c>
      <c r="D12" s="199">
        <v>10</v>
      </c>
    </row>
    <row r="13" spans="3:4" x14ac:dyDescent="0.15">
      <c r="C13" s="197" t="s">
        <v>563</v>
      </c>
      <c r="D13" s="197">
        <v>10</v>
      </c>
    </row>
    <row r="14" spans="3:4" x14ac:dyDescent="0.15">
      <c r="D14" s="197">
        <v>66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F18"/>
  <sheetViews>
    <sheetView workbookViewId="0"/>
  </sheetViews>
  <sheetFormatPr baseColWidth="10" defaultColWidth="9.1640625" defaultRowHeight="13" x14ac:dyDescent="0.15"/>
  <cols>
    <col min="1" max="1" width="9.1640625" style="1"/>
    <col min="2" max="2" width="6" style="1" customWidth="1"/>
    <col min="3" max="3" width="19.5" style="1" customWidth="1"/>
    <col min="4" max="4" width="11.33203125" style="1" customWidth="1"/>
    <col min="5" max="5" width="11.5" style="1" customWidth="1"/>
    <col min="6" max="16384" width="9.1640625" style="1"/>
  </cols>
  <sheetData>
    <row r="2" spans="2:6" x14ac:dyDescent="0.15">
      <c r="C2" s="1" t="s">
        <v>80</v>
      </c>
    </row>
    <row r="4" spans="2:6" x14ac:dyDescent="0.15">
      <c r="C4" s="1" t="s">
        <v>81</v>
      </c>
      <c r="D4" s="1" t="s">
        <v>82</v>
      </c>
      <c r="E4" s="1" t="s">
        <v>15</v>
      </c>
    </row>
    <row r="5" spans="2:6" x14ac:dyDescent="0.15">
      <c r="B5" s="1">
        <v>1</v>
      </c>
      <c r="C5" s="1" t="s">
        <v>83</v>
      </c>
      <c r="D5" s="1">
        <f>E5/2</f>
        <v>30</v>
      </c>
      <c r="E5" s="1">
        <v>60</v>
      </c>
    </row>
    <row r="6" spans="2:6" x14ac:dyDescent="0.15">
      <c r="B6" s="1">
        <v>2</v>
      </c>
      <c r="C6" s="1" t="s">
        <v>84</v>
      </c>
      <c r="D6" s="1">
        <f>E6/2</f>
        <v>10</v>
      </c>
      <c r="E6" s="1">
        <v>20</v>
      </c>
    </row>
    <row r="7" spans="2:6" x14ac:dyDescent="0.15">
      <c r="B7" s="1">
        <v>3</v>
      </c>
      <c r="C7" s="1" t="s">
        <v>85</v>
      </c>
      <c r="D7" s="1">
        <f>E7/2</f>
        <v>30</v>
      </c>
      <c r="E7" s="1">
        <v>60</v>
      </c>
    </row>
    <row r="8" spans="2:6" x14ac:dyDescent="0.15">
      <c r="B8" s="1">
        <v>4</v>
      </c>
      <c r="C8" s="1" t="s">
        <v>86</v>
      </c>
      <c r="D8" s="1">
        <f>E8/2</f>
        <v>30</v>
      </c>
      <c r="E8" s="1">
        <v>60</v>
      </c>
    </row>
    <row r="9" spans="2:6" x14ac:dyDescent="0.15">
      <c r="B9" s="1">
        <v>5</v>
      </c>
      <c r="C9" s="1" t="s">
        <v>87</v>
      </c>
      <c r="D9" s="1">
        <f>E9/2</f>
        <v>30</v>
      </c>
      <c r="E9" s="1">
        <v>60</v>
      </c>
    </row>
    <row r="10" spans="2:6" x14ac:dyDescent="0.15">
      <c r="C10" s="1" t="s">
        <v>89</v>
      </c>
      <c r="D10" s="1">
        <f>SUM(D5:D9)</f>
        <v>130</v>
      </c>
      <c r="E10" s="1">
        <f>SUM(E5:E9)</f>
        <v>260</v>
      </c>
    </row>
    <row r="11" spans="2:6" x14ac:dyDescent="0.15">
      <c r="C11" s="1" t="s">
        <v>90</v>
      </c>
      <c r="D11" s="1">
        <v>130</v>
      </c>
      <c r="E11" s="1">
        <v>260</v>
      </c>
      <c r="F11" s="1" t="s">
        <v>88</v>
      </c>
    </row>
    <row r="13" spans="2:6" x14ac:dyDescent="0.15">
      <c r="B13" s="1">
        <v>3</v>
      </c>
      <c r="C13" s="1" t="s">
        <v>91</v>
      </c>
      <c r="D13" s="1">
        <f>D7/6</f>
        <v>5</v>
      </c>
      <c r="E13" s="1">
        <f>E7/6</f>
        <v>10</v>
      </c>
    </row>
    <row r="16" spans="2:6" x14ac:dyDescent="0.15">
      <c r="C16" s="1" t="s">
        <v>295</v>
      </c>
    </row>
    <row r="18" spans="3:6" x14ac:dyDescent="0.15">
      <c r="C18" s="1" t="s">
        <v>537</v>
      </c>
      <c r="D18" s="1">
        <f>D13*2</f>
        <v>10</v>
      </c>
      <c r="E18" s="1">
        <f>E13*2</f>
        <v>20</v>
      </c>
      <c r="F18" s="1" t="s">
        <v>88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4:K28"/>
  <sheetViews>
    <sheetView workbookViewId="0"/>
  </sheetViews>
  <sheetFormatPr baseColWidth="10" defaultColWidth="8.83203125" defaultRowHeight="13" x14ac:dyDescent="0.15"/>
  <cols>
    <col min="2" max="2" width="24.83203125" customWidth="1"/>
  </cols>
  <sheetData>
    <row r="4" spans="2:5" x14ac:dyDescent="0.15">
      <c r="B4" t="s">
        <v>70</v>
      </c>
    </row>
    <row r="5" spans="2:5" x14ac:dyDescent="0.15">
      <c r="B5" t="s">
        <v>71</v>
      </c>
      <c r="C5" s="3">
        <f>I28</f>
        <v>2716.191506666667</v>
      </c>
      <c r="D5" t="s">
        <v>72</v>
      </c>
      <c r="E5" t="s">
        <v>75</v>
      </c>
    </row>
    <row r="6" spans="2:5" x14ac:dyDescent="0.15">
      <c r="B6" t="s">
        <v>73</v>
      </c>
      <c r="C6" s="3">
        <f>C5/2</f>
        <v>1358.0957533333335</v>
      </c>
      <c r="D6" t="s">
        <v>72</v>
      </c>
      <c r="E6" t="s">
        <v>76</v>
      </c>
    </row>
    <row r="7" spans="2:5" x14ac:dyDescent="0.15">
      <c r="B7" t="s">
        <v>74</v>
      </c>
    </row>
    <row r="11" spans="2:5" x14ac:dyDescent="0.15">
      <c r="B11" t="s">
        <v>50</v>
      </c>
    </row>
    <row r="12" spans="2:5" x14ac:dyDescent="0.15">
      <c r="B12" t="s">
        <v>51</v>
      </c>
      <c r="C12" t="s">
        <v>53</v>
      </c>
      <c r="D12" t="s">
        <v>58</v>
      </c>
      <c r="E12" t="s">
        <v>23</v>
      </c>
    </row>
    <row r="13" spans="2:5" x14ac:dyDescent="0.15">
      <c r="B13" t="s">
        <v>52</v>
      </c>
      <c r="C13">
        <v>35.200000000000003</v>
      </c>
      <c r="D13" s="3">
        <f>C13*384</f>
        <v>13516.800000000001</v>
      </c>
      <c r="E13" s="3">
        <f>D13*0.454</f>
        <v>6136.6272000000008</v>
      </c>
    </row>
    <row r="14" spans="2:5" x14ac:dyDescent="0.15">
      <c r="B14" t="s">
        <v>54</v>
      </c>
      <c r="C14">
        <v>21.6</v>
      </c>
      <c r="D14" s="3">
        <f>C14*384</f>
        <v>8294.4000000000015</v>
      </c>
      <c r="E14" s="3">
        <f>D14*0.454</f>
        <v>3765.6576000000009</v>
      </c>
    </row>
    <row r="15" spans="2:5" x14ac:dyDescent="0.15">
      <c r="B15" t="s">
        <v>55</v>
      </c>
      <c r="D15" s="3">
        <f>E15/0.454</f>
        <v>6200.4405286343608</v>
      </c>
      <c r="E15" s="3">
        <v>2815</v>
      </c>
    </row>
    <row r="16" spans="2:5" x14ac:dyDescent="0.15">
      <c r="B16" t="s">
        <v>59</v>
      </c>
      <c r="D16" s="3">
        <f>SUM(D13:D15)</f>
        <v>28011.640528634365</v>
      </c>
      <c r="E16" s="3">
        <f>SUM(E13:E15)</f>
        <v>12717.284800000001</v>
      </c>
    </row>
    <row r="18" spans="2:11" x14ac:dyDescent="0.15">
      <c r="B18" t="s">
        <v>56</v>
      </c>
      <c r="D18" s="3"/>
      <c r="E18" s="3"/>
      <c r="I18" t="s">
        <v>66</v>
      </c>
      <c r="J18" t="s">
        <v>67</v>
      </c>
    </row>
    <row r="19" spans="2:11" x14ac:dyDescent="0.15">
      <c r="B19" t="s">
        <v>57</v>
      </c>
      <c r="D19" s="3">
        <f>E19/0.454</f>
        <v>3242.2907488986784</v>
      </c>
      <c r="E19" s="3">
        <v>1472</v>
      </c>
      <c r="I19">
        <v>1.5</v>
      </c>
      <c r="J19">
        <f>I19/3600</f>
        <v>4.1666666666666669E-4</v>
      </c>
    </row>
    <row r="22" spans="2:11" x14ac:dyDescent="0.15">
      <c r="I22" t="s">
        <v>64</v>
      </c>
      <c r="J22" t="s">
        <v>63</v>
      </c>
      <c r="K22" t="s">
        <v>62</v>
      </c>
    </row>
    <row r="23" spans="2:11" x14ac:dyDescent="0.15">
      <c r="I23">
        <f>J23*1000</f>
        <v>420</v>
      </c>
      <c r="J23">
        <v>0.42</v>
      </c>
      <c r="K23">
        <v>0.1</v>
      </c>
    </row>
    <row r="25" spans="2:11" x14ac:dyDescent="0.15">
      <c r="B25" t="s">
        <v>60</v>
      </c>
      <c r="F25" t="s">
        <v>61</v>
      </c>
      <c r="G25" t="s">
        <v>65</v>
      </c>
      <c r="H25" t="s">
        <v>68</v>
      </c>
      <c r="I25" t="s">
        <v>69</v>
      </c>
    </row>
    <row r="26" spans="2:11" x14ac:dyDescent="0.15">
      <c r="B26" t="s">
        <v>51</v>
      </c>
      <c r="D26" s="3"/>
      <c r="E26" s="3">
        <f>$E$16</f>
        <v>12717.284800000001</v>
      </c>
      <c r="F26">
        <f>$I$23</f>
        <v>420</v>
      </c>
      <c r="G26">
        <f>E26*F26</f>
        <v>5341259.6160000004</v>
      </c>
      <c r="H26">
        <f>$J$19</f>
        <v>4.1666666666666669E-4</v>
      </c>
      <c r="I26">
        <f>G26*H26</f>
        <v>2225.5248400000005</v>
      </c>
    </row>
    <row r="27" spans="2:11" x14ac:dyDescent="0.15">
      <c r="B27" t="s">
        <v>56</v>
      </c>
      <c r="E27" s="3">
        <f>$E$19</f>
        <v>1472</v>
      </c>
      <c r="F27">
        <v>800</v>
      </c>
      <c r="G27">
        <f>E27*F27</f>
        <v>1177600</v>
      </c>
      <c r="H27">
        <f>$J$19</f>
        <v>4.1666666666666669E-4</v>
      </c>
      <c r="I27">
        <f>G27*H27</f>
        <v>490.66666666666669</v>
      </c>
    </row>
    <row r="28" spans="2:11" x14ac:dyDescent="0.15">
      <c r="G28" t="s">
        <v>59</v>
      </c>
      <c r="H28">
        <f>SUM(H26:H27)</f>
        <v>8.3333333333333339E-4</v>
      </c>
      <c r="I28" s="4">
        <f>SUM(I26:I27)</f>
        <v>2716.191506666667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9"/>
  <sheetViews>
    <sheetView workbookViewId="0">
      <selection activeCell="K19" sqref="K19"/>
    </sheetView>
  </sheetViews>
  <sheetFormatPr baseColWidth="10" defaultColWidth="8.83203125" defaultRowHeight="13" x14ac:dyDescent="0.15"/>
  <cols>
    <col min="1" max="1" width="2.83203125" style="17" customWidth="1"/>
    <col min="2" max="2" width="28.5" style="17" customWidth="1"/>
    <col min="3" max="3" width="15.6640625" style="17" customWidth="1"/>
    <col min="4" max="5" width="11.5" style="17" customWidth="1"/>
    <col min="6" max="6" width="12.5" style="17" customWidth="1"/>
    <col min="7" max="16384" width="8.83203125" style="17"/>
  </cols>
  <sheetData>
    <row r="2" spans="2:8" ht="16" x14ac:dyDescent="0.2">
      <c r="B2" s="288" t="s">
        <v>258</v>
      </c>
      <c r="C2" s="289"/>
    </row>
    <row r="3" spans="2:8" ht="16" x14ac:dyDescent="0.2">
      <c r="B3" s="288" t="s">
        <v>259</v>
      </c>
      <c r="C3" s="289"/>
      <c r="H3" s="17" t="s">
        <v>188</v>
      </c>
    </row>
    <row r="4" spans="2:8" ht="14" thickBot="1" x14ac:dyDescent="0.2">
      <c r="B4" s="18" t="s">
        <v>260</v>
      </c>
      <c r="C4" s="19" t="s">
        <v>261</v>
      </c>
      <c r="D4" s="186" t="s">
        <v>262</v>
      </c>
      <c r="E4" s="290" t="s">
        <v>263</v>
      </c>
      <c r="F4" s="290"/>
    </row>
    <row r="5" spans="2:8" x14ac:dyDescent="0.15">
      <c r="B5" s="20"/>
      <c r="C5" s="21" t="s">
        <v>264</v>
      </c>
      <c r="D5" s="187" t="s">
        <v>265</v>
      </c>
      <c r="E5" s="290" t="s">
        <v>266</v>
      </c>
      <c r="F5" s="290"/>
    </row>
    <row r="6" spans="2:8" x14ac:dyDescent="0.15">
      <c r="B6" s="18" t="s">
        <v>267</v>
      </c>
      <c r="C6" s="21" t="s">
        <v>268</v>
      </c>
      <c r="D6" s="17" t="s">
        <v>95</v>
      </c>
      <c r="E6" s="17" t="s">
        <v>269</v>
      </c>
      <c r="F6" s="17" t="s">
        <v>83</v>
      </c>
      <c r="H6" s="17" t="s">
        <v>29</v>
      </c>
    </row>
    <row r="7" spans="2:8" x14ac:dyDescent="0.15">
      <c r="B7" s="22" t="s">
        <v>86</v>
      </c>
      <c r="C7" s="23">
        <f>'7a1'!$W$10</f>
        <v>13.711028939628614</v>
      </c>
      <c r="D7" s="24">
        <v>1</v>
      </c>
      <c r="E7" s="24">
        <f>C7*D7/2000</f>
        <v>6.8555144698143073E-3</v>
      </c>
      <c r="F7" s="25" t="s">
        <v>116</v>
      </c>
      <c r="H7" s="17">
        <v>3450</v>
      </c>
    </row>
    <row r="8" spans="2:8" x14ac:dyDescent="0.15">
      <c r="B8" s="22" t="s">
        <v>83</v>
      </c>
      <c r="C8" s="23">
        <f>'7a1'!$W$12</f>
        <v>13.18918555872497</v>
      </c>
      <c r="D8" s="24">
        <v>1</v>
      </c>
      <c r="E8" s="25" t="s">
        <v>116</v>
      </c>
      <c r="F8" s="24">
        <f>C8*D8/2000</f>
        <v>6.594592779362485E-3</v>
      </c>
      <c r="H8" s="17">
        <v>1400</v>
      </c>
    </row>
    <row r="9" spans="2:8" ht="8" customHeight="1" x14ac:dyDescent="0.15">
      <c r="B9" s="26"/>
      <c r="C9" s="27"/>
      <c r="D9" s="25"/>
      <c r="E9" s="25"/>
      <c r="F9" s="25"/>
    </row>
    <row r="10" spans="2:8" ht="14" thickBot="1" x14ac:dyDescent="0.2">
      <c r="B10" s="18" t="s">
        <v>270</v>
      </c>
      <c r="C10" s="19" t="s">
        <v>261</v>
      </c>
      <c r="E10" s="25"/>
      <c r="F10" s="25"/>
    </row>
    <row r="11" spans="2:8" x14ac:dyDescent="0.15">
      <c r="B11" s="20"/>
      <c r="C11" s="21" t="s">
        <v>264</v>
      </c>
      <c r="E11" s="25"/>
      <c r="F11" s="25"/>
    </row>
    <row r="12" spans="2:8" x14ac:dyDescent="0.15">
      <c r="B12" s="18" t="s">
        <v>267</v>
      </c>
      <c r="C12" s="21" t="s">
        <v>268</v>
      </c>
      <c r="D12" s="17" t="s">
        <v>95</v>
      </c>
      <c r="E12" s="25"/>
      <c r="F12" s="25"/>
    </row>
    <row r="13" spans="2:8" x14ac:dyDescent="0.15">
      <c r="B13" s="22" t="s">
        <v>86</v>
      </c>
      <c r="C13" s="23">
        <f>'7a1'!$W$17</f>
        <v>0.52234494656048791</v>
      </c>
      <c r="D13" s="24">
        <f>D7*5</f>
        <v>5</v>
      </c>
      <c r="E13" s="24">
        <f>C13*D13/2000</f>
        <v>1.30586236640122E-3</v>
      </c>
      <c r="F13" s="25" t="s">
        <v>116</v>
      </c>
    </row>
    <row r="14" spans="2:8" x14ac:dyDescent="0.15">
      <c r="B14" s="22" t="s">
        <v>83</v>
      </c>
      <c r="C14" s="23">
        <f>'7a1'!$W$19</f>
        <v>0.14598048719199616</v>
      </c>
      <c r="D14" s="24">
        <f>D8*5</f>
        <v>5</v>
      </c>
      <c r="E14" s="25" t="s">
        <v>116</v>
      </c>
      <c r="F14" s="24">
        <f>C14*D14/2000</f>
        <v>3.6495121797999042E-4</v>
      </c>
    </row>
    <row r="15" spans="2:8" ht="5.5" customHeight="1" x14ac:dyDescent="0.15">
      <c r="B15" s="26"/>
      <c r="C15" s="27"/>
      <c r="E15" s="25"/>
      <c r="F15" s="25"/>
    </row>
    <row r="16" spans="2:8" ht="14" thickBot="1" x14ac:dyDescent="0.2">
      <c r="B16" s="18" t="s">
        <v>271</v>
      </c>
      <c r="C16" s="19" t="s">
        <v>261</v>
      </c>
      <c r="E16" s="25"/>
      <c r="F16" s="25"/>
    </row>
    <row r="17" spans="2:7" x14ac:dyDescent="0.15">
      <c r="B17" s="20"/>
      <c r="C17" s="21" t="s">
        <v>264</v>
      </c>
      <c r="E17" s="25"/>
      <c r="F17" s="25"/>
    </row>
    <row r="18" spans="2:7" x14ac:dyDescent="0.15">
      <c r="B18" s="18" t="s">
        <v>267</v>
      </c>
      <c r="C18" s="28" t="s">
        <v>272</v>
      </c>
      <c r="D18" s="17" t="s">
        <v>77</v>
      </c>
      <c r="E18" s="25"/>
      <c r="F18" s="25"/>
    </row>
    <row r="19" spans="2:7" x14ac:dyDescent="0.15">
      <c r="B19" s="22" t="s">
        <v>86</v>
      </c>
      <c r="C19" s="23">
        <f>'7a1'!$W$25</f>
        <v>1.0229175366100993</v>
      </c>
      <c r="D19" s="179">
        <f>60*180*ASIN(2*D7/H7)/PI()/1000</f>
        <v>1.9928967903393461E-3</v>
      </c>
      <c r="E19" s="25">
        <f>C19*D19/2</f>
        <v>1.0192845377460487E-3</v>
      </c>
      <c r="F19" s="25" t="s">
        <v>116</v>
      </c>
    </row>
    <row r="20" spans="2:7" x14ac:dyDescent="0.15">
      <c r="B20" s="22" t="s">
        <v>83</v>
      </c>
      <c r="C20" s="23">
        <f>'7a1'!$W$28</f>
        <v>0.67087033275216701</v>
      </c>
      <c r="D20" s="179">
        <f>60*180*ASIN(2*D8/H8)/PI()/1000</f>
        <v>4.91106848583948E-3</v>
      </c>
      <c r="E20" s="25" t="s">
        <v>116</v>
      </c>
      <c r="F20" s="25">
        <f>C20*D20/2</f>
        <v>1.6473450746319065E-3</v>
      </c>
    </row>
    <row r="21" spans="2:7" x14ac:dyDescent="0.15">
      <c r="D21" s="30" t="s">
        <v>89</v>
      </c>
      <c r="E21" s="67">
        <f>SQRT(SUMSQ(E7,E13,E19))</f>
        <v>7.0528218561583212E-3</v>
      </c>
      <c r="F21" s="67">
        <f>SQRT(SUMSQ(F8,F14,F20))</f>
        <v>6.8070249824750094E-3</v>
      </c>
    </row>
    <row r="22" spans="2:7" x14ac:dyDescent="0.15">
      <c r="D22" s="30" t="s">
        <v>90</v>
      </c>
      <c r="E22" s="24">
        <v>0.03</v>
      </c>
      <c r="F22" s="24">
        <v>0.03</v>
      </c>
      <c r="G22" s="80" t="s">
        <v>626</v>
      </c>
    </row>
    <row r="25" spans="2:7" x14ac:dyDescent="0.15">
      <c r="C25" s="165"/>
      <c r="D25" s="165" t="s">
        <v>155</v>
      </c>
    </row>
    <row r="26" spans="2:7" x14ac:dyDescent="0.15">
      <c r="C26" s="165" t="s">
        <v>613</v>
      </c>
      <c r="D26" s="243">
        <f>D19/60</f>
        <v>3.3214946505655771E-5</v>
      </c>
    </row>
    <row r="27" spans="2:7" x14ac:dyDescent="0.15">
      <c r="C27" s="165" t="s">
        <v>83</v>
      </c>
      <c r="D27" s="243">
        <f>D20/60</f>
        <v>8.1851141430657997E-5</v>
      </c>
    </row>
    <row r="28" spans="2:7" x14ac:dyDescent="0.15">
      <c r="B28" s="17" t="s">
        <v>632</v>
      </c>
    </row>
    <row r="29" spans="2:7" x14ac:dyDescent="0.15">
      <c r="B29" s="244" t="s">
        <v>628</v>
      </c>
    </row>
    <row r="30" spans="2:7" x14ac:dyDescent="0.15">
      <c r="B30" s="245" t="s">
        <v>629</v>
      </c>
    </row>
    <row r="31" spans="2:7" x14ac:dyDescent="0.15">
      <c r="B31" s="246" t="s">
        <v>627</v>
      </c>
    </row>
    <row r="32" spans="2:7" x14ac:dyDescent="0.15">
      <c r="B32" s="136" t="s">
        <v>86</v>
      </c>
      <c r="C32" s="23">
        <v>0.121</v>
      </c>
      <c r="D32" s="17" t="s">
        <v>137</v>
      </c>
    </row>
    <row r="33" spans="2:4" x14ac:dyDescent="0.15">
      <c r="B33" s="22" t="s">
        <v>83</v>
      </c>
      <c r="C33" s="23">
        <v>0.11600000000000001</v>
      </c>
      <c r="D33" s="17" t="s">
        <v>137</v>
      </c>
    </row>
    <row r="35" spans="2:4" x14ac:dyDescent="0.15">
      <c r="B35" s="165" t="s">
        <v>630</v>
      </c>
      <c r="C35" s="165">
        <v>1.2E-2</v>
      </c>
      <c r="D35" s="17" t="s">
        <v>40</v>
      </c>
    </row>
    <row r="37" spans="2:4" x14ac:dyDescent="0.15">
      <c r="B37" s="247" t="s">
        <v>631</v>
      </c>
    </row>
    <row r="38" spans="2:4" x14ac:dyDescent="0.15">
      <c r="B38" s="136" t="s">
        <v>86</v>
      </c>
      <c r="C38" s="23">
        <f>C32*C35*1000</f>
        <v>1.452</v>
      </c>
      <c r="D38" s="17" t="s">
        <v>95</v>
      </c>
    </row>
    <row r="39" spans="2:4" x14ac:dyDescent="0.15">
      <c r="B39" s="22" t="s">
        <v>83</v>
      </c>
      <c r="C39" s="23">
        <f>C33*C35*1000</f>
        <v>1.3919999999999999</v>
      </c>
      <c r="D39" s="17" t="s">
        <v>95</v>
      </c>
    </row>
  </sheetData>
  <mergeCells count="4">
    <mergeCell ref="B2:C2"/>
    <mergeCell ref="B3:C3"/>
    <mergeCell ref="E4:F4"/>
    <mergeCell ref="E5:F5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C4:E12"/>
  <sheetViews>
    <sheetView workbookViewId="0"/>
  </sheetViews>
  <sheetFormatPr baseColWidth="10" defaultColWidth="8.83203125" defaultRowHeight="13" x14ac:dyDescent="0.15"/>
  <sheetData>
    <row r="4" spans="3:5" x14ac:dyDescent="0.15">
      <c r="C4" t="s">
        <v>655</v>
      </c>
      <c r="D4" t="s">
        <v>322</v>
      </c>
      <c r="E4" t="s">
        <v>174</v>
      </c>
    </row>
    <row r="5" spans="3:5" x14ac:dyDescent="0.15">
      <c r="C5" t="s">
        <v>652</v>
      </c>
      <c r="D5">
        <v>5.25</v>
      </c>
      <c r="E5">
        <f>D5*PI()/180</f>
        <v>9.1629785729702304E-2</v>
      </c>
    </row>
    <row r="6" spans="3:5" x14ac:dyDescent="0.15">
      <c r="C6" t="s">
        <v>653</v>
      </c>
      <c r="D6">
        <v>10.5</v>
      </c>
      <c r="E6">
        <f>D6*PI()/180</f>
        <v>0.18325957145940461</v>
      </c>
    </row>
    <row r="7" spans="3:5" x14ac:dyDescent="0.15">
      <c r="C7" t="s">
        <v>472</v>
      </c>
      <c r="D7">
        <f>SQRT(D5^2+D6^2)</f>
        <v>11.739356881873896</v>
      </c>
      <c r="E7">
        <f>SQRT(E5^2+E6^2)</f>
        <v>0.20489042965535451</v>
      </c>
    </row>
    <row r="9" spans="3:5" x14ac:dyDescent="0.15">
      <c r="C9" t="s">
        <v>656</v>
      </c>
    </row>
    <row r="10" spans="3:5" x14ac:dyDescent="0.15">
      <c r="C10" t="s">
        <v>105</v>
      </c>
      <c r="D10">
        <v>190</v>
      </c>
      <c r="E10" t="s">
        <v>654</v>
      </c>
    </row>
    <row r="11" spans="3:5" x14ac:dyDescent="0.15">
      <c r="C11" t="s">
        <v>207</v>
      </c>
      <c r="D11">
        <f>D10*E7</f>
        <v>38.929181634517356</v>
      </c>
      <c r="E11" t="s">
        <v>657</v>
      </c>
    </row>
    <row r="12" spans="3:5" x14ac:dyDescent="0.15">
      <c r="D12">
        <f>D11/386</f>
        <v>0.10085280216196206</v>
      </c>
      <c r="E12" t="s">
        <v>202</v>
      </c>
    </row>
  </sheetData>
  <phoneticPr fontId="2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H53"/>
  <sheetViews>
    <sheetView topLeftCell="A7" workbookViewId="0"/>
  </sheetViews>
  <sheetFormatPr baseColWidth="10" defaultColWidth="8.83203125" defaultRowHeight="13" x14ac:dyDescent="0.15"/>
  <cols>
    <col min="1" max="1" width="4.5" customWidth="1"/>
    <col min="2" max="2" width="3.5" customWidth="1"/>
    <col min="3" max="3" width="115.5" customWidth="1"/>
  </cols>
  <sheetData>
    <row r="2" spans="1:8" ht="16" x14ac:dyDescent="0.2">
      <c r="B2" s="282" t="s">
        <v>678</v>
      </c>
      <c r="C2" s="284"/>
      <c r="D2" s="132"/>
      <c r="E2" s="132"/>
      <c r="F2" s="132"/>
      <c r="G2" s="132"/>
      <c r="H2" s="133"/>
    </row>
    <row r="3" spans="1:8" x14ac:dyDescent="0.15">
      <c r="A3" t="s">
        <v>483</v>
      </c>
      <c r="B3" s="134" t="s">
        <v>446</v>
      </c>
      <c r="C3" s="135" t="s">
        <v>450</v>
      </c>
    </row>
    <row r="4" spans="1:8" x14ac:dyDescent="0.15">
      <c r="B4" s="139"/>
      <c r="C4" s="140" t="s">
        <v>651</v>
      </c>
    </row>
    <row r="5" spans="1:8" x14ac:dyDescent="0.15">
      <c r="A5" t="s">
        <v>483</v>
      </c>
      <c r="B5" s="134" t="s">
        <v>447</v>
      </c>
      <c r="C5" s="135" t="s">
        <v>640</v>
      </c>
    </row>
    <row r="6" spans="1:8" x14ac:dyDescent="0.15">
      <c r="A6" t="s">
        <v>483</v>
      </c>
      <c r="B6" s="134" t="s">
        <v>448</v>
      </c>
      <c r="C6" s="135" t="s">
        <v>572</v>
      </c>
    </row>
    <row r="7" spans="1:8" x14ac:dyDescent="0.15">
      <c r="B7" s="136"/>
      <c r="C7" s="137" t="s">
        <v>687</v>
      </c>
    </row>
    <row r="8" spans="1:8" x14ac:dyDescent="0.15">
      <c r="A8" t="s">
        <v>483</v>
      </c>
      <c r="B8" s="139" t="s">
        <v>449</v>
      </c>
      <c r="C8" s="140" t="s">
        <v>489</v>
      </c>
    </row>
    <row r="9" spans="1:8" x14ac:dyDescent="0.15">
      <c r="B9" s="139"/>
      <c r="C9" s="140" t="s">
        <v>494</v>
      </c>
    </row>
    <row r="10" spans="1:8" x14ac:dyDescent="0.15">
      <c r="B10" s="139"/>
      <c r="C10" s="140" t="s">
        <v>495</v>
      </c>
    </row>
    <row r="11" spans="1:8" x14ac:dyDescent="0.15">
      <c r="B11" s="139"/>
      <c r="C11" s="140" t="s">
        <v>699</v>
      </c>
    </row>
    <row r="12" spans="1:8" x14ac:dyDescent="0.15">
      <c r="A12" t="s">
        <v>483</v>
      </c>
      <c r="B12" s="134" t="s">
        <v>451</v>
      </c>
      <c r="C12" s="135" t="s">
        <v>461</v>
      </c>
    </row>
    <row r="13" spans="1:8" x14ac:dyDescent="0.15">
      <c r="B13" s="139"/>
      <c r="C13" s="140" t="s">
        <v>504</v>
      </c>
    </row>
    <row r="14" spans="1:8" x14ac:dyDescent="0.15">
      <c r="A14" t="s">
        <v>483</v>
      </c>
      <c r="B14" s="22" t="s">
        <v>452</v>
      </c>
      <c r="C14" s="138" t="s">
        <v>501</v>
      </c>
    </row>
    <row r="15" spans="1:8" x14ac:dyDescent="0.15">
      <c r="A15" t="s">
        <v>483</v>
      </c>
      <c r="B15" s="134" t="s">
        <v>454</v>
      </c>
      <c r="C15" s="135" t="s">
        <v>502</v>
      </c>
    </row>
    <row r="16" spans="1:8" x14ac:dyDescent="0.15">
      <c r="B16" s="136"/>
      <c r="C16" s="137" t="s">
        <v>500</v>
      </c>
    </row>
    <row r="17" spans="1:3" x14ac:dyDescent="0.15">
      <c r="A17" t="s">
        <v>483</v>
      </c>
      <c r="B17" s="134" t="s">
        <v>453</v>
      </c>
      <c r="C17" s="135" t="s">
        <v>503</v>
      </c>
    </row>
    <row r="18" spans="1:3" x14ac:dyDescent="0.15">
      <c r="B18" s="136"/>
      <c r="C18" s="137" t="s">
        <v>499</v>
      </c>
    </row>
    <row r="19" spans="1:3" x14ac:dyDescent="0.15">
      <c r="A19" t="s">
        <v>483</v>
      </c>
      <c r="B19" s="139" t="s">
        <v>457</v>
      </c>
      <c r="C19" s="140" t="s">
        <v>641</v>
      </c>
    </row>
    <row r="20" spans="1:3" x14ac:dyDescent="0.15">
      <c r="B20" s="136"/>
      <c r="C20" s="137" t="s">
        <v>440</v>
      </c>
    </row>
    <row r="21" spans="1:3" x14ac:dyDescent="0.15">
      <c r="A21" t="s">
        <v>483</v>
      </c>
      <c r="B21" s="22" t="s">
        <v>458</v>
      </c>
      <c r="C21" s="138" t="s">
        <v>441</v>
      </c>
    </row>
    <row r="22" spans="1:3" x14ac:dyDescent="0.15">
      <c r="A22" t="s">
        <v>483</v>
      </c>
    </row>
    <row r="23" spans="1:3" ht="16" x14ac:dyDescent="0.2">
      <c r="B23" s="282" t="s">
        <v>679</v>
      </c>
      <c r="C23" s="284"/>
    </row>
    <row r="24" spans="1:3" x14ac:dyDescent="0.15">
      <c r="A24" t="s">
        <v>483</v>
      </c>
      <c r="B24" s="134" t="s">
        <v>459</v>
      </c>
      <c r="C24" s="135" t="s">
        <v>462</v>
      </c>
    </row>
    <row r="25" spans="1:3" x14ac:dyDescent="0.15">
      <c r="A25" t="s">
        <v>483</v>
      </c>
      <c r="B25" s="136"/>
      <c r="C25" s="137" t="s">
        <v>685</v>
      </c>
    </row>
    <row r="26" spans="1:3" x14ac:dyDescent="0.15">
      <c r="A26" t="s">
        <v>483</v>
      </c>
      <c r="B26" s="22" t="s">
        <v>463</v>
      </c>
      <c r="C26" s="138" t="s">
        <v>442</v>
      </c>
    </row>
    <row r="27" spans="1:3" x14ac:dyDescent="0.15">
      <c r="B27" s="22" t="s">
        <v>460</v>
      </c>
      <c r="C27" s="138" t="s">
        <v>492</v>
      </c>
    </row>
    <row r="28" spans="1:3" x14ac:dyDescent="0.15">
      <c r="A28" t="s">
        <v>483</v>
      </c>
      <c r="B28" s="139" t="s">
        <v>466</v>
      </c>
      <c r="C28" s="140" t="s">
        <v>491</v>
      </c>
    </row>
    <row r="29" spans="1:3" x14ac:dyDescent="0.15">
      <c r="A29" t="s">
        <v>483</v>
      </c>
      <c r="B29" s="139"/>
      <c r="C29" s="140" t="s">
        <v>443</v>
      </c>
    </row>
    <row r="30" spans="1:3" x14ac:dyDescent="0.15">
      <c r="B30" s="134" t="s">
        <v>467</v>
      </c>
      <c r="C30" s="135" t="s">
        <v>490</v>
      </c>
    </row>
    <row r="31" spans="1:3" x14ac:dyDescent="0.15">
      <c r="A31" t="s">
        <v>483</v>
      </c>
      <c r="B31" s="134" t="s">
        <v>468</v>
      </c>
      <c r="C31" s="135" t="s">
        <v>642</v>
      </c>
    </row>
    <row r="32" spans="1:3" x14ac:dyDescent="0.15">
      <c r="B32" s="139"/>
      <c r="C32" s="140" t="s">
        <v>643</v>
      </c>
    </row>
    <row r="33" spans="1:3" x14ac:dyDescent="0.15">
      <c r="A33" t="s">
        <v>483</v>
      </c>
      <c r="B33" s="222" t="s">
        <v>469</v>
      </c>
      <c r="C33" s="253" t="s">
        <v>688</v>
      </c>
    </row>
    <row r="34" spans="1:3" x14ac:dyDescent="0.15">
      <c r="B34" s="150"/>
      <c r="C34" s="249" t="s">
        <v>689</v>
      </c>
    </row>
    <row r="35" spans="1:3" x14ac:dyDescent="0.15">
      <c r="B35" s="230"/>
      <c r="C35" s="254" t="s">
        <v>690</v>
      </c>
    </row>
    <row r="36" spans="1:3" x14ac:dyDescent="0.15">
      <c r="A36" t="s">
        <v>483</v>
      </c>
      <c r="B36" s="139" t="s">
        <v>470</v>
      </c>
      <c r="C36" s="140" t="s">
        <v>464</v>
      </c>
    </row>
    <row r="37" spans="1:3" x14ac:dyDescent="0.15">
      <c r="A37" t="s">
        <v>483</v>
      </c>
      <c r="B37" s="136"/>
      <c r="C37" s="137" t="s">
        <v>511</v>
      </c>
    </row>
    <row r="38" spans="1:3" x14ac:dyDescent="0.15">
      <c r="A38" t="s">
        <v>483</v>
      </c>
      <c r="B38" s="22" t="s">
        <v>471</v>
      </c>
      <c r="C38" s="138" t="s">
        <v>465</v>
      </c>
    </row>
    <row r="39" spans="1:3" x14ac:dyDescent="0.15">
      <c r="B39" s="22" t="s">
        <v>472</v>
      </c>
      <c r="C39" s="138" t="s">
        <v>444</v>
      </c>
    </row>
    <row r="40" spans="1:3" x14ac:dyDescent="0.15">
      <c r="B40" s="22" t="s">
        <v>473</v>
      </c>
      <c r="C40" s="138" t="s">
        <v>510</v>
      </c>
    </row>
    <row r="41" spans="1:3" x14ac:dyDescent="0.15">
      <c r="B41" s="22" t="s">
        <v>485</v>
      </c>
      <c r="C41" s="138" t="s">
        <v>486</v>
      </c>
    </row>
    <row r="42" spans="1:3" x14ac:dyDescent="0.15">
      <c r="B42" s="22" t="s">
        <v>487</v>
      </c>
      <c r="C42" s="138" t="s">
        <v>488</v>
      </c>
    </row>
    <row r="43" spans="1:3" x14ac:dyDescent="0.15">
      <c r="B43" s="22" t="s">
        <v>496</v>
      </c>
      <c r="C43" s="138" t="s">
        <v>498</v>
      </c>
    </row>
    <row r="44" spans="1:3" x14ac:dyDescent="0.15">
      <c r="B44" s="134" t="s">
        <v>508</v>
      </c>
      <c r="C44" s="135" t="s">
        <v>509</v>
      </c>
    </row>
    <row r="45" spans="1:3" x14ac:dyDescent="0.15">
      <c r="B45" s="134" t="s">
        <v>564</v>
      </c>
      <c r="C45" s="135" t="s">
        <v>686</v>
      </c>
    </row>
    <row r="46" spans="1:3" x14ac:dyDescent="0.15">
      <c r="B46" s="249"/>
      <c r="C46" s="140" t="s">
        <v>658</v>
      </c>
    </row>
    <row r="47" spans="1:3" x14ac:dyDescent="0.15">
      <c r="B47" s="248"/>
      <c r="C47" s="137" t="s">
        <v>659</v>
      </c>
    </row>
    <row r="48" spans="1:3" x14ac:dyDescent="0.15">
      <c r="B48" s="134" t="s">
        <v>668</v>
      </c>
      <c r="C48" s="135" t="s">
        <v>676</v>
      </c>
    </row>
    <row r="49" spans="2:3" x14ac:dyDescent="0.15">
      <c r="B49" s="249"/>
      <c r="C49" s="140" t="s">
        <v>680</v>
      </c>
    </row>
    <row r="50" spans="2:3" ht="14" x14ac:dyDescent="0.15">
      <c r="B50" s="248"/>
      <c r="C50" s="251" t="s">
        <v>677</v>
      </c>
    </row>
    <row r="51" spans="2:3" x14ac:dyDescent="0.15">
      <c r="B51" s="252" t="s">
        <v>681</v>
      </c>
      <c r="C51" s="253" t="s">
        <v>684</v>
      </c>
    </row>
    <row r="52" spans="2:3" x14ac:dyDescent="0.15">
      <c r="B52" s="249"/>
      <c r="C52" s="249" t="s">
        <v>682</v>
      </c>
    </row>
    <row r="53" spans="2:3" x14ac:dyDescent="0.15">
      <c r="B53" s="248"/>
      <c r="C53" s="248" t="s">
        <v>683</v>
      </c>
    </row>
  </sheetData>
  <mergeCells count="2">
    <mergeCell ref="B2:C2"/>
    <mergeCell ref="B23:C2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5"/>
  <sheetViews>
    <sheetView workbookViewId="0">
      <selection activeCell="N15" sqref="N15"/>
    </sheetView>
  </sheetViews>
  <sheetFormatPr baseColWidth="10" defaultColWidth="9.1640625" defaultRowHeight="13" x14ac:dyDescent="0.15"/>
  <cols>
    <col min="1" max="1" width="9.1640625" style="1"/>
    <col min="2" max="2" width="3.6640625" style="1" customWidth="1"/>
    <col min="3" max="3" width="28.33203125" style="1" customWidth="1"/>
    <col min="4" max="5" width="9.1640625" style="1"/>
    <col min="6" max="6" width="11.5" style="1" customWidth="1"/>
    <col min="7" max="16384" width="9.1640625" style="1"/>
  </cols>
  <sheetData>
    <row r="1" spans="2:11" x14ac:dyDescent="0.15">
      <c r="C1" s="1" t="s">
        <v>112</v>
      </c>
    </row>
    <row r="2" spans="2:11" x14ac:dyDescent="0.15">
      <c r="C2" s="1" t="s">
        <v>113</v>
      </c>
    </row>
    <row r="4" spans="2:11" ht="16" x14ac:dyDescent="0.2">
      <c r="B4" s="285" t="s">
        <v>714</v>
      </c>
      <c r="C4" s="286"/>
      <c r="D4" s="286"/>
      <c r="E4" s="287"/>
    </row>
    <row r="5" spans="2:11" ht="16" x14ac:dyDescent="0.2">
      <c r="B5" s="257" t="s">
        <v>0</v>
      </c>
      <c r="C5" s="268" t="s">
        <v>2</v>
      </c>
      <c r="D5" s="258" t="s">
        <v>529</v>
      </c>
      <c r="E5" s="268" t="s">
        <v>536</v>
      </c>
    </row>
    <row r="6" spans="2:11" x14ac:dyDescent="0.15">
      <c r="B6" s="150">
        <v>1</v>
      </c>
      <c r="C6" s="272" t="s">
        <v>96</v>
      </c>
      <c r="D6" s="266">
        <v>4.09</v>
      </c>
      <c r="E6" s="55">
        <v>0</v>
      </c>
      <c r="F6" s="1" t="s">
        <v>102</v>
      </c>
      <c r="G6" s="1">
        <f>3.47+0.58</f>
        <v>4.05</v>
      </c>
      <c r="H6" s="1" t="s">
        <v>614</v>
      </c>
      <c r="I6" s="1" t="s">
        <v>615</v>
      </c>
    </row>
    <row r="7" spans="2:11" x14ac:dyDescent="0.15">
      <c r="B7" s="150">
        <v>2</v>
      </c>
      <c r="C7" s="272" t="s">
        <v>97</v>
      </c>
      <c r="D7" s="266">
        <f>$D$32</f>
        <v>2.97675</v>
      </c>
      <c r="E7" s="79">
        <f>$D$32</f>
        <v>2.97675</v>
      </c>
      <c r="F7" s="12" t="s">
        <v>616</v>
      </c>
      <c r="G7" s="12" t="s">
        <v>617</v>
      </c>
      <c r="H7" s="12" t="s">
        <v>618</v>
      </c>
      <c r="I7" s="12" t="s">
        <v>625</v>
      </c>
      <c r="J7" s="12" t="s">
        <v>624</v>
      </c>
    </row>
    <row r="8" spans="2:11" x14ac:dyDescent="0.15">
      <c r="B8" s="150">
        <v>3</v>
      </c>
      <c r="C8" s="272" t="s">
        <v>98</v>
      </c>
      <c r="D8" s="266">
        <f>$E$32</f>
        <v>0.97191499999999997</v>
      </c>
      <c r="E8" s="79">
        <f>F32</f>
        <v>0.40888049999999998</v>
      </c>
    </row>
    <row r="9" spans="2:11" x14ac:dyDescent="0.15">
      <c r="B9" s="150">
        <v>4</v>
      </c>
      <c r="C9" s="272" t="s">
        <v>101</v>
      </c>
      <c r="D9" s="266">
        <f>$F$32</f>
        <v>0.40888049999999998</v>
      </c>
      <c r="E9" s="79">
        <f>$F$32</f>
        <v>0.40888049999999998</v>
      </c>
    </row>
    <row r="10" spans="2:11" x14ac:dyDescent="0.15">
      <c r="B10" s="150">
        <v>5</v>
      </c>
      <c r="C10" s="272" t="s">
        <v>99</v>
      </c>
      <c r="D10" s="266">
        <f>$E$49</f>
        <v>5.8589411840960594E-2</v>
      </c>
      <c r="E10" s="79">
        <f>$E$49</f>
        <v>5.8589411840960594E-2</v>
      </c>
    </row>
    <row r="11" spans="2:11" ht="14.25" customHeight="1" x14ac:dyDescent="0.15">
      <c r="B11" s="150">
        <v>6</v>
      </c>
      <c r="C11" s="272" t="s">
        <v>100</v>
      </c>
      <c r="D11" s="266">
        <f>$F$49</f>
        <v>1.1092087713336463E-2</v>
      </c>
      <c r="E11" s="79">
        <f>$F$49</f>
        <v>1.1092087713336463E-2</v>
      </c>
    </row>
    <row r="12" spans="2:11" ht="14.25" customHeight="1" x14ac:dyDescent="0.15">
      <c r="B12" s="150">
        <v>7</v>
      </c>
      <c r="C12" s="272" t="s">
        <v>142</v>
      </c>
      <c r="D12" s="266">
        <v>0</v>
      </c>
      <c r="E12" s="79">
        <v>0</v>
      </c>
      <c r="G12" s="9">
        <f>SUM(D7:D11)</f>
        <v>4.4272269995542981</v>
      </c>
      <c r="H12" s="9">
        <f>SUM(E7:E11)</f>
        <v>3.8641924995542967</v>
      </c>
      <c r="I12" s="1">
        <v>4.0999999999999996</v>
      </c>
      <c r="K12" s="1">
        <v>3.9</v>
      </c>
    </row>
    <row r="13" spans="2:11" ht="14.25" customHeight="1" x14ac:dyDescent="0.15">
      <c r="B13" s="150">
        <v>8</v>
      </c>
      <c r="C13" s="272" t="s">
        <v>143</v>
      </c>
      <c r="D13" s="266">
        <v>0</v>
      </c>
      <c r="E13" s="79">
        <v>0</v>
      </c>
      <c r="G13" s="9">
        <f>SUM(D12:D14)</f>
        <v>1.8448045475901278</v>
      </c>
      <c r="H13" s="9">
        <f>SUM(E12:E14)</f>
        <v>1.8448045475901278</v>
      </c>
      <c r="I13" s="1">
        <v>4.4000000000000004</v>
      </c>
      <c r="K13" s="1">
        <v>1.84</v>
      </c>
    </row>
    <row r="14" spans="2:11" ht="14.25" customHeight="1" x14ac:dyDescent="0.15">
      <c r="B14" s="150">
        <v>9</v>
      </c>
      <c r="C14" s="272" t="s">
        <v>200</v>
      </c>
      <c r="D14" s="141">
        <f>$D$55</f>
        <v>1.8448045475901278</v>
      </c>
      <c r="E14" s="142">
        <f>$D$55</f>
        <v>1.8448045475901278</v>
      </c>
      <c r="I14" s="1">
        <v>1.8</v>
      </c>
      <c r="K14" s="1">
        <v>5</v>
      </c>
    </row>
    <row r="15" spans="2:11" ht="14.25" customHeight="1" x14ac:dyDescent="0.15">
      <c r="B15" s="150">
        <v>10</v>
      </c>
      <c r="C15" s="272" t="s">
        <v>150</v>
      </c>
      <c r="D15" s="266">
        <f>0.2*SUM(D6:D14)</f>
        <v>2.0724063094288852</v>
      </c>
      <c r="E15" s="79">
        <f>0.2*SUM(E6:E14)</f>
        <v>1.141799409428885</v>
      </c>
      <c r="I15" s="1">
        <v>5</v>
      </c>
      <c r="K15" s="1">
        <v>1.1000000000000001</v>
      </c>
    </row>
    <row r="16" spans="2:11" x14ac:dyDescent="0.15">
      <c r="B16" s="150">
        <v>11</v>
      </c>
      <c r="C16" s="272" t="s">
        <v>149</v>
      </c>
      <c r="D16" s="48">
        <v>5</v>
      </c>
      <c r="E16" s="55">
        <v>5</v>
      </c>
      <c r="I16" s="1">
        <v>2.1</v>
      </c>
      <c r="K16" s="1">
        <f>SUM(K12:K15)</f>
        <v>11.84</v>
      </c>
    </row>
    <row r="17" spans="2:12" x14ac:dyDescent="0.15">
      <c r="B17" s="273"/>
      <c r="C17" s="22" t="s">
        <v>89</v>
      </c>
      <c r="D17" s="274">
        <f>SUM(D6:D16)</f>
        <v>17.434437856573311</v>
      </c>
      <c r="E17" s="275">
        <f>SUM(E6:E16)</f>
        <v>11.85079645657331</v>
      </c>
      <c r="F17" s="1" t="s">
        <v>531</v>
      </c>
      <c r="I17" s="1">
        <f>SUM(I12:I16)</f>
        <v>17.400000000000002</v>
      </c>
    </row>
    <row r="19" spans="2:12" x14ac:dyDescent="0.15">
      <c r="D19" s="195">
        <f>D17*1.5</f>
        <v>26.151656784859966</v>
      </c>
      <c r="E19" s="195">
        <f>E17*1.5</f>
        <v>17.776194684859966</v>
      </c>
      <c r="F19" s="1" t="s">
        <v>16</v>
      </c>
    </row>
    <row r="20" spans="2:12" x14ac:dyDescent="0.15">
      <c r="D20" s="195"/>
      <c r="E20" s="195"/>
    </row>
    <row r="21" spans="2:12" x14ac:dyDescent="0.15">
      <c r="C21" s="1" t="s">
        <v>535</v>
      </c>
      <c r="D21" s="195">
        <f>D17/2</f>
        <v>8.7172189282866555</v>
      </c>
      <c r="E21" s="195">
        <f>E17/2</f>
        <v>5.9253982282866549</v>
      </c>
      <c r="F21" s="1" t="s">
        <v>531</v>
      </c>
    </row>
    <row r="22" spans="2:12" x14ac:dyDescent="0.15">
      <c r="D22" s="195">
        <f>D19/2</f>
        <v>13.075828392429983</v>
      </c>
      <c r="E22" s="195">
        <f>E19/2</f>
        <v>8.8880973424299832</v>
      </c>
      <c r="F22" s="1" t="s">
        <v>16</v>
      </c>
    </row>
    <row r="23" spans="2:12" x14ac:dyDescent="0.15">
      <c r="D23" s="9"/>
      <c r="E23" s="9"/>
    </row>
    <row r="25" spans="2:12" x14ac:dyDescent="0.15">
      <c r="D25" s="1" t="s">
        <v>114</v>
      </c>
      <c r="E25" s="1" t="s">
        <v>108</v>
      </c>
      <c r="F25" s="1" t="s">
        <v>111</v>
      </c>
    </row>
    <row r="26" spans="2:12" x14ac:dyDescent="0.15">
      <c r="D26" s="12">
        <v>2</v>
      </c>
      <c r="E26" s="12">
        <v>3</v>
      </c>
      <c r="F26" s="12">
        <v>4</v>
      </c>
    </row>
    <row r="27" spans="2:12" x14ac:dyDescent="0.15">
      <c r="D27" s="1" t="s">
        <v>51</v>
      </c>
      <c r="E27" s="1" t="s">
        <v>109</v>
      </c>
      <c r="F27" s="1" t="s">
        <v>109</v>
      </c>
      <c r="J27" s="1" t="s">
        <v>106</v>
      </c>
      <c r="L27" s="1" t="s">
        <v>117</v>
      </c>
    </row>
    <row r="28" spans="2:12" x14ac:dyDescent="0.15">
      <c r="C28" s="1" t="s">
        <v>103</v>
      </c>
      <c r="D28" s="10">
        <f>J28*9/5</f>
        <v>1.134E-5</v>
      </c>
      <c r="E28" s="10">
        <v>2.7999999999999999E-6</v>
      </c>
      <c r="F28" s="10">
        <v>2.7999999999999999E-6</v>
      </c>
      <c r="H28" s="6" t="s">
        <v>107</v>
      </c>
      <c r="J28" s="10">
        <v>6.2999999999999998E-6</v>
      </c>
    </row>
    <row r="29" spans="2:12" x14ac:dyDescent="0.15">
      <c r="C29" s="1" t="s">
        <v>104</v>
      </c>
      <c r="D29" s="1">
        <v>35</v>
      </c>
      <c r="E29" s="1">
        <v>35</v>
      </c>
      <c r="F29" s="1">
        <v>35</v>
      </c>
      <c r="H29" s="1" t="s">
        <v>40</v>
      </c>
      <c r="L29" s="1" t="s">
        <v>118</v>
      </c>
    </row>
    <row r="30" spans="2:12" x14ac:dyDescent="0.15">
      <c r="C30" s="1" t="s">
        <v>115</v>
      </c>
      <c r="D30" s="1" t="s">
        <v>116</v>
      </c>
      <c r="E30" s="1">
        <v>-19835</v>
      </c>
      <c r="F30" s="1">
        <v>-8344.5</v>
      </c>
    </row>
    <row r="31" spans="2:12" x14ac:dyDescent="0.15">
      <c r="C31" s="1" t="s">
        <v>105</v>
      </c>
      <c r="D31" s="1">
        <v>7500</v>
      </c>
      <c r="E31" s="1">
        <f>-E30/2</f>
        <v>9917.5</v>
      </c>
      <c r="F31" s="1">
        <f>-F30/2</f>
        <v>4172.25</v>
      </c>
      <c r="H31" s="1" t="s">
        <v>29</v>
      </c>
    </row>
    <row r="32" spans="2:12" x14ac:dyDescent="0.15">
      <c r="C32" s="1" t="s">
        <v>110</v>
      </c>
      <c r="D32" s="9">
        <f>D28*D29*D31</f>
        <v>2.97675</v>
      </c>
      <c r="E32" s="9">
        <f>E28*E29*E31</f>
        <v>0.97191499999999997</v>
      </c>
      <c r="F32" s="9">
        <f>F28*F29*F31</f>
        <v>0.40888049999999998</v>
      </c>
      <c r="H32" s="1" t="s">
        <v>43</v>
      </c>
    </row>
    <row r="34" spans="3:16" x14ac:dyDescent="0.15">
      <c r="C34" s="12" t="s">
        <v>134</v>
      </c>
      <c r="E34" s="12">
        <v>3</v>
      </c>
      <c r="F34" s="12">
        <v>4</v>
      </c>
      <c r="I34" s="12"/>
      <c r="J34" s="12" t="s">
        <v>624</v>
      </c>
      <c r="K34" s="12"/>
      <c r="L34" s="12"/>
      <c r="M34" s="12"/>
      <c r="N34" s="12"/>
      <c r="O34" s="12"/>
      <c r="P34" s="12"/>
    </row>
    <row r="35" spans="3:16" x14ac:dyDescent="0.15">
      <c r="C35" s="1" t="s">
        <v>135</v>
      </c>
      <c r="E35" s="10">
        <v>2.43E-4</v>
      </c>
      <c r="F35" s="10">
        <v>2.9E-4</v>
      </c>
      <c r="G35" s="1" t="s">
        <v>137</v>
      </c>
      <c r="I35" s="12" t="s">
        <v>620</v>
      </c>
      <c r="J35" s="12"/>
      <c r="K35" s="12"/>
      <c r="L35" s="12" t="s">
        <v>621</v>
      </c>
      <c r="M35" s="12"/>
      <c r="N35" s="12"/>
      <c r="O35" s="12"/>
      <c r="P35" s="12"/>
    </row>
    <row r="36" spans="3:16" x14ac:dyDescent="0.15">
      <c r="C36" s="1" t="s">
        <v>136</v>
      </c>
      <c r="E36" s="10">
        <f>E35*3.5</f>
        <v>8.5050000000000002E-4</v>
      </c>
      <c r="F36" s="10">
        <f>F35*3.5</f>
        <v>1.0150000000000001E-3</v>
      </c>
      <c r="G36" s="1" t="s">
        <v>138</v>
      </c>
      <c r="I36" s="241">
        <f>(F36+E36)*1000</f>
        <v>1.8654999999999999</v>
      </c>
      <c r="J36" s="12" t="s">
        <v>619</v>
      </c>
      <c r="K36" s="12" t="s">
        <v>616</v>
      </c>
      <c r="L36" s="12" t="s">
        <v>622</v>
      </c>
      <c r="M36" s="242" t="s">
        <v>623</v>
      </c>
      <c r="N36" s="12"/>
      <c r="O36" s="12"/>
      <c r="P36" s="12"/>
    </row>
    <row r="37" spans="3:16" x14ac:dyDescent="0.15">
      <c r="C37" s="1" t="s">
        <v>104</v>
      </c>
      <c r="E37" s="1">
        <f>E29</f>
        <v>35</v>
      </c>
      <c r="F37" s="1">
        <f>F29</f>
        <v>35</v>
      </c>
      <c r="G37" s="1" t="s">
        <v>40</v>
      </c>
    </row>
    <row r="38" spans="3:16" x14ac:dyDescent="0.15">
      <c r="C38" s="1" t="s">
        <v>139</v>
      </c>
      <c r="D38" s="10"/>
      <c r="E38" s="10">
        <f>E36*E37</f>
        <v>2.9767500000000002E-2</v>
      </c>
      <c r="F38" s="10">
        <f>F36*F37</f>
        <v>3.5525000000000001E-2</v>
      </c>
      <c r="H38" s="6"/>
    </row>
    <row r="39" spans="3:16" x14ac:dyDescent="0.15">
      <c r="C39" s="1" t="s">
        <v>140</v>
      </c>
      <c r="E39" s="9">
        <f>'3a2'!$D$12</f>
        <v>45.034136695588465</v>
      </c>
      <c r="F39" s="9">
        <f>'3a2'!$E$12</f>
        <v>22.139895635402119</v>
      </c>
    </row>
    <row r="40" spans="3:16" x14ac:dyDescent="0.15">
      <c r="C40" s="1" t="s">
        <v>141</v>
      </c>
      <c r="E40" s="9">
        <f>E39*E38</f>
        <v>1.3405536640859297</v>
      </c>
      <c r="F40" s="9">
        <f>F39*F38</f>
        <v>0.78651979244766035</v>
      </c>
      <c r="G40" s="1" t="s">
        <v>137</v>
      </c>
    </row>
    <row r="41" spans="3:16" x14ac:dyDescent="0.15">
      <c r="C41" s="1" t="s">
        <v>110</v>
      </c>
      <c r="D41" s="9"/>
      <c r="E41" s="9">
        <f>E40/2</f>
        <v>0.67027683204296484</v>
      </c>
      <c r="F41" s="9">
        <f>F40/2</f>
        <v>0.39325989622383017</v>
      </c>
    </row>
    <row r="43" spans="3:16" x14ac:dyDescent="0.15">
      <c r="C43" s="12" t="s">
        <v>144</v>
      </c>
      <c r="E43" s="12">
        <v>5</v>
      </c>
      <c r="F43" s="12">
        <v>6</v>
      </c>
    </row>
    <row r="44" spans="3:16" x14ac:dyDescent="0.15">
      <c r="C44" s="1" t="s">
        <v>145</v>
      </c>
      <c r="E44" s="14">
        <v>4.2000000000000002E-4</v>
      </c>
      <c r="F44" s="14">
        <v>1.2E-4</v>
      </c>
      <c r="G44" s="1" t="s">
        <v>148</v>
      </c>
    </row>
    <row r="45" spans="3:16" x14ac:dyDescent="0.15">
      <c r="C45" s="1" t="s">
        <v>146</v>
      </c>
      <c r="E45" s="14">
        <v>2.5600000000000001E-2</v>
      </c>
      <c r="F45" s="14">
        <v>9.9000000000000008E-3</v>
      </c>
      <c r="G45" s="1" t="s">
        <v>148</v>
      </c>
    </row>
    <row r="46" spans="3:16" x14ac:dyDescent="0.15">
      <c r="C46" s="1" t="s">
        <v>147</v>
      </c>
      <c r="E46" s="13">
        <f>(E44+E45)/10</f>
        <v>2.6020000000000001E-3</v>
      </c>
      <c r="F46" s="13">
        <f>(F44+F45)/10</f>
        <v>1.0020000000000001E-3</v>
      </c>
    </row>
    <row r="47" spans="3:16" x14ac:dyDescent="0.15">
      <c r="C47" s="1" t="s">
        <v>140</v>
      </c>
      <c r="E47" s="9">
        <f>'3a2'!$D$12</f>
        <v>45.034136695588465</v>
      </c>
      <c r="F47" s="9">
        <f>'3a2'!$E$12</f>
        <v>22.139895635402119</v>
      </c>
    </row>
    <row r="48" spans="3:16" x14ac:dyDescent="0.15">
      <c r="C48" s="1" t="s">
        <v>141</v>
      </c>
      <c r="E48" s="9">
        <f>E47*E46</f>
        <v>0.11717882368192119</v>
      </c>
      <c r="F48" s="9">
        <f>F47*F46</f>
        <v>2.2184175426672927E-2</v>
      </c>
      <c r="G48" s="1" t="s">
        <v>137</v>
      </c>
    </row>
    <row r="49" spans="3:6" x14ac:dyDescent="0.15">
      <c r="C49" s="1" t="s">
        <v>110</v>
      </c>
      <c r="D49" s="9"/>
      <c r="E49" s="9">
        <f>E48/2</f>
        <v>5.8589411840960594E-2</v>
      </c>
      <c r="F49" s="9">
        <f>F48/2</f>
        <v>1.1092087713336463E-2</v>
      </c>
    </row>
    <row r="51" spans="3:6" x14ac:dyDescent="0.15">
      <c r="C51" s="12" t="s">
        <v>199</v>
      </c>
    </row>
    <row r="52" spans="3:6" x14ac:dyDescent="0.15">
      <c r="C52" s="1" t="s">
        <v>201</v>
      </c>
      <c r="D52" s="1">
        <v>11.6</v>
      </c>
    </row>
    <row r="53" spans="3:6" x14ac:dyDescent="0.15">
      <c r="C53" s="1" t="s">
        <v>202</v>
      </c>
      <c r="D53" s="1">
        <v>9.8000000000000007</v>
      </c>
    </row>
    <row r="54" spans="3:6" x14ac:dyDescent="0.15">
      <c r="C54" s="1" t="s">
        <v>203</v>
      </c>
      <c r="D54" s="1">
        <f>D53/(2*PI()*D52)^2</f>
        <v>1.8448045475901278E-3</v>
      </c>
    </row>
    <row r="55" spans="3:6" x14ac:dyDescent="0.15">
      <c r="C55" s="1" t="s">
        <v>204</v>
      </c>
      <c r="D55" s="1">
        <f>D54*1000</f>
        <v>1.8448045475901278</v>
      </c>
    </row>
  </sheetData>
  <mergeCells count="1">
    <mergeCell ref="B4:E4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2"/>
  <sheetViews>
    <sheetView workbookViewId="0"/>
  </sheetViews>
  <sheetFormatPr baseColWidth="10" defaultColWidth="8.83203125" defaultRowHeight="13" x14ac:dyDescent="0.15"/>
  <cols>
    <col min="3" max="3" width="18.33203125" customWidth="1"/>
  </cols>
  <sheetData>
    <row r="2" spans="2:6" x14ac:dyDescent="0.15">
      <c r="B2" t="s">
        <v>119</v>
      </c>
    </row>
    <row r="4" spans="2:6" x14ac:dyDescent="0.15">
      <c r="D4" t="s">
        <v>130</v>
      </c>
      <c r="E4" t="s">
        <v>131</v>
      </c>
    </row>
    <row r="5" spans="2:6" x14ac:dyDescent="0.15">
      <c r="B5" t="s">
        <v>120</v>
      </c>
      <c r="C5" t="s">
        <v>121</v>
      </c>
      <c r="D5" s="5">
        <v>1E-3</v>
      </c>
      <c r="E5" s="5">
        <v>1E-3</v>
      </c>
      <c r="F5" t="s">
        <v>29</v>
      </c>
    </row>
    <row r="6" spans="2:6" x14ac:dyDescent="0.15">
      <c r="B6" t="s">
        <v>122</v>
      </c>
      <c r="C6" t="s">
        <v>123</v>
      </c>
      <c r="D6">
        <v>1</v>
      </c>
      <c r="E6">
        <v>1</v>
      </c>
      <c r="F6" t="s">
        <v>116</v>
      </c>
    </row>
    <row r="7" spans="2:6" x14ac:dyDescent="0.15">
      <c r="B7" t="s">
        <v>120</v>
      </c>
      <c r="C7" t="s">
        <v>132</v>
      </c>
      <c r="D7">
        <v>4180</v>
      </c>
      <c r="E7">
        <v>2508</v>
      </c>
      <c r="F7" t="s">
        <v>29</v>
      </c>
    </row>
    <row r="8" spans="2:6" x14ac:dyDescent="0.15">
      <c r="B8" t="s">
        <v>128</v>
      </c>
      <c r="C8" t="s">
        <v>129</v>
      </c>
      <c r="D8">
        <f>'3'!E30</f>
        <v>-19835</v>
      </c>
      <c r="E8">
        <f>'3'!F30</f>
        <v>-8344.5</v>
      </c>
      <c r="F8" t="s">
        <v>29</v>
      </c>
    </row>
    <row r="9" spans="2:6" x14ac:dyDescent="0.15">
      <c r="B9" t="s">
        <v>126</v>
      </c>
      <c r="C9" s="7" t="s">
        <v>127</v>
      </c>
      <c r="D9">
        <f>D8/(2*D7)</f>
        <v>-2.3726076555023923</v>
      </c>
      <c r="E9">
        <f>E8/(2*E7)</f>
        <v>-1.6635765550239234</v>
      </c>
      <c r="F9" t="s">
        <v>116</v>
      </c>
    </row>
    <row r="10" spans="2:6" x14ac:dyDescent="0.15">
      <c r="B10" t="s">
        <v>124</v>
      </c>
      <c r="C10" t="s">
        <v>125</v>
      </c>
      <c r="D10" s="5">
        <f>D5*8*D9^2/D6</f>
        <v>4.5034136695588464E-2</v>
      </c>
      <c r="E10" s="5">
        <f>E5*8*E9^2/E6</f>
        <v>2.213989563540212E-2</v>
      </c>
      <c r="F10" t="s">
        <v>29</v>
      </c>
    </row>
    <row r="12" spans="2:6" x14ac:dyDescent="0.15">
      <c r="B12" t="s">
        <v>133</v>
      </c>
      <c r="C12" t="s">
        <v>116</v>
      </c>
      <c r="D12" s="11">
        <f>D10/D5</f>
        <v>45.034136695588465</v>
      </c>
      <c r="E12" s="11">
        <f>E10/E5</f>
        <v>22.139895635402119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4"/>
  <sheetViews>
    <sheetView zoomScale="120" zoomScaleNormal="120" workbookViewId="0">
      <selection activeCell="E7" sqref="E7"/>
    </sheetView>
  </sheetViews>
  <sheetFormatPr baseColWidth="10" defaultColWidth="9.1640625" defaultRowHeight="13" x14ac:dyDescent="0.15"/>
  <cols>
    <col min="1" max="2" width="9.1640625" style="1"/>
    <col min="3" max="3" width="23.5" style="1" customWidth="1"/>
    <col min="4" max="4" width="12.5" style="1" bestFit="1" customWidth="1"/>
    <col min="5" max="16384" width="9.1640625" style="1"/>
  </cols>
  <sheetData>
    <row r="2" spans="2:6" x14ac:dyDescent="0.15">
      <c r="B2" s="1" t="s">
        <v>274</v>
      </c>
    </row>
    <row r="4" spans="2:6" x14ac:dyDescent="0.15">
      <c r="C4" s="1" t="s">
        <v>154</v>
      </c>
    </row>
    <row r="6" spans="2:6" x14ac:dyDescent="0.15">
      <c r="C6" s="1" t="s">
        <v>155</v>
      </c>
      <c r="D6" s="1" t="s">
        <v>529</v>
      </c>
      <c r="E6" s="1" t="s">
        <v>57</v>
      </c>
    </row>
    <row r="7" spans="2:6" ht="13.5" customHeight="1" x14ac:dyDescent="0.15">
      <c r="B7" s="12">
        <v>1</v>
      </c>
      <c r="C7" s="1" t="s">
        <v>153</v>
      </c>
      <c r="D7" s="16">
        <v>6.6000000000000003E-2</v>
      </c>
      <c r="E7" s="1">
        <v>1.14E-2</v>
      </c>
      <c r="F7" s="1" t="s">
        <v>155</v>
      </c>
    </row>
    <row r="8" spans="2:6" x14ac:dyDescent="0.15">
      <c r="B8" s="12">
        <v>2</v>
      </c>
      <c r="C8" s="1" t="s">
        <v>156</v>
      </c>
      <c r="D8" s="16">
        <v>3.0000000000000001E-3</v>
      </c>
      <c r="E8" s="16">
        <v>3.0000000000000001E-3</v>
      </c>
    </row>
    <row r="9" spans="2:6" x14ac:dyDescent="0.15">
      <c r="B9" s="12">
        <v>3</v>
      </c>
      <c r="C9" s="1" t="s">
        <v>150</v>
      </c>
      <c r="D9" s="16">
        <f>D7</f>
        <v>6.6000000000000003E-2</v>
      </c>
      <c r="E9" s="16">
        <f>E7</f>
        <v>1.14E-2</v>
      </c>
    </row>
    <row r="10" spans="2:6" x14ac:dyDescent="0.15">
      <c r="B10" s="12">
        <v>4</v>
      </c>
      <c r="C10" s="1" t="s">
        <v>149</v>
      </c>
      <c r="D10" s="1">
        <v>0.5</v>
      </c>
      <c r="E10" s="9">
        <f>D10*28/68</f>
        <v>0.20588235294117646</v>
      </c>
    </row>
    <row r="11" spans="2:6" x14ac:dyDescent="0.15">
      <c r="C11" s="1" t="s">
        <v>89</v>
      </c>
      <c r="D11" s="31">
        <f>SUM(D7:D10)</f>
        <v>0.63500000000000001</v>
      </c>
      <c r="E11" s="31">
        <f>SUM(E7:E10)</f>
        <v>0.23168235294117645</v>
      </c>
      <c r="F11" s="1" t="s">
        <v>531</v>
      </c>
    </row>
    <row r="12" spans="2:6" x14ac:dyDescent="0.15">
      <c r="B12" s="12"/>
      <c r="D12" s="31">
        <f>D11*1.5</f>
        <v>0.95250000000000001</v>
      </c>
      <c r="E12" s="31">
        <f>E11*1.5</f>
        <v>0.34752352941176468</v>
      </c>
      <c r="F12" s="1" t="s">
        <v>532</v>
      </c>
    </row>
    <row r="14" spans="2:6" x14ac:dyDescent="0.15">
      <c r="C14" s="1" t="s">
        <v>535</v>
      </c>
      <c r="D14" s="9">
        <f>D11/2</f>
        <v>0.3175</v>
      </c>
      <c r="E14" s="9">
        <f>E11/2</f>
        <v>0.11584117647058823</v>
      </c>
    </row>
    <row r="15" spans="2:6" x14ac:dyDescent="0.15">
      <c r="D15" s="9">
        <f>D12/2</f>
        <v>0.47625000000000001</v>
      </c>
      <c r="E15" s="9">
        <f>E12/2</f>
        <v>0.17376176470588234</v>
      </c>
    </row>
    <row r="20" spans="2:6" x14ac:dyDescent="0.15">
      <c r="B20" s="1" t="s">
        <v>157</v>
      </c>
      <c r="C20" s="1" t="s">
        <v>167</v>
      </c>
      <c r="D20" s="1">
        <v>7500</v>
      </c>
      <c r="E20" s="1" t="s">
        <v>29</v>
      </c>
    </row>
    <row r="21" spans="2:6" x14ac:dyDescent="0.15">
      <c r="B21" s="1" t="s">
        <v>158</v>
      </c>
      <c r="C21" s="1" t="s">
        <v>168</v>
      </c>
      <c r="D21" s="1">
        <v>7500</v>
      </c>
      <c r="E21" s="1" t="s">
        <v>29</v>
      </c>
    </row>
    <row r="22" spans="2:6" x14ac:dyDescent="0.15">
      <c r="B22" s="1" t="s">
        <v>166</v>
      </c>
      <c r="C22" s="1" t="s">
        <v>196</v>
      </c>
      <c r="D22" s="1">
        <v>8000</v>
      </c>
      <c r="E22" s="1" t="s">
        <v>29</v>
      </c>
    </row>
    <row r="23" spans="2:6" x14ac:dyDescent="0.15">
      <c r="B23" s="1" t="s">
        <v>159</v>
      </c>
      <c r="C23" s="1" t="s">
        <v>160</v>
      </c>
      <c r="D23" s="1">
        <v>5</v>
      </c>
    </row>
    <row r="24" spans="2:6" x14ac:dyDescent="0.15">
      <c r="B24" s="1" t="s">
        <v>103</v>
      </c>
      <c r="C24" s="1" t="s">
        <v>161</v>
      </c>
      <c r="D24" s="10">
        <f>'3'!$D$28</f>
        <v>1.134E-5</v>
      </c>
      <c r="E24" s="1" t="s">
        <v>169</v>
      </c>
    </row>
    <row r="25" spans="2:6" x14ac:dyDescent="0.15">
      <c r="B25" s="1" t="s">
        <v>162</v>
      </c>
      <c r="C25" s="1" t="s">
        <v>164</v>
      </c>
      <c r="D25" s="10">
        <f>D20*D23*D24</f>
        <v>0.42525000000000002</v>
      </c>
      <c r="E25" s="1" t="s">
        <v>29</v>
      </c>
    </row>
    <row r="26" spans="2:6" x14ac:dyDescent="0.15">
      <c r="B26" s="1" t="s">
        <v>163</v>
      </c>
      <c r="C26" s="1" t="s">
        <v>165</v>
      </c>
      <c r="D26" s="1">
        <v>0</v>
      </c>
    </row>
    <row r="27" spans="2:6" x14ac:dyDescent="0.15">
      <c r="B27" s="1" t="s">
        <v>197</v>
      </c>
      <c r="C27" s="1" t="s">
        <v>198</v>
      </c>
      <c r="D27" s="10">
        <f>D25/D22*180/PI()</f>
        <v>3.0456287797422823E-3</v>
      </c>
    </row>
    <row r="30" spans="2:6" x14ac:dyDescent="0.15">
      <c r="C30" s="1" t="s">
        <v>275</v>
      </c>
    </row>
    <row r="31" spans="2:6" x14ac:dyDescent="0.15">
      <c r="B31" s="1" t="s">
        <v>277</v>
      </c>
      <c r="C31" s="1" t="s">
        <v>276</v>
      </c>
      <c r="D31" s="1">
        <f>'2a4a6a'!H8</f>
        <v>1400</v>
      </c>
      <c r="E31" s="1">
        <f>'2a4a6a'!H7</f>
        <v>3450</v>
      </c>
      <c r="F31" s="1" t="s">
        <v>29</v>
      </c>
    </row>
    <row r="32" spans="2:6" x14ac:dyDescent="0.15">
      <c r="B32" s="1" t="s">
        <v>278</v>
      </c>
      <c r="C32" s="1" t="s">
        <v>279</v>
      </c>
      <c r="D32" s="9">
        <f>'3'!D17</f>
        <v>17.434437856573311</v>
      </c>
      <c r="E32" s="9">
        <f>'3'!E17</f>
        <v>11.85079645657331</v>
      </c>
      <c r="F32" s="1" t="s">
        <v>29</v>
      </c>
    </row>
    <row r="33" spans="3:6" x14ac:dyDescent="0.15">
      <c r="C33" s="1" t="s">
        <v>280</v>
      </c>
      <c r="D33" s="240">
        <f>2*ASIN(D32/D31)</f>
        <v>2.4906983591876316E-2</v>
      </c>
      <c r="E33" s="240">
        <f>2*ASIN(E32/E31)</f>
        <v>6.8700404416900916E-3</v>
      </c>
      <c r="F33" s="1" t="s">
        <v>173</v>
      </c>
    </row>
    <row r="34" spans="3:6" x14ac:dyDescent="0.15">
      <c r="C34" s="1" t="s">
        <v>280</v>
      </c>
      <c r="D34" s="31">
        <f>D33*180/PI()</f>
        <v>1.4270650402161047</v>
      </c>
      <c r="E34" s="31">
        <f>E33*180/PI()</f>
        <v>0.39362432239303419</v>
      </c>
      <c r="F34" s="1" t="s">
        <v>155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P39"/>
  <sheetViews>
    <sheetView workbookViewId="0"/>
  </sheetViews>
  <sheetFormatPr baseColWidth="10" defaultColWidth="8.83203125" defaultRowHeight="13" x14ac:dyDescent="0.15"/>
  <cols>
    <col min="1" max="1" width="8.83203125" style="39" customWidth="1"/>
    <col min="2" max="2" width="19" style="39" customWidth="1"/>
    <col min="3" max="11" width="7.6640625" style="39" customWidth="1"/>
    <col min="12" max="14" width="10.6640625" style="39" customWidth="1"/>
    <col min="15" max="15" width="14.5" style="39" customWidth="1"/>
    <col min="16" max="16" width="14.5" style="39" hidden="1" customWidth="1"/>
    <col min="17" max="17" width="11.5" style="39" hidden="1" customWidth="1"/>
    <col min="18" max="18" width="14.5" style="39" hidden="1" customWidth="1"/>
    <col min="19" max="19" width="2.6640625" style="94" customWidth="1"/>
    <col min="20" max="20" width="2.6640625" style="95" customWidth="1"/>
    <col min="21" max="21" width="2.6640625" style="94" customWidth="1"/>
    <col min="22" max="22" width="10.5" style="42" customWidth="1"/>
    <col min="23" max="23" width="13.5" style="39" customWidth="1"/>
    <col min="24" max="24" width="2.6640625" style="96" customWidth="1"/>
    <col min="25" max="25" width="2.6640625" style="39" customWidth="1"/>
    <col min="26" max="32" width="8.83203125" style="39" customWidth="1"/>
    <col min="33" max="33" width="2.6640625" style="39" customWidth="1"/>
    <col min="34" max="34" width="2.6640625" style="96" customWidth="1"/>
    <col min="35" max="35" width="2.6640625" style="39" customWidth="1"/>
    <col min="36" max="36" width="16.33203125" style="39" customWidth="1"/>
    <col min="37" max="16384" width="8.83203125" style="39"/>
  </cols>
  <sheetData>
    <row r="1" spans="2:42" x14ac:dyDescent="0.15">
      <c r="B1" s="292" t="s">
        <v>515</v>
      </c>
      <c r="C1" s="292"/>
      <c r="D1" s="292"/>
      <c r="E1" s="292"/>
      <c r="F1" s="292"/>
    </row>
    <row r="2" spans="2:42" x14ac:dyDescent="0.15">
      <c r="B2" s="291" t="s">
        <v>514</v>
      </c>
      <c r="C2" s="291"/>
      <c r="D2" s="291"/>
      <c r="E2" s="291"/>
      <c r="F2" s="291"/>
    </row>
    <row r="3" spans="2:42" x14ac:dyDescent="0.15">
      <c r="E3" s="176" t="s">
        <v>512</v>
      </c>
      <c r="F3" s="176"/>
      <c r="G3" s="177"/>
      <c r="H3" s="177"/>
      <c r="I3" s="177"/>
      <c r="J3" s="93"/>
      <c r="K3" s="93"/>
    </row>
    <row r="4" spans="2:42" x14ac:dyDescent="0.15">
      <c r="G4" s="93"/>
      <c r="H4" s="93"/>
      <c r="I4" s="93"/>
      <c r="J4" s="93"/>
      <c r="K4" s="93"/>
    </row>
    <row r="5" spans="2:42" x14ac:dyDescent="0.15">
      <c r="B5" s="38" t="s">
        <v>427</v>
      </c>
      <c r="C5" s="38"/>
      <c r="D5" s="38"/>
      <c r="E5" s="38"/>
      <c r="F5" s="38"/>
      <c r="G5" s="38"/>
      <c r="H5" s="38"/>
      <c r="I5" s="38"/>
      <c r="J5" s="38"/>
      <c r="K5" s="38"/>
      <c r="N5" s="97">
        <v>0</v>
      </c>
    </row>
    <row r="6" spans="2:42" ht="14" thickBot="1" x14ac:dyDescent="0.2"/>
    <row r="7" spans="2:42" ht="14" thickBot="1" x14ac:dyDescent="0.2">
      <c r="B7" s="38" t="s">
        <v>260</v>
      </c>
      <c r="C7" s="38"/>
      <c r="D7" s="38"/>
      <c r="E7" s="38"/>
      <c r="F7" s="38"/>
      <c r="G7" s="38"/>
      <c r="H7" s="38"/>
      <c r="I7" s="38"/>
      <c r="J7" s="38"/>
      <c r="K7" s="38"/>
      <c r="O7" s="98" t="s">
        <v>428</v>
      </c>
      <c r="P7" s="99"/>
      <c r="Q7" s="99"/>
      <c r="R7" s="99"/>
      <c r="S7" s="100"/>
      <c r="T7" s="101"/>
      <c r="V7" s="102" t="s">
        <v>409</v>
      </c>
      <c r="W7" s="103" t="s">
        <v>261</v>
      </c>
      <c r="Z7" s="98" t="str">
        <f>$O$7</f>
        <v>LINEAR</v>
      </c>
      <c r="AJ7" s="103" t="str">
        <f>$W$7</f>
        <v>QUADRATURE</v>
      </c>
    </row>
    <row r="8" spans="2:42" x14ac:dyDescent="0.15">
      <c r="B8" s="104" t="s">
        <v>429</v>
      </c>
      <c r="C8" s="104"/>
      <c r="D8" s="104"/>
      <c r="E8" s="104"/>
      <c r="F8" s="93" t="s">
        <v>430</v>
      </c>
      <c r="G8" s="104" t="s">
        <v>431</v>
      </c>
      <c r="H8" s="104"/>
      <c r="I8" s="104"/>
      <c r="J8" s="104"/>
      <c r="K8" s="104"/>
      <c r="L8" s="105" t="s">
        <v>432</v>
      </c>
      <c r="M8" s="105" t="s">
        <v>433</v>
      </c>
      <c r="N8" s="105" t="s">
        <v>434</v>
      </c>
      <c r="O8" s="106" t="s">
        <v>264</v>
      </c>
      <c r="P8" s="107"/>
      <c r="Q8" s="107"/>
      <c r="R8" s="107"/>
      <c r="S8" s="108"/>
      <c r="T8" s="109"/>
      <c r="U8" s="108"/>
      <c r="V8" s="110" t="s">
        <v>435</v>
      </c>
      <c r="W8" s="106" t="s">
        <v>264</v>
      </c>
    </row>
    <row r="9" spans="2:42" x14ac:dyDescent="0.15">
      <c r="B9" s="175" t="s">
        <v>29</v>
      </c>
      <c r="C9" s="171">
        <v>-2.4E-2</v>
      </c>
      <c r="D9" s="171">
        <v>-1.7999999999999999E-2</v>
      </c>
      <c r="E9" s="171">
        <v>-1.2E-2</v>
      </c>
      <c r="F9" s="171">
        <v>-6.0000000000000001E-3</v>
      </c>
      <c r="G9" s="171">
        <v>0</v>
      </c>
      <c r="H9" s="171">
        <v>6.0000000000000001E-3</v>
      </c>
      <c r="I9" s="171">
        <v>1.2E-2</v>
      </c>
      <c r="J9" s="171">
        <v>1.7999999999999999E-2</v>
      </c>
      <c r="K9" s="171">
        <v>2.4E-2</v>
      </c>
      <c r="L9" s="106" t="s">
        <v>29</v>
      </c>
      <c r="M9" s="106" t="s">
        <v>436</v>
      </c>
      <c r="N9" s="106" t="s">
        <v>437</v>
      </c>
      <c r="O9" s="106" t="s">
        <v>438</v>
      </c>
      <c r="P9" s="107"/>
      <c r="R9" s="107"/>
      <c r="S9" s="108"/>
      <c r="T9" s="109"/>
      <c r="U9" s="108"/>
      <c r="V9" s="111" t="s">
        <v>436</v>
      </c>
      <c r="W9" s="106" t="s">
        <v>438</v>
      </c>
      <c r="Z9" s="112">
        <f t="shared" ref="Z9:AF9" si="0">D9</f>
        <v>-1.7999999999999999E-2</v>
      </c>
      <c r="AA9" s="112">
        <f t="shared" si="0"/>
        <v>-1.2E-2</v>
      </c>
      <c r="AB9" s="112">
        <f t="shared" si="0"/>
        <v>-6.0000000000000001E-3</v>
      </c>
      <c r="AC9" s="112">
        <f t="shared" si="0"/>
        <v>0</v>
      </c>
      <c r="AD9" s="112">
        <f t="shared" si="0"/>
        <v>6.0000000000000001E-3</v>
      </c>
      <c r="AE9" s="112">
        <f t="shared" si="0"/>
        <v>1.2E-2</v>
      </c>
      <c r="AF9" s="112">
        <f t="shared" si="0"/>
        <v>1.7999999999999999E-2</v>
      </c>
      <c r="AG9" s="38"/>
      <c r="AH9" s="113"/>
      <c r="AI9" s="38"/>
      <c r="AJ9" s="38">
        <f t="shared" ref="AJ9:AP9" si="1">D9</f>
        <v>-1.7999999999999999E-2</v>
      </c>
      <c r="AK9" s="38">
        <f t="shared" si="1"/>
        <v>-1.2E-2</v>
      </c>
      <c r="AL9" s="38">
        <f t="shared" si="1"/>
        <v>-6.0000000000000001E-3</v>
      </c>
      <c r="AM9" s="38">
        <f t="shared" si="1"/>
        <v>0</v>
      </c>
      <c r="AN9" s="38">
        <f t="shared" si="1"/>
        <v>6.0000000000000001E-3</v>
      </c>
      <c r="AO9" s="38">
        <f t="shared" si="1"/>
        <v>1.2E-2</v>
      </c>
      <c r="AP9" s="38">
        <f t="shared" si="1"/>
        <v>1.7999999999999999E-2</v>
      </c>
    </row>
    <row r="10" spans="2:42" x14ac:dyDescent="0.15">
      <c r="B10" s="104" t="s">
        <v>86</v>
      </c>
      <c r="C10" s="171">
        <v>0.34375</v>
      </c>
      <c r="D10" s="171">
        <v>0.26523999999999998</v>
      </c>
      <c r="E10" s="171">
        <v>0.19117000000000001</v>
      </c>
      <c r="F10" s="171">
        <v>0.12789</v>
      </c>
      <c r="G10" s="171">
        <v>9.7339999999999996E-2</v>
      </c>
      <c r="H10" s="171">
        <v>0.11366999999999999</v>
      </c>
      <c r="I10" s="171">
        <v>0.17172000000000001</v>
      </c>
      <c r="J10" s="171">
        <v>0.24621000000000001</v>
      </c>
      <c r="K10" s="171">
        <v>0.32469999999999999</v>
      </c>
      <c r="L10" s="114">
        <f>$I$9</f>
        <v>1.2E-2</v>
      </c>
      <c r="M10" s="115">
        <f>MAX(E10,I10)</f>
        <v>0.19117000000000001</v>
      </c>
      <c r="N10" s="116">
        <f>2*(M10-$N$5)/(M10+$N$5)</f>
        <v>2</v>
      </c>
      <c r="O10" s="114">
        <f>(M10-$G$10)/L10</f>
        <v>7.8191666666666677</v>
      </c>
      <c r="P10" s="117"/>
      <c r="Q10" s="118">
        <f>M10-$N$5</f>
        <v>0.19117000000000001</v>
      </c>
      <c r="R10" s="117">
        <f>Q10/L10</f>
        <v>15.930833333333334</v>
      </c>
      <c r="S10" s="119"/>
      <c r="T10" s="120"/>
      <c r="U10" s="119"/>
      <c r="V10" s="42">
        <f>SQRT(M10^2-$G$10^2)</f>
        <v>0.16453234727554336</v>
      </c>
      <c r="W10" s="40">
        <f>V10/L10</f>
        <v>13.711028939628614</v>
      </c>
      <c r="Z10" s="121">
        <f t="shared" ref="Z10:AF10" si="2">ABS($O10*Z$9)+$G$10</f>
        <v>0.23808499999999999</v>
      </c>
      <c r="AA10" s="121">
        <f t="shared" si="2"/>
        <v>0.19117000000000001</v>
      </c>
      <c r="AB10" s="121">
        <f t="shared" si="2"/>
        <v>0.14425499999999999</v>
      </c>
      <c r="AC10" s="121">
        <f t="shared" si="2"/>
        <v>9.7339999999999996E-2</v>
      </c>
      <c r="AD10" s="121">
        <f t="shared" si="2"/>
        <v>0.14425499999999999</v>
      </c>
      <c r="AE10" s="121">
        <f t="shared" si="2"/>
        <v>0.19117000000000001</v>
      </c>
      <c r="AF10" s="121">
        <f t="shared" si="2"/>
        <v>0.23808499999999999</v>
      </c>
      <c r="AJ10" s="39">
        <f t="shared" ref="AJ10:AP10" si="3">SQRT($G$10^2+($W10*AJ$9)^2)</f>
        <v>0.26530093389394616</v>
      </c>
      <c r="AK10" s="39">
        <f t="shared" si="3"/>
        <v>0.19117000000000001</v>
      </c>
      <c r="AL10" s="39">
        <f t="shared" si="3"/>
        <v>0.12744723977003189</v>
      </c>
      <c r="AM10" s="39">
        <f t="shared" si="3"/>
        <v>9.7339999999999996E-2</v>
      </c>
      <c r="AN10" s="39">
        <f t="shared" si="3"/>
        <v>0.12744723977003189</v>
      </c>
      <c r="AO10" s="39">
        <f t="shared" si="3"/>
        <v>0.19117000000000001</v>
      </c>
      <c r="AP10" s="39">
        <f t="shared" si="3"/>
        <v>0.26530093389394616</v>
      </c>
    </row>
    <row r="11" spans="2:42" x14ac:dyDescent="0.15">
      <c r="B11" s="175" t="s">
        <v>29</v>
      </c>
      <c r="C11" s="181">
        <v>-2.1999999999999999E-2</v>
      </c>
      <c r="D11" s="181">
        <v>-1.6500000000000001E-2</v>
      </c>
      <c r="E11" s="181">
        <v>-1.0999999999999999E-2</v>
      </c>
      <c r="F11" s="181">
        <v>-5.4999999999999997E-3</v>
      </c>
      <c r="G11" s="181">
        <v>0</v>
      </c>
      <c r="H11" s="181">
        <v>5.4999999999999997E-3</v>
      </c>
      <c r="I11" s="181">
        <v>1.0999999999999999E-2</v>
      </c>
      <c r="J11" s="181">
        <v>1.6500000000000001E-2</v>
      </c>
      <c r="K11" s="181">
        <v>2.1999999999999999E-2</v>
      </c>
      <c r="L11" s="106" t="s">
        <v>29</v>
      </c>
      <c r="M11" s="106" t="s">
        <v>436</v>
      </c>
      <c r="N11" s="106" t="s">
        <v>437</v>
      </c>
      <c r="O11" s="106" t="s">
        <v>438</v>
      </c>
      <c r="P11" s="107"/>
      <c r="R11" s="107"/>
      <c r="S11" s="108"/>
      <c r="T11" s="109"/>
      <c r="U11" s="108"/>
      <c r="V11" s="111" t="s">
        <v>436</v>
      </c>
      <c r="W11" s="106" t="s">
        <v>438</v>
      </c>
      <c r="Z11" s="112">
        <f t="shared" ref="Z11:AF11" si="4">D11</f>
        <v>-1.6500000000000001E-2</v>
      </c>
      <c r="AA11" s="112">
        <f t="shared" si="4"/>
        <v>-1.0999999999999999E-2</v>
      </c>
      <c r="AB11" s="112">
        <f t="shared" si="4"/>
        <v>-5.4999999999999997E-3</v>
      </c>
      <c r="AC11" s="112">
        <f t="shared" si="4"/>
        <v>0</v>
      </c>
      <c r="AD11" s="112">
        <f t="shared" si="4"/>
        <v>5.4999999999999997E-3</v>
      </c>
      <c r="AE11" s="112">
        <f t="shared" si="4"/>
        <v>1.0999999999999999E-2</v>
      </c>
      <c r="AF11" s="112">
        <f t="shared" si="4"/>
        <v>1.6500000000000001E-2</v>
      </c>
      <c r="AG11" s="38"/>
      <c r="AH11" s="113"/>
      <c r="AI11" s="38"/>
      <c r="AJ11" s="38">
        <f t="shared" ref="AJ11:AP11" si="5">D11</f>
        <v>-1.6500000000000001E-2</v>
      </c>
      <c r="AK11" s="38">
        <f t="shared" si="5"/>
        <v>-1.0999999999999999E-2</v>
      </c>
      <c r="AL11" s="38">
        <f t="shared" si="5"/>
        <v>-5.4999999999999997E-3</v>
      </c>
      <c r="AM11" s="38">
        <f t="shared" si="5"/>
        <v>0</v>
      </c>
      <c r="AN11" s="38">
        <f t="shared" si="5"/>
        <v>5.4999999999999997E-3</v>
      </c>
      <c r="AO11" s="38">
        <f t="shared" si="5"/>
        <v>1.0999999999999999E-2</v>
      </c>
      <c r="AP11" s="38">
        <f t="shared" si="5"/>
        <v>1.6500000000000001E-2</v>
      </c>
    </row>
    <row r="12" spans="2:42" x14ac:dyDescent="0.15">
      <c r="B12" s="104" t="s">
        <v>83</v>
      </c>
      <c r="C12" s="181">
        <v>0.32838000000000001</v>
      </c>
      <c r="D12" s="181">
        <v>0.25435000000000002</v>
      </c>
      <c r="E12" s="181">
        <v>0.18440999999999999</v>
      </c>
      <c r="F12" s="181">
        <v>0.12542</v>
      </c>
      <c r="G12" s="181">
        <v>9.7339999999999996E-2</v>
      </c>
      <c r="H12" s="181">
        <v>0.11176999999999999</v>
      </c>
      <c r="I12" s="181">
        <v>0.16500999999999999</v>
      </c>
      <c r="J12" s="181">
        <v>0.23469000000000001</v>
      </c>
      <c r="K12" s="181">
        <v>0.30911</v>
      </c>
      <c r="L12" s="114">
        <f>$I$11</f>
        <v>1.0999999999999999E-2</v>
      </c>
      <c r="M12" s="115">
        <f>E12/2+I12/2</f>
        <v>0.17470999999999998</v>
      </c>
      <c r="N12" s="116">
        <f>2*(M12-$N$5)/(M12+$N$5)</f>
        <v>2</v>
      </c>
      <c r="O12" s="114">
        <f>(M12-$G$12)/L12</f>
        <v>7.0336363636363624</v>
      </c>
      <c r="P12" s="117"/>
      <c r="Q12" s="118">
        <f>M12-$N$5</f>
        <v>0.17470999999999998</v>
      </c>
      <c r="R12" s="117">
        <f>Q12/L12</f>
        <v>15.882727272727271</v>
      </c>
      <c r="S12" s="119"/>
      <c r="T12" s="120"/>
      <c r="U12" s="119"/>
      <c r="V12" s="42">
        <f>SQRT(M12^2-$G$12^2)</f>
        <v>0.14508104114597467</v>
      </c>
      <c r="W12" s="40">
        <f>V12/L12</f>
        <v>13.18918555872497</v>
      </c>
      <c r="Z12" s="121">
        <f t="shared" ref="Z12:AF12" si="6">ABS($O12*Z$11)+$G$12</f>
        <v>0.21339499999999997</v>
      </c>
      <c r="AA12" s="121">
        <f t="shared" si="6"/>
        <v>0.17470999999999998</v>
      </c>
      <c r="AB12" s="121">
        <f t="shared" si="6"/>
        <v>0.13602499999999998</v>
      </c>
      <c r="AC12" s="121">
        <f t="shared" si="6"/>
        <v>9.7339999999999996E-2</v>
      </c>
      <c r="AD12" s="121">
        <f t="shared" si="6"/>
        <v>0.13602499999999998</v>
      </c>
      <c r="AE12" s="121">
        <f t="shared" si="6"/>
        <v>0.17470999999999998</v>
      </c>
      <c r="AF12" s="121">
        <f t="shared" si="6"/>
        <v>0.21339499999999997</v>
      </c>
      <c r="AJ12" s="39">
        <f t="shared" ref="AJ12:AP12" si="7">SQRT($G$12^2+($W12*AJ$11)^2)</f>
        <v>0.23839928633492172</v>
      </c>
      <c r="AK12" s="39">
        <f t="shared" si="7"/>
        <v>0.17470999999999998</v>
      </c>
      <c r="AL12" s="39">
        <f t="shared" si="7"/>
        <v>0.12139688103489314</v>
      </c>
      <c r="AM12" s="39">
        <f t="shared" si="7"/>
        <v>9.7339999999999996E-2</v>
      </c>
      <c r="AN12" s="39">
        <f t="shared" si="7"/>
        <v>0.12139688103489314</v>
      </c>
      <c r="AO12" s="39">
        <f t="shared" si="7"/>
        <v>0.17470999999999998</v>
      </c>
      <c r="AP12" s="39">
        <f t="shared" si="7"/>
        <v>0.23839928633492172</v>
      </c>
    </row>
    <row r="13" spans="2:42" ht="14" thickBot="1" x14ac:dyDescent="0.2">
      <c r="L13" s="112"/>
      <c r="M13" s="112"/>
      <c r="N13" s="40"/>
      <c r="O13" s="121"/>
      <c r="P13" s="121"/>
      <c r="Q13" s="121"/>
      <c r="R13" s="121"/>
      <c r="S13" s="122"/>
      <c r="T13" s="123"/>
      <c r="U13" s="122"/>
    </row>
    <row r="14" spans="2:42" ht="14" thickBot="1" x14ac:dyDescent="0.2">
      <c r="B14" s="38" t="s">
        <v>270</v>
      </c>
      <c r="C14" s="38"/>
      <c r="D14" s="38"/>
      <c r="E14" s="38"/>
      <c r="F14" s="38"/>
      <c r="G14" s="38"/>
      <c r="H14" s="38"/>
      <c r="I14" s="38"/>
      <c r="J14" s="38"/>
      <c r="K14" s="38"/>
      <c r="L14" s="112"/>
      <c r="M14" s="112"/>
      <c r="N14" s="40"/>
      <c r="O14" s="98" t="s">
        <v>428</v>
      </c>
      <c r="P14" s="99"/>
      <c r="Q14" s="99"/>
      <c r="R14" s="99"/>
      <c r="S14" s="100"/>
      <c r="T14" s="101"/>
      <c r="V14" s="102" t="s">
        <v>409</v>
      </c>
      <c r="W14" s="103" t="s">
        <v>261</v>
      </c>
      <c r="Z14" s="98" t="str">
        <f>$O$7</f>
        <v>LINEAR</v>
      </c>
      <c r="AJ14" s="103" t="str">
        <f>$W$7</f>
        <v>QUADRATURE</v>
      </c>
    </row>
    <row r="15" spans="2:42" x14ac:dyDescent="0.15">
      <c r="B15" s="105" t="s">
        <v>429</v>
      </c>
      <c r="C15" s="104"/>
      <c r="D15" s="104"/>
      <c r="E15" s="104"/>
      <c r="F15" s="104"/>
      <c r="G15" s="104"/>
      <c r="H15" s="104"/>
      <c r="I15" s="105"/>
      <c r="J15" s="105"/>
      <c r="K15" s="105"/>
      <c r="L15" s="105" t="s">
        <v>432</v>
      </c>
      <c r="M15" s="105" t="s">
        <v>433</v>
      </c>
      <c r="N15" s="105" t="s">
        <v>434</v>
      </c>
      <c r="O15" s="105" t="s">
        <v>264</v>
      </c>
      <c r="P15" s="107"/>
      <c r="Q15" s="107"/>
      <c r="R15" s="107"/>
      <c r="S15" s="108"/>
      <c r="T15" s="109"/>
      <c r="U15" s="108"/>
      <c r="V15" s="110" t="s">
        <v>435</v>
      </c>
      <c r="W15" s="106" t="s">
        <v>264</v>
      </c>
    </row>
    <row r="16" spans="2:42" x14ac:dyDescent="0.15">
      <c r="B16" s="174" t="s">
        <v>29</v>
      </c>
      <c r="C16" s="171">
        <v>0</v>
      </c>
      <c r="D16" s="171">
        <v>0.14000000000000001</v>
      </c>
      <c r="E16" s="171">
        <v>0.28000000000000003</v>
      </c>
      <c r="F16" s="171">
        <v>0.42</v>
      </c>
      <c r="G16" s="171">
        <v>0.56000000000000005</v>
      </c>
      <c r="H16" s="93"/>
      <c r="I16" s="124"/>
      <c r="J16" s="124"/>
      <c r="K16" s="124"/>
      <c r="L16" s="106" t="s">
        <v>29</v>
      </c>
      <c r="M16" s="106" t="s">
        <v>436</v>
      </c>
      <c r="N16" s="106" t="s">
        <v>437</v>
      </c>
      <c r="O16" s="106" t="s">
        <v>438</v>
      </c>
      <c r="P16" s="107"/>
      <c r="Q16" s="107"/>
      <c r="R16" s="107"/>
      <c r="S16" s="108"/>
      <c r="T16" s="109"/>
      <c r="U16" s="108"/>
      <c r="V16" s="111" t="s">
        <v>436</v>
      </c>
      <c r="W16" s="106" t="s">
        <v>438</v>
      </c>
      <c r="Z16" s="38">
        <f>C16</f>
        <v>0</v>
      </c>
      <c r="AA16" s="38">
        <f>D16</f>
        <v>0.14000000000000001</v>
      </c>
      <c r="AB16" s="38">
        <f>E16</f>
        <v>0.28000000000000003</v>
      </c>
      <c r="AC16" s="38">
        <f>F16</f>
        <v>0.42</v>
      </c>
      <c r="AD16" s="38">
        <f>G16</f>
        <v>0.56000000000000005</v>
      </c>
      <c r="AE16" s="38"/>
      <c r="AF16" s="38"/>
      <c r="AG16" s="38"/>
      <c r="AH16" s="113"/>
      <c r="AI16" s="38"/>
      <c r="AJ16" s="38">
        <f>C16</f>
        <v>0</v>
      </c>
      <c r="AK16" s="38">
        <f>D16</f>
        <v>0.14000000000000001</v>
      </c>
      <c r="AL16" s="38">
        <f>E16</f>
        <v>0.28000000000000003</v>
      </c>
      <c r="AM16" s="38">
        <f>F16</f>
        <v>0.42</v>
      </c>
      <c r="AN16" s="38">
        <f>G16</f>
        <v>0.56000000000000005</v>
      </c>
    </row>
    <row r="17" spans="2:40" x14ac:dyDescent="0.15">
      <c r="B17" s="104" t="s">
        <v>86</v>
      </c>
      <c r="C17" s="171">
        <v>9.7339999999999996E-2</v>
      </c>
      <c r="D17" s="171">
        <v>0.12162000000000001</v>
      </c>
      <c r="E17" s="171">
        <v>0.17685000000000001</v>
      </c>
      <c r="F17" s="171">
        <v>0.24001</v>
      </c>
      <c r="G17" s="171">
        <v>0.3039</v>
      </c>
      <c r="H17" s="104"/>
      <c r="I17" s="104"/>
      <c r="J17" s="104"/>
      <c r="K17" s="104"/>
      <c r="L17" s="114">
        <f>$F$16</f>
        <v>0.42</v>
      </c>
      <c r="M17" s="115">
        <f>F17</f>
        <v>0.24001</v>
      </c>
      <c r="N17" s="116">
        <f>2*(M17-$N$5)/(M17+$N$5)</f>
        <v>2</v>
      </c>
      <c r="O17" s="114">
        <f>(M17-$C$17)/L17</f>
        <v>0.33969047619047626</v>
      </c>
      <c r="P17" s="117"/>
      <c r="Q17" s="118">
        <f>M17-$N$5</f>
        <v>0.24001</v>
      </c>
      <c r="R17" s="117">
        <f>Q17/L17</f>
        <v>0.57145238095238093</v>
      </c>
      <c r="S17" s="119"/>
      <c r="T17" s="120"/>
      <c r="U17" s="119"/>
      <c r="V17" s="42">
        <f>SQRT(M17^2-$C$17^2)</f>
        <v>0.21938487755540489</v>
      </c>
      <c r="W17" s="40">
        <f>V17/L17</f>
        <v>0.52234494656048791</v>
      </c>
      <c r="Z17" s="39">
        <f>$C$17+$O17*Z$16</f>
        <v>9.7339999999999996E-2</v>
      </c>
      <c r="AA17" s="39">
        <f>$C$17+$O17*AA$16</f>
        <v>0.14489666666666667</v>
      </c>
      <c r="AB17" s="39">
        <f>$C$17+$O17*AB$16</f>
        <v>0.19245333333333337</v>
      </c>
      <c r="AC17" s="39">
        <f>$C$17+$O17*AC$16</f>
        <v>0.24001</v>
      </c>
      <c r="AD17" s="39">
        <f>$C$17+$O17*AD$16</f>
        <v>0.28756666666666675</v>
      </c>
      <c r="AJ17" s="39">
        <f>SQRT($C$17^2+($W17*AJ$16)^2)</f>
        <v>9.7339999999999996E-2</v>
      </c>
      <c r="AK17" s="39">
        <f>SQRT($C$17^2+($W17*AK$16)^2)</f>
        <v>0.12174901546487622</v>
      </c>
      <c r="AL17" s="39">
        <f>SQRT($C$17^2+($W17*AL$16)^2)</f>
        <v>0.17568740497447927</v>
      </c>
      <c r="AM17" s="39">
        <f>SQRT($C$17^2+($W17*AM$16)^2)</f>
        <v>0.24001000000000003</v>
      </c>
      <c r="AN17" s="39">
        <f>SQRT($C$17^2+($W17*AN$16)^2)</f>
        <v>0.30828400909983428</v>
      </c>
    </row>
    <row r="18" spans="2:40" x14ac:dyDescent="0.15">
      <c r="B18" s="174" t="s">
        <v>29</v>
      </c>
      <c r="C18" s="182">
        <v>0</v>
      </c>
      <c r="D18" s="182">
        <v>0.47499999999999998</v>
      </c>
      <c r="E18" s="182">
        <v>0.95</v>
      </c>
      <c r="F18" s="182">
        <v>1.425</v>
      </c>
      <c r="G18" s="182">
        <v>1.9</v>
      </c>
      <c r="H18" s="93"/>
      <c r="I18" s="124"/>
      <c r="J18" s="124"/>
      <c r="K18" s="124"/>
      <c r="L18" s="106" t="s">
        <v>29</v>
      </c>
      <c r="M18" s="106" t="s">
        <v>436</v>
      </c>
      <c r="N18" s="106" t="s">
        <v>437</v>
      </c>
      <c r="O18" s="106" t="s">
        <v>438</v>
      </c>
      <c r="P18" s="107"/>
      <c r="Q18" s="107"/>
      <c r="R18" s="107"/>
      <c r="S18" s="108"/>
      <c r="T18" s="109"/>
      <c r="U18" s="108"/>
      <c r="V18" s="111" t="s">
        <v>436</v>
      </c>
      <c r="W18" s="106" t="s">
        <v>438</v>
      </c>
      <c r="Z18" s="38">
        <f>C18</f>
        <v>0</v>
      </c>
      <c r="AA18" s="38">
        <f>D18</f>
        <v>0.47499999999999998</v>
      </c>
      <c r="AB18" s="38">
        <f>E18</f>
        <v>0.95</v>
      </c>
      <c r="AC18" s="38">
        <f>F18</f>
        <v>1.425</v>
      </c>
      <c r="AD18" s="38">
        <f>G18</f>
        <v>1.9</v>
      </c>
      <c r="AE18" s="38"/>
      <c r="AF18" s="38"/>
      <c r="AG18" s="38"/>
      <c r="AH18" s="113"/>
      <c r="AI18" s="38"/>
      <c r="AJ18" s="38">
        <f>C18</f>
        <v>0</v>
      </c>
      <c r="AK18" s="38">
        <f>D18</f>
        <v>0.47499999999999998</v>
      </c>
      <c r="AL18" s="38">
        <f>E18</f>
        <v>0.95</v>
      </c>
      <c r="AM18" s="38">
        <f>F18</f>
        <v>1.425</v>
      </c>
      <c r="AN18" s="38">
        <f>G18</f>
        <v>1.9</v>
      </c>
    </row>
    <row r="19" spans="2:40" x14ac:dyDescent="0.15">
      <c r="B19" s="104" t="s">
        <v>83</v>
      </c>
      <c r="C19" s="183">
        <v>9.7339999999999996E-2</v>
      </c>
      <c r="D19" s="183">
        <v>0.11877</v>
      </c>
      <c r="E19" s="183">
        <v>0.16872000000000001</v>
      </c>
      <c r="F19" s="183">
        <v>0.22967000000000001</v>
      </c>
      <c r="G19" s="183">
        <v>0.29441000000000001</v>
      </c>
      <c r="H19" s="104"/>
      <c r="I19" s="104"/>
      <c r="J19" s="104"/>
      <c r="K19" s="104"/>
      <c r="L19" s="114">
        <f>$F$18</f>
        <v>1.425</v>
      </c>
      <c r="M19" s="115">
        <f>F19</f>
        <v>0.22967000000000001</v>
      </c>
      <c r="N19" s="116">
        <f>2*(M19-$N$5)/(M19+$N$5)</f>
        <v>2</v>
      </c>
      <c r="O19" s="114">
        <f>(M19-$C$19)/L19</f>
        <v>9.2863157894736842E-2</v>
      </c>
      <c r="P19" s="117"/>
      <c r="Q19" s="118">
        <f>M19-$N$5</f>
        <v>0.22967000000000001</v>
      </c>
      <c r="R19" s="117">
        <f>Q19/L19</f>
        <v>0.16117192982456141</v>
      </c>
      <c r="S19" s="119"/>
      <c r="T19" s="120"/>
      <c r="U19" s="119"/>
      <c r="V19" s="42">
        <f>SQRT(M19^2-$C$19^2)</f>
        <v>0.20802219424859456</v>
      </c>
      <c r="W19" s="40">
        <f>V19/L19</f>
        <v>0.14598048719199616</v>
      </c>
      <c r="Z19" s="39">
        <f>$C$19+$O19*Z$18</f>
        <v>9.7339999999999996E-2</v>
      </c>
      <c r="AA19" s="39">
        <f>$C$19+$O19*AA$18</f>
        <v>0.14144999999999999</v>
      </c>
      <c r="AB19" s="39">
        <f>$C$19+$O19*AB$18</f>
        <v>0.18556</v>
      </c>
      <c r="AC19" s="39">
        <f>$C$19+$O19*AC$18</f>
        <v>0.22966999999999999</v>
      </c>
      <c r="AD19" s="39">
        <f>$C$19+$O19*AD$18</f>
        <v>0.27377999999999997</v>
      </c>
      <c r="AJ19" s="39">
        <f>SQRT($C$19^2+($W19*AJ$18)^2)</f>
        <v>9.7339999999999996E-2</v>
      </c>
      <c r="AK19" s="39">
        <f>SQRT($C$19^2+($W19*AK$18)^2)</f>
        <v>0.11951239531250861</v>
      </c>
      <c r="AL19" s="39">
        <f>SQRT($C$19^2+($W19*AL$18)^2)</f>
        <v>0.16943324270441537</v>
      </c>
      <c r="AM19" s="39">
        <f>SQRT($C$19^2+($W19*AM$18)^2)</f>
        <v>0.22966999999999999</v>
      </c>
      <c r="AN19" s="39">
        <f>SQRT($C$19^2+($W19*AN$18)^2)</f>
        <v>0.2939477302741651</v>
      </c>
    </row>
    <row r="20" spans="2:40" ht="14" thickBot="1" x14ac:dyDescent="0.2">
      <c r="L20" s="112"/>
      <c r="M20" s="112"/>
      <c r="N20" s="40"/>
      <c r="O20" s="121"/>
      <c r="P20" s="121"/>
      <c r="Q20" s="121"/>
      <c r="R20" s="121"/>
      <c r="S20" s="122"/>
      <c r="T20" s="123"/>
      <c r="U20" s="122"/>
    </row>
    <row r="21" spans="2:40" ht="14" thickBot="1" x14ac:dyDescent="0.2">
      <c r="B21" s="107" t="s">
        <v>271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25"/>
      <c r="M21" s="125"/>
      <c r="N21" s="126"/>
      <c r="O21" s="98" t="s">
        <v>428</v>
      </c>
      <c r="P21" s="99"/>
      <c r="Q21" s="99"/>
      <c r="R21" s="99"/>
      <c r="S21" s="100"/>
      <c r="T21" s="101"/>
      <c r="V21" s="102" t="s">
        <v>409</v>
      </c>
      <c r="W21" s="103" t="s">
        <v>261</v>
      </c>
      <c r="Z21" s="98" t="str">
        <f>$O$7</f>
        <v>LINEAR</v>
      </c>
      <c r="AJ21" s="103" t="str">
        <f>$W$7</f>
        <v>QUADRATURE</v>
      </c>
    </row>
    <row r="22" spans="2:40" x14ac:dyDescent="0.15">
      <c r="B22" s="105" t="s">
        <v>429</v>
      </c>
      <c r="C22" s="104"/>
      <c r="D22" s="104"/>
      <c r="E22" s="104"/>
      <c r="F22" s="104"/>
      <c r="G22" s="104"/>
      <c r="H22" s="105"/>
      <c r="I22" s="105"/>
      <c r="J22" s="105"/>
      <c r="K22" s="105"/>
      <c r="L22" s="105" t="s">
        <v>432</v>
      </c>
      <c r="M22" s="105" t="s">
        <v>433</v>
      </c>
      <c r="N22" s="105" t="s">
        <v>434</v>
      </c>
      <c r="O22" s="105" t="s">
        <v>264</v>
      </c>
      <c r="P22" s="107"/>
      <c r="Q22" s="107"/>
      <c r="R22" s="107"/>
      <c r="S22" s="108"/>
      <c r="T22" s="109"/>
      <c r="U22" s="108"/>
      <c r="V22" s="110" t="s">
        <v>435</v>
      </c>
      <c r="W22" s="106" t="s">
        <v>264</v>
      </c>
    </row>
    <row r="23" spans="2:40" x14ac:dyDescent="0.15">
      <c r="B23" s="174" t="s">
        <v>155</v>
      </c>
      <c r="C23" s="172">
        <v>0</v>
      </c>
      <c r="D23" s="172">
        <v>1.15E-3</v>
      </c>
      <c r="E23" s="172">
        <v>2.3E-3</v>
      </c>
      <c r="F23" s="172">
        <v>3.4499999999999999E-3</v>
      </c>
      <c r="G23" s="172">
        <v>4.5999999999999999E-3</v>
      </c>
      <c r="H23" s="127"/>
      <c r="I23" s="127"/>
      <c r="J23" s="127"/>
      <c r="K23" s="124"/>
      <c r="L23" s="106" t="s">
        <v>326</v>
      </c>
      <c r="M23" s="106" t="s">
        <v>436</v>
      </c>
      <c r="N23" s="106" t="s">
        <v>437</v>
      </c>
      <c r="O23" s="106" t="s">
        <v>439</v>
      </c>
      <c r="P23" s="107"/>
      <c r="Q23" s="107"/>
      <c r="R23" s="107"/>
      <c r="S23" s="108"/>
      <c r="T23" s="109"/>
      <c r="U23" s="108"/>
      <c r="V23" s="111" t="s">
        <v>436</v>
      </c>
      <c r="W23" s="106" t="s">
        <v>439</v>
      </c>
      <c r="AD23" s="38"/>
      <c r="AE23" s="38"/>
      <c r="AF23" s="38"/>
      <c r="AG23" s="38"/>
      <c r="AH23" s="113"/>
      <c r="AI23" s="38"/>
    </row>
    <row r="24" spans="2:40" x14ac:dyDescent="0.15">
      <c r="B24" s="174" t="s">
        <v>77</v>
      </c>
      <c r="C24" s="172">
        <f>C23*60</f>
        <v>0</v>
      </c>
      <c r="D24" s="172">
        <f>D23*60</f>
        <v>6.9000000000000006E-2</v>
      </c>
      <c r="E24" s="172">
        <f>E23*60</f>
        <v>0.13800000000000001</v>
      </c>
      <c r="F24" s="172">
        <f>F23*60</f>
        <v>0.20699999999999999</v>
      </c>
      <c r="G24" s="172">
        <f>G23*60</f>
        <v>0.27600000000000002</v>
      </c>
      <c r="H24" s="127"/>
      <c r="I24" s="127"/>
      <c r="J24" s="127"/>
      <c r="K24" s="124"/>
      <c r="L24" s="106"/>
      <c r="M24" s="106"/>
      <c r="N24" s="106"/>
      <c r="O24" s="106"/>
      <c r="P24" s="107"/>
      <c r="Q24" s="107"/>
      <c r="R24" s="107"/>
      <c r="S24" s="108"/>
      <c r="T24" s="109"/>
      <c r="U24" s="108"/>
      <c r="V24" s="185"/>
      <c r="W24" s="107"/>
      <c r="Z24" s="38">
        <f>C24</f>
        <v>0</v>
      </c>
      <c r="AA24" s="38">
        <f>D24</f>
        <v>6.9000000000000006E-2</v>
      </c>
      <c r="AB24" s="38">
        <f>E24</f>
        <v>0.13800000000000001</v>
      </c>
      <c r="AC24" s="38">
        <f>F24</f>
        <v>0.20699999999999999</v>
      </c>
      <c r="AD24" s="38">
        <f>$G$24</f>
        <v>0.27600000000000002</v>
      </c>
      <c r="AE24" s="38"/>
      <c r="AF24" s="38"/>
      <c r="AG24" s="38"/>
      <c r="AH24" s="113"/>
      <c r="AI24" s="38"/>
      <c r="AJ24" s="38">
        <f>Z24</f>
        <v>0</v>
      </c>
      <c r="AK24" s="38">
        <f>AA24</f>
        <v>6.9000000000000006E-2</v>
      </c>
      <c r="AL24" s="38">
        <f>AB24</f>
        <v>0.13800000000000001</v>
      </c>
      <c r="AM24" s="38">
        <f>AC24</f>
        <v>0.20699999999999999</v>
      </c>
      <c r="AN24" s="39">
        <f>AD24</f>
        <v>0.27600000000000002</v>
      </c>
    </row>
    <row r="25" spans="2:40" x14ac:dyDescent="0.15">
      <c r="B25" s="104" t="s">
        <v>86</v>
      </c>
      <c r="C25" s="172">
        <v>9.7339999999999996E-2</v>
      </c>
      <c r="D25" s="172">
        <v>0.11959</v>
      </c>
      <c r="E25" s="172">
        <v>0.17147000000000001</v>
      </c>
      <c r="F25" s="172">
        <v>0.23216000000000001</v>
      </c>
      <c r="G25" s="172">
        <v>0.29441000000000001</v>
      </c>
      <c r="H25" s="128"/>
      <c r="I25" s="128"/>
      <c r="J25" s="128"/>
      <c r="K25" s="104"/>
      <c r="L25" s="173">
        <f>$E$24</f>
        <v>0.13800000000000001</v>
      </c>
      <c r="M25" s="115">
        <f>$E25</f>
        <v>0.17147000000000001</v>
      </c>
      <c r="N25" s="129"/>
      <c r="O25" s="114">
        <f>(M25-$C$25)/L25</f>
        <v>0.53717391304347828</v>
      </c>
      <c r="P25" s="117"/>
      <c r="Q25" s="118">
        <f>M25-$N$5</f>
        <v>0.17147000000000001</v>
      </c>
      <c r="R25" s="117">
        <f>Q25/L25</f>
        <v>1.242536231884058</v>
      </c>
      <c r="S25" s="119"/>
      <c r="T25" s="120"/>
      <c r="U25" s="119"/>
      <c r="V25" s="42">
        <f>SQRT(M25^2-$C$25^2)</f>
        <v>0.14116262005219371</v>
      </c>
      <c r="W25" s="40">
        <f>V25/L25</f>
        <v>1.0229175366100993</v>
      </c>
      <c r="Z25" s="39">
        <f>$C$25+$O25*Z$24</f>
        <v>9.7339999999999996E-2</v>
      </c>
      <c r="AA25" s="39">
        <f>$C$25+$O25*AA$24</f>
        <v>0.134405</v>
      </c>
      <c r="AB25" s="39">
        <f>$C$25+$O25*AB$24</f>
        <v>0.17147000000000001</v>
      </c>
      <c r="AC25" s="39">
        <f>$C$25+$O25*AC$24</f>
        <v>0.208535</v>
      </c>
      <c r="AD25" s="39">
        <f>$C$25+$O25*AD$24</f>
        <v>0.24560000000000004</v>
      </c>
      <c r="AJ25" s="39">
        <f>SQRT($C$25^2+($W25*AJ$24)^2)</f>
        <v>9.7339999999999996E-2</v>
      </c>
      <c r="AK25" s="39">
        <f>SQRT($C$25^2+($W25*AK$24)^2)</f>
        <v>0.12023642095887585</v>
      </c>
      <c r="AL25" s="39">
        <f>SQRT($C$25^2+($W25*AL$24)^2)</f>
        <v>0.17147000000000001</v>
      </c>
      <c r="AM25" s="39">
        <f>SQRT($C$25^2+($W25*AM$24)^2)</f>
        <v>0.23304627764673691</v>
      </c>
      <c r="AN25" s="39">
        <f>SQRT($C$25^2+($W25*AN$24)^2)</f>
        <v>0.29863458741411719</v>
      </c>
    </row>
    <row r="26" spans="2:40" x14ac:dyDescent="0.15">
      <c r="B26" s="174" t="s">
        <v>155</v>
      </c>
      <c r="C26" s="184">
        <v>0</v>
      </c>
      <c r="D26" s="184">
        <v>1.65E-3</v>
      </c>
      <c r="E26" s="184">
        <v>3.3E-3</v>
      </c>
      <c r="F26" s="184">
        <v>4.9500000000000004E-3</v>
      </c>
      <c r="G26" s="181">
        <v>6.6E-3</v>
      </c>
      <c r="H26" s="127"/>
      <c r="I26" s="127"/>
      <c r="J26" s="127"/>
      <c r="K26" s="124"/>
      <c r="L26" s="106" t="s">
        <v>326</v>
      </c>
      <c r="M26" s="106" t="s">
        <v>436</v>
      </c>
      <c r="N26" s="106" t="s">
        <v>437</v>
      </c>
      <c r="O26" s="106" t="s">
        <v>439</v>
      </c>
      <c r="P26" s="107"/>
      <c r="Q26" s="107"/>
      <c r="R26" s="107"/>
      <c r="S26" s="108"/>
      <c r="T26" s="109"/>
      <c r="U26" s="108"/>
      <c r="V26" s="111" t="s">
        <v>436</v>
      </c>
      <c r="W26" s="106" t="s">
        <v>439</v>
      </c>
      <c r="AD26" s="38"/>
      <c r="AE26" s="38"/>
      <c r="AF26" s="38"/>
      <c r="AG26" s="38"/>
      <c r="AH26" s="113"/>
      <c r="AI26" s="38"/>
    </row>
    <row r="27" spans="2:40" x14ac:dyDescent="0.15">
      <c r="B27" s="174" t="s">
        <v>77</v>
      </c>
      <c r="C27" s="181">
        <f>C26*60</f>
        <v>0</v>
      </c>
      <c r="D27" s="181">
        <f>D26*60</f>
        <v>9.9000000000000005E-2</v>
      </c>
      <c r="E27" s="181">
        <f>E26*60</f>
        <v>0.19800000000000001</v>
      </c>
      <c r="F27" s="181">
        <f>F26*60</f>
        <v>0.29700000000000004</v>
      </c>
      <c r="G27" s="181">
        <f>G26*60</f>
        <v>0.39600000000000002</v>
      </c>
      <c r="H27" s="127"/>
      <c r="I27" s="127"/>
      <c r="J27" s="127"/>
      <c r="K27" s="124"/>
      <c r="L27" s="106"/>
      <c r="M27" s="106"/>
      <c r="N27" s="106"/>
      <c r="O27" s="106"/>
      <c r="P27" s="107"/>
      <c r="Q27" s="107"/>
      <c r="R27" s="107"/>
      <c r="S27" s="108"/>
      <c r="T27" s="109"/>
      <c r="U27" s="108"/>
      <c r="V27" s="185"/>
      <c r="W27" s="107"/>
      <c r="Z27" s="38">
        <f>C27</f>
        <v>0</v>
      </c>
      <c r="AA27" s="38">
        <f>D27</f>
        <v>9.9000000000000005E-2</v>
      </c>
      <c r="AB27" s="38">
        <f>E27</f>
        <v>0.19800000000000001</v>
      </c>
      <c r="AC27" s="38">
        <f>F27</f>
        <v>0.29700000000000004</v>
      </c>
      <c r="AD27" s="38">
        <f>$G$27</f>
        <v>0.39600000000000002</v>
      </c>
      <c r="AE27" s="38"/>
      <c r="AF27" s="38"/>
      <c r="AG27" s="38"/>
      <c r="AH27" s="113"/>
      <c r="AI27" s="38"/>
      <c r="AJ27" s="38">
        <f>Z27</f>
        <v>0</v>
      </c>
      <c r="AK27" s="38">
        <f>AA27</f>
        <v>9.9000000000000005E-2</v>
      </c>
      <c r="AL27" s="38">
        <f>AB27</f>
        <v>0.19800000000000001</v>
      </c>
      <c r="AM27" s="38">
        <f>AC27</f>
        <v>0.29700000000000004</v>
      </c>
      <c r="AN27" s="39">
        <f>AD27</f>
        <v>0.39600000000000002</v>
      </c>
    </row>
    <row r="28" spans="2:40" x14ac:dyDescent="0.15">
      <c r="B28" s="104" t="s">
        <v>83</v>
      </c>
      <c r="C28" s="184">
        <v>9.7339999999999996E-2</v>
      </c>
      <c r="D28" s="184">
        <v>0.1174</v>
      </c>
      <c r="E28" s="184">
        <v>0.16467999999999999</v>
      </c>
      <c r="F28" s="184">
        <v>0.22148000000000001</v>
      </c>
      <c r="G28" s="181">
        <v>0.28104000000000001</v>
      </c>
      <c r="H28" s="128"/>
      <c r="I28" s="128"/>
      <c r="J28" s="128"/>
      <c r="K28" s="104"/>
      <c r="L28" s="114">
        <f>$E$27</f>
        <v>0.19800000000000001</v>
      </c>
      <c r="M28" s="115">
        <f>$E28</f>
        <v>0.16467999999999999</v>
      </c>
      <c r="N28" s="129"/>
      <c r="O28" s="114">
        <f>(M28-$C$28)/L28</f>
        <v>0.34010101010101007</v>
      </c>
      <c r="P28" s="117"/>
      <c r="Q28" s="118">
        <f>M28-$N$5</f>
        <v>0.16467999999999999</v>
      </c>
      <c r="R28" s="117">
        <f>Q28/L28</f>
        <v>0.83171717171717163</v>
      </c>
      <c r="S28" s="119"/>
      <c r="T28" s="120"/>
      <c r="U28" s="119"/>
      <c r="V28" s="42">
        <f>SQRT(M28^2-$C$28^2)</f>
        <v>0.13283232588492908</v>
      </c>
      <c r="W28" s="40">
        <f>V28/L28</f>
        <v>0.67087033275216701</v>
      </c>
      <c r="Z28" s="39">
        <f>$C$28+$O28*Z$27</f>
        <v>9.7339999999999996E-2</v>
      </c>
      <c r="AA28" s="39">
        <f>$C$28+$O28*AA$27</f>
        <v>0.13100999999999999</v>
      </c>
      <c r="AB28" s="39">
        <f>$C$28+$O28*AB$27</f>
        <v>0.16467999999999999</v>
      </c>
      <c r="AC28" s="39">
        <f>$C$28+$O28*AC$27</f>
        <v>0.19835</v>
      </c>
      <c r="AD28" s="39">
        <f>$C$28+$O28*AD$27</f>
        <v>0.23202</v>
      </c>
      <c r="AJ28" s="39">
        <f>SQRT($C$28^2+($W28*AJ$27)^2)</f>
        <v>9.7339999999999996E-2</v>
      </c>
      <c r="AK28" s="39">
        <f>SQRT($C$28^2+($W28*AK$27)^2)</f>
        <v>0.11783964655412031</v>
      </c>
      <c r="AL28" s="39">
        <f>SQRT($C$28^2+($W28*AL$27)^2)</f>
        <v>0.16467999999999999</v>
      </c>
      <c r="AM28" s="39">
        <f>SQRT($C$28^2+($W28*AM$27)^2)</f>
        <v>0.22175444956076981</v>
      </c>
      <c r="AN28" s="39">
        <f>SQRT($C$28^2+($W28*AN$27)^2)</f>
        <v>0.28293600477846576</v>
      </c>
    </row>
    <row r="30" spans="2:40" x14ac:dyDescent="0.15">
      <c r="D30" s="93">
        <v>0.8</v>
      </c>
      <c r="E30" s="93">
        <v>0.53332999999999997</v>
      </c>
      <c r="F30" s="93">
        <v>0.26667000000000002</v>
      </c>
      <c r="G30" s="93">
        <v>0</v>
      </c>
    </row>
    <row r="31" spans="2:40" x14ac:dyDescent="0.15">
      <c r="C31"/>
      <c r="D31" s="93">
        <v>0.25085000000000002</v>
      </c>
      <c r="E31" s="93">
        <v>0.19009000000000001</v>
      </c>
      <c r="F31" s="93">
        <v>0.13994000000000001</v>
      </c>
      <c r="G31" s="93">
        <v>0.10996</v>
      </c>
    </row>
    <row r="32" spans="2:40" x14ac:dyDescent="0.15">
      <c r="C32"/>
      <c r="D32" s="93">
        <v>0.24234</v>
      </c>
      <c r="E32" s="93">
        <v>0.16538</v>
      </c>
      <c r="F32" s="93">
        <v>0.11509999999999999</v>
      </c>
      <c r="G32" s="93">
        <v>0.10996</v>
      </c>
      <c r="H32"/>
      <c r="I32"/>
      <c r="J32"/>
      <c r="O32"/>
    </row>
    <row r="33" spans="3:7" x14ac:dyDescent="0.15">
      <c r="C33"/>
      <c r="D33" s="93">
        <v>4</v>
      </c>
      <c r="E33" s="93">
        <v>2.6666699999999999</v>
      </c>
      <c r="F33" s="93">
        <v>1.3333299999999999</v>
      </c>
      <c r="G33" s="93">
        <v>0</v>
      </c>
    </row>
    <row r="34" spans="3:7" x14ac:dyDescent="0.15">
      <c r="C34"/>
      <c r="D34" s="93">
        <v>0.11144999999999999</v>
      </c>
      <c r="E34" s="93">
        <v>0.11096</v>
      </c>
      <c r="F34" s="93">
        <v>0.11047999999999999</v>
      </c>
      <c r="G34" s="93">
        <v>0.10996</v>
      </c>
    </row>
    <row r="39" spans="3:7" x14ac:dyDescent="0.15">
      <c r="F39"/>
    </row>
  </sheetData>
  <mergeCells count="2">
    <mergeCell ref="B2:F2"/>
    <mergeCell ref="B1:F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"/>
  <sheetViews>
    <sheetView workbookViewId="0"/>
  </sheetViews>
  <sheetFormatPr baseColWidth="10" defaultColWidth="8.83203125" defaultRowHeight="13" x14ac:dyDescent="0.15"/>
  <cols>
    <col min="1" max="1" width="10.6640625" style="17" customWidth="1"/>
    <col min="2" max="2" width="27.33203125" style="17" customWidth="1"/>
    <col min="3" max="6" width="15.6640625" style="17" customWidth="1"/>
    <col min="7" max="16384" width="8.83203125" style="17"/>
  </cols>
  <sheetData>
    <row r="1" spans="1:8" x14ac:dyDescent="0.15">
      <c r="A1" s="130" t="s">
        <v>347</v>
      </c>
    </row>
    <row r="2" spans="1:8" ht="16" x14ac:dyDescent="0.2">
      <c r="B2" s="288" t="s">
        <v>258</v>
      </c>
      <c r="C2" s="289"/>
    </row>
    <row r="3" spans="1:8" ht="16" x14ac:dyDescent="0.2">
      <c r="B3" s="288" t="s">
        <v>259</v>
      </c>
      <c r="C3" s="289"/>
      <c r="H3" s="17" t="s">
        <v>188</v>
      </c>
    </row>
    <row r="4" spans="1:8" ht="14" thickBot="1" x14ac:dyDescent="0.2">
      <c r="B4" s="18" t="s">
        <v>260</v>
      </c>
      <c r="C4" s="19" t="s">
        <v>261</v>
      </c>
      <c r="E4" s="290" t="s">
        <v>263</v>
      </c>
      <c r="F4" s="290"/>
    </row>
    <row r="5" spans="1:8" x14ac:dyDescent="0.15">
      <c r="B5" s="20"/>
      <c r="C5" s="21" t="s">
        <v>264</v>
      </c>
      <c r="D5" s="186" t="s">
        <v>44</v>
      </c>
      <c r="E5" s="290" t="s">
        <v>266</v>
      </c>
      <c r="F5" s="290"/>
    </row>
    <row r="6" spans="1:8" x14ac:dyDescent="0.15">
      <c r="B6" s="18" t="s">
        <v>267</v>
      </c>
      <c r="C6" s="21" t="s">
        <v>268</v>
      </c>
      <c r="D6" s="17" t="s">
        <v>95</v>
      </c>
      <c r="E6" s="17" t="s">
        <v>269</v>
      </c>
      <c r="F6" s="17" t="s">
        <v>83</v>
      </c>
      <c r="H6" s="17" t="str">
        <f>'2a4a6a'!H6</f>
        <v>mm</v>
      </c>
    </row>
    <row r="7" spans="1:8" x14ac:dyDescent="0.15">
      <c r="B7" s="22" t="s">
        <v>86</v>
      </c>
      <c r="C7" s="23">
        <f>'7a1'!$W$10</f>
        <v>13.711028939628614</v>
      </c>
      <c r="D7" s="24">
        <f>'2a4a6a'!$D$7*4</f>
        <v>4</v>
      </c>
      <c r="E7" s="25">
        <f>C7*D7/2000</f>
        <v>2.7422057879257229E-2</v>
      </c>
      <c r="F7" s="25" t="s">
        <v>116</v>
      </c>
      <c r="H7" s="17">
        <f>'2a4a6a'!H7</f>
        <v>3450</v>
      </c>
    </row>
    <row r="8" spans="1:8" x14ac:dyDescent="0.15">
      <c r="B8" s="22" t="s">
        <v>83</v>
      </c>
      <c r="C8" s="23">
        <f>'7a1'!$W$12</f>
        <v>13.18918555872497</v>
      </c>
      <c r="D8" s="24">
        <f>'2a4a6a'!$D$8*4</f>
        <v>4</v>
      </c>
      <c r="E8" s="25" t="s">
        <v>116</v>
      </c>
      <c r="F8" s="25">
        <f>C8*D8/2000</f>
        <v>2.637837111744994E-2</v>
      </c>
      <c r="H8" s="17">
        <f>'2a4a6a'!H8</f>
        <v>1400</v>
      </c>
    </row>
    <row r="9" spans="1:8" ht="8" customHeight="1" x14ac:dyDescent="0.15">
      <c r="B9" s="26"/>
      <c r="C9" s="27"/>
      <c r="D9" s="25"/>
      <c r="E9" s="25"/>
      <c r="F9" s="25"/>
    </row>
    <row r="10" spans="1:8" ht="14" thickBot="1" x14ac:dyDescent="0.2">
      <c r="B10" s="18" t="s">
        <v>270</v>
      </c>
      <c r="C10" s="19" t="s">
        <v>261</v>
      </c>
      <c r="E10" s="25"/>
      <c r="F10" s="25"/>
    </row>
    <row r="11" spans="1:8" x14ac:dyDescent="0.15">
      <c r="B11" s="20"/>
      <c r="C11" s="21" t="s">
        <v>264</v>
      </c>
      <c r="E11" s="25"/>
      <c r="F11" s="25"/>
    </row>
    <row r="12" spans="1:8" x14ac:dyDescent="0.15">
      <c r="B12" s="18" t="s">
        <v>267</v>
      </c>
      <c r="C12" s="21" t="s">
        <v>268</v>
      </c>
      <c r="E12" s="25"/>
      <c r="F12" s="25"/>
    </row>
    <row r="13" spans="1:8" x14ac:dyDescent="0.15">
      <c r="B13" s="22" t="s">
        <v>86</v>
      </c>
      <c r="C13" s="23">
        <f>'7a1'!$W$17</f>
        <v>0.52234494656048791</v>
      </c>
      <c r="D13" s="24">
        <f>'2a4a6a'!D7*25</f>
        <v>25</v>
      </c>
      <c r="E13" s="25">
        <f>C13*D13/2000</f>
        <v>6.5293118320060989E-3</v>
      </c>
      <c r="F13" s="25" t="s">
        <v>116</v>
      </c>
    </row>
    <row r="14" spans="1:8" x14ac:dyDescent="0.15">
      <c r="B14" s="22" t="s">
        <v>83</v>
      </c>
      <c r="C14" s="23">
        <f>'7a1'!$W$19</f>
        <v>0.14598048719199616</v>
      </c>
      <c r="D14" s="24">
        <f>'2a4a6a'!D7*25</f>
        <v>25</v>
      </c>
      <c r="E14" s="25" t="s">
        <v>116</v>
      </c>
      <c r="F14" s="25">
        <f>C14*D14/2000</f>
        <v>1.8247560898999519E-3</v>
      </c>
    </row>
    <row r="15" spans="1:8" ht="5.5" customHeight="1" x14ac:dyDescent="0.15">
      <c r="B15" s="26"/>
      <c r="C15" s="27"/>
      <c r="E15" s="25"/>
      <c r="F15" s="25"/>
    </row>
    <row r="16" spans="1:8" ht="14" thickBot="1" x14ac:dyDescent="0.2">
      <c r="B16" s="18" t="s">
        <v>271</v>
      </c>
      <c r="C16" s="19" t="s">
        <v>261</v>
      </c>
      <c r="E16" s="25"/>
      <c r="F16" s="25"/>
    </row>
    <row r="17" spans="2:7" x14ac:dyDescent="0.15">
      <c r="B17" s="20"/>
      <c r="C17" s="21" t="s">
        <v>264</v>
      </c>
      <c r="E17" s="25"/>
      <c r="F17" s="25"/>
    </row>
    <row r="18" spans="2:7" x14ac:dyDescent="0.15">
      <c r="B18" s="18" t="s">
        <v>267</v>
      </c>
      <c r="C18" s="28" t="s">
        <v>272</v>
      </c>
      <c r="E18" s="25"/>
      <c r="F18" s="25"/>
    </row>
    <row r="19" spans="2:7" x14ac:dyDescent="0.15">
      <c r="B19" s="22" t="s">
        <v>86</v>
      </c>
      <c r="C19" s="23">
        <f>'7a1'!$W$25</f>
        <v>1.0229175366100993</v>
      </c>
      <c r="D19" s="29">
        <f>60*180*ASIN(2*D7/H7/1000)/PI()</f>
        <v>7.9715867148707712E-3</v>
      </c>
      <c r="E19" s="178">
        <f>C19*D19/2</f>
        <v>4.0771379226247021E-3</v>
      </c>
      <c r="F19" s="25" t="s">
        <v>116</v>
      </c>
    </row>
    <row r="20" spans="2:7" x14ac:dyDescent="0.15">
      <c r="B20" s="22" t="s">
        <v>83</v>
      </c>
      <c r="C20" s="23">
        <f>'7a1'!$W$28</f>
        <v>0.67087033275216701</v>
      </c>
      <c r="D20" s="29">
        <f>60*180*ASIN(2*D8/H8/1000)/PI()</f>
        <v>1.9644267261735134E-2</v>
      </c>
      <c r="E20" s="25" t="s">
        <v>116</v>
      </c>
      <c r="F20" s="25">
        <f>C20*D20/2</f>
        <v>6.5893780572763745E-3</v>
      </c>
    </row>
    <row r="21" spans="2:7" x14ac:dyDescent="0.15">
      <c r="D21" s="30" t="s">
        <v>89</v>
      </c>
      <c r="E21" s="180">
        <f>SQRT(SUMSQ(E7,E13,E19))</f>
        <v>2.8481998261586438E-2</v>
      </c>
      <c r="F21" s="180">
        <f>SQRT(SUMSQ(F8,F14,F20))</f>
        <v>2.7250102766398138E-2</v>
      </c>
      <c r="G21" s="17">
        <f>SQRT(E21^2+F21^2)</f>
        <v>3.9418172531870022E-2</v>
      </c>
    </row>
    <row r="22" spans="2:7" x14ac:dyDescent="0.15">
      <c r="D22" s="30" t="s">
        <v>90</v>
      </c>
      <c r="E22" s="178">
        <v>0.03</v>
      </c>
      <c r="F22" s="178">
        <v>0.03</v>
      </c>
      <c r="G22" s="17">
        <f>SQRT(E22^2+F22^2)</f>
        <v>4.2426406871192854E-2</v>
      </c>
    </row>
  </sheetData>
  <mergeCells count="4">
    <mergeCell ref="B2:C2"/>
    <mergeCell ref="B3:C3"/>
    <mergeCell ref="E4:F4"/>
    <mergeCell ref="E5:F5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E6"/>
  <sheetViews>
    <sheetView workbookViewId="0"/>
  </sheetViews>
  <sheetFormatPr baseColWidth="10" defaultColWidth="8.83203125" defaultRowHeight="13" x14ac:dyDescent="0.15"/>
  <cols>
    <col min="2" max="2" width="23.5" customWidth="1"/>
  </cols>
  <sheetData>
    <row r="3" spans="2:5" x14ac:dyDescent="0.15">
      <c r="D3" t="s">
        <v>29</v>
      </c>
      <c r="E3" t="s">
        <v>95</v>
      </c>
    </row>
    <row r="4" spans="2:5" x14ac:dyDescent="0.15">
      <c r="B4" t="s">
        <v>93</v>
      </c>
      <c r="C4" s="7" t="s">
        <v>8</v>
      </c>
      <c r="D4">
        <v>0.5</v>
      </c>
      <c r="E4">
        <f>D4*1000</f>
        <v>500</v>
      </c>
    </row>
    <row r="5" spans="2:5" x14ac:dyDescent="0.15">
      <c r="B5" t="s">
        <v>633</v>
      </c>
      <c r="C5" s="8">
        <v>0.1</v>
      </c>
      <c r="D5">
        <f>D4*C5</f>
        <v>0.05</v>
      </c>
      <c r="E5">
        <f>D5*1000</f>
        <v>50</v>
      </c>
    </row>
    <row r="6" spans="2:5" x14ac:dyDescent="0.15">
      <c r="B6" t="s">
        <v>94</v>
      </c>
      <c r="C6">
        <v>10</v>
      </c>
      <c r="D6">
        <f>D5/C6</f>
        <v>5.0000000000000001E-3</v>
      </c>
      <c r="E6">
        <f>D6*1000</f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Req (rearranged)</vt:lpstr>
      <vt:lpstr>1</vt:lpstr>
      <vt:lpstr>2a4a6a</vt:lpstr>
      <vt:lpstr>3</vt:lpstr>
      <vt:lpstr>3a2</vt:lpstr>
      <vt:lpstr>5a</vt:lpstr>
      <vt:lpstr>7a1</vt:lpstr>
      <vt:lpstr>7a2</vt:lpstr>
      <vt:lpstr>8</vt:lpstr>
      <vt:lpstr>9</vt:lpstr>
      <vt:lpstr>10</vt:lpstr>
      <vt:lpstr>11</vt:lpstr>
      <vt:lpstr>9c</vt:lpstr>
      <vt:lpstr>12</vt:lpstr>
      <vt:lpstr>13</vt:lpstr>
      <vt:lpstr>14a</vt:lpstr>
      <vt:lpstr>15a</vt:lpstr>
      <vt:lpstr>18</vt:lpstr>
      <vt:lpstr>28</vt:lpstr>
      <vt:lpstr>4b</vt:lpstr>
      <vt:lpstr>5b</vt:lpstr>
      <vt:lpstr>6b</vt:lpstr>
      <vt:lpstr>7b</vt:lpstr>
      <vt:lpstr>9b2</vt:lpstr>
      <vt:lpstr>10b</vt:lpstr>
      <vt:lpstr>31-35</vt:lpstr>
      <vt:lpstr>1c</vt:lpstr>
      <vt:lpstr>25a&amp;8b</vt:lpstr>
      <vt:lpstr>25b</vt:lpstr>
      <vt:lpstr>Dynamic loads</vt:lpstr>
      <vt:lpstr>Notes</vt:lpstr>
    </vt:vector>
  </TitlesOfParts>
  <Company>AURA NOAO LSST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R Neill</dc:creator>
  <cp:lastModifiedBy>Microsoft Office User</cp:lastModifiedBy>
  <dcterms:created xsi:type="dcterms:W3CDTF">2006-01-27T14:11:22Z</dcterms:created>
  <dcterms:modified xsi:type="dcterms:W3CDTF">2020-07-17T22:14:31Z</dcterms:modified>
</cp:coreProperties>
</file>