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225" windowWidth="16275" windowHeight="11955" activeTab="9"/>
  </bookViews>
  <sheets>
    <sheet name="Sheet1" sheetId="1" r:id="rId1"/>
    <sheet name="Sheet2" sheetId="2" r:id="rId2"/>
    <sheet name="Sheet3" sheetId="3" r:id="rId3"/>
    <sheet name="Sheet9" sheetId="4" r:id="rId4"/>
    <sheet name="Klumpfuss" sheetId="5" r:id="rId5"/>
    <sheet name="Kruppel" sheetId="6" r:id="rId6"/>
    <sheet name="Dati" sheetId="7" r:id="rId7"/>
    <sheet name="12235901" sheetId="8" r:id="rId8"/>
    <sheet name="12210654" sheetId="9" r:id="rId9"/>
    <sheet name="Sheet4" sheetId="10" r:id="rId10"/>
  </sheets>
  <calcPr calcId="144525"/>
</workbook>
</file>

<file path=xl/calcChain.xml><?xml version="1.0" encoding="utf-8"?>
<calcChain xmlns="http://schemas.openxmlformats.org/spreadsheetml/2006/main">
  <c r="J204" i="10" l="1"/>
  <c r="I204" i="10"/>
  <c r="H204" i="10"/>
  <c r="G204" i="10"/>
  <c r="F204" i="10"/>
  <c r="E204" i="10"/>
  <c r="U204" i="10" s="1"/>
  <c r="D204" i="10"/>
  <c r="C204" i="10"/>
  <c r="T204" i="10" s="1"/>
  <c r="J203" i="10"/>
  <c r="I203" i="10"/>
  <c r="H203" i="10"/>
  <c r="G203" i="10"/>
  <c r="F203" i="10"/>
  <c r="E203" i="10"/>
  <c r="U203" i="10" s="1"/>
  <c r="D203" i="10"/>
  <c r="T203" i="10" s="1"/>
  <c r="C203" i="10"/>
  <c r="S203" i="10" s="1"/>
  <c r="U202" i="10"/>
  <c r="T202" i="10"/>
  <c r="S202" i="10"/>
  <c r="U201" i="10"/>
  <c r="T201" i="10"/>
  <c r="S201" i="10"/>
  <c r="I200" i="10"/>
  <c r="H200" i="10"/>
  <c r="G200" i="10"/>
  <c r="F200" i="10"/>
  <c r="U199" i="10"/>
  <c r="J199" i="10"/>
  <c r="I199" i="10"/>
  <c r="H199" i="10"/>
  <c r="G199" i="10"/>
  <c r="F199" i="10"/>
  <c r="E199" i="10"/>
  <c r="D199" i="10"/>
  <c r="C199" i="10"/>
  <c r="T199" i="10" s="1"/>
  <c r="O198" i="10"/>
  <c r="N198" i="10"/>
  <c r="M198" i="10"/>
  <c r="L198" i="10"/>
  <c r="K198" i="10"/>
  <c r="J198" i="10"/>
  <c r="I198" i="10"/>
  <c r="T198" i="10" s="1"/>
  <c r="H198" i="10"/>
  <c r="G198" i="10"/>
  <c r="T197" i="10"/>
  <c r="H197" i="10"/>
  <c r="G197" i="10"/>
  <c r="D197" i="10"/>
  <c r="U197" i="10" s="1"/>
  <c r="C197" i="10"/>
  <c r="S197" i="10" s="1"/>
  <c r="U196" i="10"/>
  <c r="T196" i="10"/>
  <c r="S196" i="10"/>
  <c r="K195" i="10"/>
  <c r="H195" i="10"/>
  <c r="G195" i="10"/>
  <c r="F195" i="10"/>
  <c r="U194" i="10"/>
  <c r="T194" i="10"/>
  <c r="S194" i="10"/>
  <c r="H193" i="10"/>
  <c r="G193" i="10"/>
  <c r="F193" i="10"/>
  <c r="T193" i="10" s="1"/>
  <c r="E193" i="10"/>
  <c r="D193" i="10"/>
  <c r="C193" i="10"/>
  <c r="S193" i="10" s="1"/>
  <c r="U192" i="10"/>
  <c r="T192" i="10"/>
  <c r="S192" i="10"/>
  <c r="U191" i="10"/>
  <c r="T191" i="10"/>
  <c r="S191" i="10"/>
  <c r="U190" i="10"/>
  <c r="T190" i="10"/>
  <c r="S190" i="10"/>
  <c r="H189" i="10"/>
  <c r="G189" i="10"/>
  <c r="F189" i="10"/>
  <c r="E189" i="10"/>
  <c r="D189" i="10"/>
  <c r="C189" i="10"/>
  <c r="U189" i="10" s="1"/>
  <c r="U188" i="10"/>
  <c r="T188" i="10"/>
  <c r="S188" i="10"/>
  <c r="H187" i="10"/>
  <c r="G187" i="10"/>
  <c r="F187" i="10"/>
  <c r="E187" i="10"/>
  <c r="D187" i="10"/>
  <c r="S187" i="10" s="1"/>
  <c r="C187" i="10"/>
  <c r="U187" i="10" s="1"/>
  <c r="J186" i="10"/>
  <c r="I186" i="10"/>
  <c r="H186" i="10"/>
  <c r="G186" i="10"/>
  <c r="F186" i="10"/>
  <c r="E186" i="10"/>
  <c r="D186" i="10"/>
  <c r="C186" i="10"/>
  <c r="H185" i="10"/>
  <c r="G185" i="10"/>
  <c r="F185" i="10"/>
  <c r="D185" i="10"/>
  <c r="U185" i="10" s="1"/>
  <c r="U184" i="10"/>
  <c r="T184" i="10"/>
  <c r="S184" i="10"/>
  <c r="I183" i="10"/>
  <c r="H183" i="10"/>
  <c r="G183" i="10"/>
  <c r="F183" i="10"/>
  <c r="E183" i="10"/>
  <c r="D183" i="10"/>
  <c r="C183" i="10"/>
  <c r="T183" i="10" s="1"/>
  <c r="M182" i="10"/>
  <c r="L182" i="10"/>
  <c r="K182" i="10"/>
  <c r="J182" i="10"/>
  <c r="I182" i="10"/>
  <c r="H182" i="10"/>
  <c r="G182" i="10"/>
  <c r="F182" i="10"/>
  <c r="E182" i="10"/>
  <c r="D182" i="10"/>
  <c r="C182" i="10"/>
  <c r="U182" i="10" s="1"/>
  <c r="T181" i="10"/>
  <c r="I181" i="10"/>
  <c r="H181" i="10"/>
  <c r="G181" i="10"/>
  <c r="F181" i="10"/>
  <c r="E181" i="10"/>
  <c r="D181" i="10"/>
  <c r="C181" i="10"/>
  <c r="F180" i="10"/>
  <c r="E180" i="10"/>
  <c r="D180" i="10"/>
  <c r="C180" i="10"/>
  <c r="U179" i="10"/>
  <c r="K179" i="10"/>
  <c r="J179" i="10"/>
  <c r="I179" i="10"/>
  <c r="H179" i="10"/>
  <c r="G179" i="10"/>
  <c r="F179" i="10"/>
  <c r="H178" i="10"/>
  <c r="G178" i="10"/>
  <c r="E178" i="10"/>
  <c r="D178" i="10"/>
  <c r="U177" i="10"/>
  <c r="I177" i="10"/>
  <c r="H177" i="10"/>
  <c r="O176" i="10"/>
  <c r="N176" i="10"/>
  <c r="M176" i="10"/>
  <c r="L176" i="10"/>
  <c r="K176" i="10"/>
  <c r="J176" i="10"/>
  <c r="I176" i="10"/>
  <c r="H176" i="10"/>
  <c r="G176" i="10"/>
  <c r="F176" i="10"/>
  <c r="E176" i="10"/>
  <c r="D176" i="10"/>
  <c r="C176" i="10"/>
  <c r="E175" i="10"/>
  <c r="D175" i="10"/>
  <c r="C175" i="10"/>
  <c r="I174" i="10"/>
  <c r="H174" i="10"/>
  <c r="G174" i="10"/>
  <c r="T174" i="10" s="1"/>
  <c r="F174" i="10"/>
  <c r="H173" i="10"/>
  <c r="G173" i="10"/>
  <c r="F173" i="10"/>
  <c r="E173" i="10"/>
  <c r="S173" i="10" s="1"/>
  <c r="D173" i="10"/>
  <c r="C173" i="10"/>
  <c r="U172" i="10"/>
  <c r="T172" i="10"/>
  <c r="S172" i="10"/>
  <c r="U171" i="10"/>
  <c r="T171" i="10"/>
  <c r="S171" i="10"/>
  <c r="G170" i="10"/>
  <c r="S170" i="10" s="1"/>
  <c r="F170" i="10"/>
  <c r="D170" i="10"/>
  <c r="T169" i="10"/>
  <c r="I169" i="10"/>
  <c r="H169" i="10"/>
  <c r="G169" i="10"/>
  <c r="F169" i="10"/>
  <c r="E169" i="10"/>
  <c r="D169" i="10"/>
  <c r="C169" i="10"/>
  <c r="D168" i="10"/>
  <c r="J167" i="10"/>
  <c r="I167" i="10"/>
  <c r="H167" i="10"/>
  <c r="G167" i="10"/>
  <c r="F167" i="10"/>
  <c r="E167" i="10"/>
  <c r="D167" i="10"/>
  <c r="C167" i="10"/>
  <c r="U166" i="10"/>
  <c r="I166" i="10"/>
  <c r="G166" i="10"/>
  <c r="E166" i="10"/>
  <c r="C166" i="10"/>
  <c r="T166" i="10" s="1"/>
  <c r="H165" i="10"/>
  <c r="G165" i="10"/>
  <c r="F165" i="10"/>
  <c r="T165" i="10" s="1"/>
  <c r="E165" i="10"/>
  <c r="D165" i="10"/>
  <c r="C165" i="10"/>
  <c r="U164" i="10"/>
  <c r="R164" i="10"/>
  <c r="Q164" i="10"/>
  <c r="P164" i="10"/>
  <c r="O164" i="10"/>
  <c r="N164" i="10"/>
  <c r="M164" i="10"/>
  <c r="L164" i="10"/>
  <c r="K164" i="10"/>
  <c r="J164" i="10"/>
  <c r="I164" i="10"/>
  <c r="H164" i="10"/>
  <c r="G164" i="10"/>
  <c r="F164" i="10"/>
  <c r="E164" i="10"/>
  <c r="D164" i="10"/>
  <c r="C164" i="10"/>
  <c r="T164" i="10" s="1"/>
  <c r="J163" i="10"/>
  <c r="I163" i="10"/>
  <c r="F163" i="10"/>
  <c r="T163" i="10" s="1"/>
  <c r="E163" i="10"/>
  <c r="D163" i="10"/>
  <c r="C163" i="10"/>
  <c r="U162" i="10"/>
  <c r="T162" i="10"/>
  <c r="S162" i="10"/>
  <c r="U161" i="10"/>
  <c r="T161" i="10"/>
  <c r="S161" i="10"/>
  <c r="U160" i="10"/>
  <c r="T160" i="10"/>
  <c r="S160" i="10"/>
  <c r="J159" i="10"/>
  <c r="E159" i="10"/>
  <c r="C159" i="10"/>
  <c r="U159" i="10" s="1"/>
  <c r="U158" i="10"/>
  <c r="T158" i="10"/>
  <c r="S158" i="10"/>
  <c r="P157" i="10"/>
  <c r="O157" i="10"/>
  <c r="N157" i="10"/>
  <c r="M157" i="10"/>
  <c r="L157" i="10"/>
  <c r="K157" i="10"/>
  <c r="J157" i="10"/>
  <c r="I157" i="10"/>
  <c r="S157" i="10" s="1"/>
  <c r="H157" i="10"/>
  <c r="U157" i="10" s="1"/>
  <c r="S156" i="10"/>
  <c r="I156" i="10"/>
  <c r="H156" i="10"/>
  <c r="U156" i="10" s="1"/>
  <c r="T155" i="10"/>
  <c r="K155" i="10"/>
  <c r="J155" i="10"/>
  <c r="I155" i="10"/>
  <c r="H155" i="10"/>
  <c r="G155" i="10"/>
  <c r="F155" i="10"/>
  <c r="E155" i="10"/>
  <c r="D155" i="10"/>
  <c r="C155" i="10"/>
  <c r="U154" i="10"/>
  <c r="T154" i="10"/>
  <c r="S154" i="10"/>
  <c r="I153" i="10"/>
  <c r="H153" i="10"/>
  <c r="F153" i="10"/>
  <c r="D153" i="10"/>
  <c r="S153" i="10" s="1"/>
  <c r="C153" i="10"/>
  <c r="S152" i="10"/>
  <c r="D152" i="10"/>
  <c r="U152" i="10" s="1"/>
  <c r="U151" i="10"/>
  <c r="T151" i="10"/>
  <c r="S151" i="10"/>
  <c r="U150" i="10"/>
  <c r="T150" i="10"/>
  <c r="S150" i="10"/>
  <c r="U149" i="10"/>
  <c r="T149" i="10"/>
  <c r="S149" i="10"/>
  <c r="U148" i="10"/>
  <c r="T148" i="10"/>
  <c r="S148" i="10"/>
  <c r="U147" i="10"/>
  <c r="T147" i="10"/>
  <c r="S147" i="10"/>
  <c r="H146" i="10"/>
  <c r="U145" i="10"/>
  <c r="T145" i="10"/>
  <c r="S145" i="10"/>
  <c r="U144" i="10"/>
  <c r="K144" i="10"/>
  <c r="J144" i="10"/>
  <c r="I144" i="10"/>
  <c r="H144" i="10"/>
  <c r="G144" i="10"/>
  <c r="F144" i="10"/>
  <c r="E144" i="10"/>
  <c r="D144" i="10"/>
  <c r="C144" i="10"/>
  <c r="T144" i="10" s="1"/>
  <c r="U143" i="10"/>
  <c r="T143" i="10"/>
  <c r="S143" i="10"/>
  <c r="H142" i="10"/>
  <c r="G142" i="10"/>
  <c r="F142" i="10"/>
  <c r="T142" i="10" s="1"/>
  <c r="E142" i="10"/>
  <c r="D142" i="10"/>
  <c r="C142" i="10"/>
  <c r="U141" i="10"/>
  <c r="H141" i="10"/>
  <c r="G141" i="10"/>
  <c r="F141" i="10"/>
  <c r="E141" i="10"/>
  <c r="D141" i="10"/>
  <c r="C141" i="10"/>
  <c r="U140" i="10"/>
  <c r="T140" i="10"/>
  <c r="S140" i="10"/>
  <c r="U139" i="10"/>
  <c r="T139" i="10"/>
  <c r="S139" i="10"/>
  <c r="U138" i="10"/>
  <c r="T138" i="10"/>
  <c r="S138" i="10"/>
  <c r="U137" i="10"/>
  <c r="T137" i="10"/>
  <c r="S137" i="10"/>
  <c r="U136" i="10"/>
  <c r="T136" i="10"/>
  <c r="S136" i="10"/>
  <c r="U135" i="10"/>
  <c r="T135" i="10"/>
  <c r="S135" i="10"/>
  <c r="M134" i="10"/>
  <c r="L134" i="10"/>
  <c r="K134" i="10"/>
  <c r="J134" i="10"/>
  <c r="I134" i="10"/>
  <c r="H134" i="10"/>
  <c r="G134" i="10"/>
  <c r="F134" i="10"/>
  <c r="E134" i="10"/>
  <c r="D134" i="10"/>
  <c r="C134" i="10"/>
  <c r="T134" i="10" s="1"/>
  <c r="U133" i="10"/>
  <c r="T133" i="10"/>
  <c r="S133" i="10"/>
  <c r="U132" i="10"/>
  <c r="I132" i="10"/>
  <c r="H132" i="10"/>
  <c r="F132" i="10"/>
  <c r="E132" i="10"/>
  <c r="D132" i="10"/>
  <c r="C132" i="10"/>
  <c r="J131" i="10"/>
  <c r="I131" i="10"/>
  <c r="H131" i="10"/>
  <c r="T130" i="10"/>
  <c r="I130" i="10"/>
  <c r="H130" i="10"/>
  <c r="G130" i="10"/>
  <c r="F130" i="10"/>
  <c r="E130" i="10"/>
  <c r="D130" i="10"/>
  <c r="C130" i="10"/>
  <c r="U129" i="10"/>
  <c r="T129" i="10"/>
  <c r="S129" i="10"/>
  <c r="I128" i="10"/>
  <c r="D128" i="10"/>
  <c r="S128" i="10" s="1"/>
  <c r="C128" i="10"/>
  <c r="T128" i="10" s="1"/>
  <c r="U127" i="10"/>
  <c r="T127" i="10"/>
  <c r="S127" i="10"/>
  <c r="H126" i="10"/>
  <c r="L125" i="10"/>
  <c r="K125" i="10"/>
  <c r="J125" i="10"/>
  <c r="I125" i="10"/>
  <c r="H125" i="10"/>
  <c r="G125" i="10"/>
  <c r="F125" i="10"/>
  <c r="E125" i="10"/>
  <c r="D125" i="10"/>
  <c r="C125" i="10"/>
  <c r="H124" i="10"/>
  <c r="G124" i="10"/>
  <c r="F124" i="10"/>
  <c r="E124" i="10"/>
  <c r="S124" i="10" s="1"/>
  <c r="D124" i="10"/>
  <c r="C124" i="10"/>
  <c r="P123" i="10"/>
  <c r="O123" i="10"/>
  <c r="N123" i="10"/>
  <c r="M123" i="10"/>
  <c r="L123" i="10"/>
  <c r="K123" i="10"/>
  <c r="J123" i="10"/>
  <c r="T123" i="10" s="1"/>
  <c r="I123" i="10"/>
  <c r="H123" i="10"/>
  <c r="G123" i="10"/>
  <c r="S123" i="10" s="1"/>
  <c r="J122" i="10"/>
  <c r="I122" i="10"/>
  <c r="G122" i="10"/>
  <c r="F122" i="10"/>
  <c r="E122" i="10"/>
  <c r="D122" i="10"/>
  <c r="U122" i="10" s="1"/>
  <c r="U121" i="10"/>
  <c r="T121" i="10"/>
  <c r="S121" i="10"/>
  <c r="U120" i="10"/>
  <c r="T120" i="10"/>
  <c r="S120" i="10"/>
  <c r="U119" i="10"/>
  <c r="T119" i="10"/>
  <c r="S119" i="10"/>
  <c r="L118" i="10"/>
  <c r="K118" i="10"/>
  <c r="J118" i="10"/>
  <c r="I118" i="10"/>
  <c r="H118" i="10"/>
  <c r="G118" i="10"/>
  <c r="F118" i="10"/>
  <c r="E118" i="10"/>
  <c r="S118" i="10" s="1"/>
  <c r="D118" i="10"/>
  <c r="C118" i="10"/>
  <c r="U118" i="10" s="1"/>
  <c r="T117" i="10"/>
  <c r="H117" i="10"/>
  <c r="G117" i="10"/>
  <c r="F117" i="10"/>
  <c r="E117" i="10"/>
  <c r="D117" i="10"/>
  <c r="C117" i="10"/>
  <c r="U116" i="10"/>
  <c r="H116" i="10"/>
  <c r="G116" i="10"/>
  <c r="F116" i="10"/>
  <c r="E116" i="10"/>
  <c r="D116" i="10"/>
  <c r="C116" i="10"/>
  <c r="U115" i="10"/>
  <c r="T115" i="10"/>
  <c r="S115" i="10"/>
  <c r="J114" i="10"/>
  <c r="I114" i="10"/>
  <c r="H114" i="10"/>
  <c r="G114" i="10"/>
  <c r="F114" i="10"/>
  <c r="E114" i="10"/>
  <c r="U114" i="10" s="1"/>
  <c r="D114" i="10"/>
  <c r="C114" i="10"/>
  <c r="I113" i="10"/>
  <c r="H113" i="10"/>
  <c r="G113" i="10"/>
  <c r="T113" i="10" s="1"/>
  <c r="F113" i="10"/>
  <c r="U112" i="10"/>
  <c r="T112" i="10"/>
  <c r="S112" i="10"/>
  <c r="C111" i="10"/>
  <c r="I110" i="10"/>
  <c r="H110" i="10"/>
  <c r="G110" i="10"/>
  <c r="F110" i="10"/>
  <c r="E110" i="10"/>
  <c r="D110" i="10"/>
  <c r="C110" i="10"/>
  <c r="U109" i="10"/>
  <c r="T109" i="10"/>
  <c r="S109" i="10"/>
  <c r="U108" i="10"/>
  <c r="T108" i="10"/>
  <c r="S108" i="10"/>
  <c r="J107" i="10"/>
  <c r="I107" i="10"/>
  <c r="H107" i="10"/>
  <c r="G107" i="10"/>
  <c r="F107" i="10"/>
  <c r="E107" i="10"/>
  <c r="D107" i="10"/>
  <c r="C107" i="10"/>
  <c r="U106" i="10"/>
  <c r="T106" i="10"/>
  <c r="S106" i="10"/>
  <c r="T105" i="10"/>
  <c r="H105" i="10"/>
  <c r="F105" i="10"/>
  <c r="E105" i="10"/>
  <c r="H104" i="10"/>
  <c r="S104" i="10" s="1"/>
  <c r="G104" i="10"/>
  <c r="U104" i="10" s="1"/>
  <c r="J103" i="10"/>
  <c r="I103" i="10"/>
  <c r="H103" i="10"/>
  <c r="G103" i="10"/>
  <c r="U102" i="10"/>
  <c r="T102" i="10"/>
  <c r="S102" i="10"/>
  <c r="U101" i="10"/>
  <c r="T101" i="10"/>
  <c r="S101" i="10"/>
  <c r="U100" i="10"/>
  <c r="T100" i="10"/>
  <c r="S100" i="10"/>
  <c r="U99" i="10"/>
  <c r="T99" i="10"/>
  <c r="S99" i="10"/>
  <c r="U98" i="10"/>
  <c r="T98" i="10"/>
  <c r="S98" i="10"/>
  <c r="U97" i="10"/>
  <c r="T97" i="10"/>
  <c r="S97" i="10"/>
  <c r="T96" i="10"/>
  <c r="N96" i="10"/>
  <c r="M96" i="10"/>
  <c r="L96" i="10"/>
  <c r="K96" i="10"/>
  <c r="J96" i="10"/>
  <c r="I96" i="10"/>
  <c r="H96" i="10"/>
  <c r="G96" i="10"/>
  <c r="F96" i="10"/>
  <c r="E96" i="10"/>
  <c r="D96" i="10"/>
  <c r="C96" i="10"/>
  <c r="S96" i="10" s="1"/>
  <c r="U95" i="10"/>
  <c r="T95" i="10"/>
  <c r="S95" i="10"/>
  <c r="U94" i="10"/>
  <c r="T94" i="10"/>
  <c r="S94" i="10"/>
  <c r="U93" i="10"/>
  <c r="T93" i="10"/>
  <c r="S93" i="10"/>
  <c r="U92" i="10"/>
  <c r="T92" i="10"/>
  <c r="S92" i="10"/>
  <c r="U91" i="10"/>
  <c r="T91" i="10"/>
  <c r="S91" i="10"/>
  <c r="U90" i="10"/>
  <c r="T90" i="10"/>
  <c r="S90" i="10"/>
  <c r="U89" i="10"/>
  <c r="S89" i="10"/>
  <c r="H89" i="10"/>
  <c r="T89" i="10" s="1"/>
  <c r="I88" i="10"/>
  <c r="G88" i="10"/>
  <c r="F88" i="10"/>
  <c r="E88" i="10"/>
  <c r="D88" i="10"/>
  <c r="C88" i="10"/>
  <c r="I87" i="10"/>
  <c r="H87" i="10"/>
  <c r="G87" i="10"/>
  <c r="F87" i="10"/>
  <c r="E87" i="10"/>
  <c r="D87" i="10"/>
  <c r="C87" i="10"/>
  <c r="U87" i="10" s="1"/>
  <c r="T86" i="10"/>
  <c r="J86" i="10"/>
  <c r="I86" i="10"/>
  <c r="H86" i="10"/>
  <c r="G86" i="10"/>
  <c r="F86" i="10"/>
  <c r="E86" i="10"/>
  <c r="C86" i="10"/>
  <c r="J85" i="10"/>
  <c r="H85" i="10"/>
  <c r="D85" i="10"/>
  <c r="C85" i="10"/>
  <c r="U84" i="10"/>
  <c r="H84" i="10"/>
  <c r="G84" i="10"/>
  <c r="E84" i="10"/>
  <c r="T84" i="10" s="1"/>
  <c r="N83" i="10"/>
  <c r="M83" i="10"/>
  <c r="L83" i="10"/>
  <c r="K83" i="10"/>
  <c r="J83" i="10"/>
  <c r="I83" i="10"/>
  <c r="H83" i="10"/>
  <c r="G83" i="10"/>
  <c r="F83" i="10"/>
  <c r="E83" i="10"/>
  <c r="D83" i="10"/>
  <c r="C83" i="10"/>
  <c r="K82" i="10"/>
  <c r="J82" i="10"/>
  <c r="I82" i="10"/>
  <c r="H82" i="10"/>
  <c r="G82" i="10"/>
  <c r="F82" i="10"/>
  <c r="E82" i="10"/>
  <c r="D82" i="10"/>
  <c r="C82" i="10"/>
  <c r="H81" i="10"/>
  <c r="G81" i="10"/>
  <c r="F81" i="10"/>
  <c r="E81" i="10"/>
  <c r="D81" i="10"/>
  <c r="C81" i="10"/>
  <c r="U81" i="10" s="1"/>
  <c r="I80" i="10"/>
  <c r="H80" i="10"/>
  <c r="G80" i="10"/>
  <c r="F80" i="10"/>
  <c r="S80" i="10" s="1"/>
  <c r="E80" i="10"/>
  <c r="D80" i="10"/>
  <c r="C80" i="10"/>
  <c r="U79" i="10"/>
  <c r="H79" i="10"/>
  <c r="G79" i="10"/>
  <c r="F79" i="10"/>
  <c r="E79" i="10"/>
  <c r="D79" i="10"/>
  <c r="C79" i="10"/>
  <c r="J78" i="10"/>
  <c r="I78" i="10"/>
  <c r="H78" i="10"/>
  <c r="G78" i="10"/>
  <c r="F78" i="10"/>
  <c r="E78" i="10"/>
  <c r="D78" i="10"/>
  <c r="C78" i="10"/>
  <c r="U77" i="10"/>
  <c r="G77" i="10"/>
  <c r="F77" i="10"/>
  <c r="E77" i="10"/>
  <c r="D77" i="10"/>
  <c r="T77" i="10" s="1"/>
  <c r="C77" i="10"/>
  <c r="H76" i="10"/>
  <c r="G76" i="10"/>
  <c r="F76" i="10"/>
  <c r="E76" i="10"/>
  <c r="D76" i="10"/>
  <c r="C76" i="10"/>
  <c r="U76" i="10" s="1"/>
  <c r="J75" i="10"/>
  <c r="I75" i="10"/>
  <c r="H75" i="10"/>
  <c r="G75" i="10"/>
  <c r="F75" i="10"/>
  <c r="E75" i="10"/>
  <c r="D75" i="10"/>
  <c r="C75" i="10"/>
  <c r="U74" i="10"/>
  <c r="I74" i="10"/>
  <c r="H74" i="10"/>
  <c r="G74" i="10"/>
  <c r="F74" i="10"/>
  <c r="E74" i="10"/>
  <c r="D74" i="10"/>
  <c r="C74" i="10"/>
  <c r="T74" i="10" s="1"/>
  <c r="U73" i="10"/>
  <c r="T73" i="10"/>
  <c r="S73" i="10"/>
  <c r="H72" i="10"/>
  <c r="G72" i="10"/>
  <c r="F72" i="10"/>
  <c r="E72" i="10"/>
  <c r="D72" i="10"/>
  <c r="C72" i="10"/>
  <c r="U72" i="10" s="1"/>
  <c r="H71" i="10"/>
  <c r="G71" i="10"/>
  <c r="F71" i="10"/>
  <c r="E71" i="10"/>
  <c r="S71" i="10" s="1"/>
  <c r="D71" i="10"/>
  <c r="C71" i="10"/>
  <c r="U71" i="10" s="1"/>
  <c r="T70" i="10"/>
  <c r="J70" i="10"/>
  <c r="I70" i="10"/>
  <c r="H70" i="10"/>
  <c r="G70" i="10"/>
  <c r="F70" i="10"/>
  <c r="E70" i="10"/>
  <c r="D70" i="10"/>
  <c r="C70" i="10"/>
  <c r="S70" i="10" s="1"/>
  <c r="H69" i="10"/>
  <c r="G69" i="10"/>
  <c r="F69" i="10"/>
  <c r="E69" i="10"/>
  <c r="S69" i="10" s="1"/>
  <c r="D69" i="10"/>
  <c r="C69" i="10"/>
  <c r="U69" i="10" s="1"/>
  <c r="T68" i="10"/>
  <c r="M68" i="10"/>
  <c r="L68" i="10"/>
  <c r="K68" i="10"/>
  <c r="J68" i="10"/>
  <c r="I68" i="10"/>
  <c r="H68" i="10"/>
  <c r="G68" i="10"/>
  <c r="F68" i="10"/>
  <c r="E68" i="10"/>
  <c r="D68" i="10"/>
  <c r="C68" i="10"/>
  <c r="U67" i="10"/>
  <c r="T67" i="10"/>
  <c r="S67" i="10"/>
  <c r="U66" i="10"/>
  <c r="T66" i="10"/>
  <c r="S66" i="10"/>
  <c r="L65" i="10"/>
  <c r="K65" i="10"/>
  <c r="J65" i="10"/>
  <c r="I65" i="10"/>
  <c r="H65" i="10"/>
  <c r="G65" i="10"/>
  <c r="F65" i="10"/>
  <c r="T65" i="10" s="1"/>
  <c r="E65" i="10"/>
  <c r="D65" i="10"/>
  <c r="S65" i="10" s="1"/>
  <c r="C65" i="10"/>
  <c r="U65" i="10" s="1"/>
  <c r="H64" i="10"/>
  <c r="D64" i="10"/>
  <c r="U64" i="10" s="1"/>
  <c r="C64" i="10"/>
  <c r="T64" i="10" s="1"/>
  <c r="U63" i="10"/>
  <c r="T63" i="10"/>
  <c r="S63" i="10"/>
  <c r="U62" i="10"/>
  <c r="T62" i="10"/>
  <c r="S62" i="10"/>
  <c r="U61" i="10"/>
  <c r="I61" i="10"/>
  <c r="H61" i="10"/>
  <c r="G61" i="10"/>
  <c r="F61" i="10"/>
  <c r="E61" i="10"/>
  <c r="D61" i="10"/>
  <c r="S61" i="10" s="1"/>
  <c r="C61" i="10"/>
  <c r="H60" i="10"/>
  <c r="G60" i="10"/>
  <c r="F60" i="10"/>
  <c r="E60" i="10"/>
  <c r="S60" i="10" s="1"/>
  <c r="D60" i="10"/>
  <c r="C60" i="10"/>
  <c r="H59" i="10"/>
  <c r="G59" i="10"/>
  <c r="F59" i="10"/>
  <c r="T59" i="10" s="1"/>
  <c r="E59" i="10"/>
  <c r="D59" i="10"/>
  <c r="S59" i="10" s="1"/>
  <c r="C59" i="10"/>
  <c r="U59" i="10" s="1"/>
  <c r="J58" i="10"/>
  <c r="I58" i="10"/>
  <c r="H58" i="10"/>
  <c r="G58" i="10"/>
  <c r="F58" i="10"/>
  <c r="E58" i="10"/>
  <c r="U58" i="10" s="1"/>
  <c r="D58" i="10"/>
  <c r="C58" i="10"/>
  <c r="J57" i="10"/>
  <c r="I57" i="10"/>
  <c r="G57" i="10"/>
  <c r="T57" i="10" s="1"/>
  <c r="F57" i="10"/>
  <c r="D57" i="10"/>
  <c r="S57" i="10" s="1"/>
  <c r="C57" i="10"/>
  <c r="U57" i="10" s="1"/>
  <c r="I56" i="10"/>
  <c r="H56" i="10"/>
  <c r="G56" i="10"/>
  <c r="F56" i="10"/>
  <c r="E56" i="10"/>
  <c r="D56" i="10"/>
  <c r="U56" i="10" s="1"/>
  <c r="C56" i="10"/>
  <c r="T56" i="10" s="1"/>
  <c r="H55" i="10"/>
  <c r="G55" i="10"/>
  <c r="F55" i="10"/>
  <c r="E55" i="10"/>
  <c r="S55" i="10" s="1"/>
  <c r="D55" i="10"/>
  <c r="C55" i="10"/>
  <c r="U55" i="10" s="1"/>
  <c r="T54" i="10"/>
  <c r="H54" i="10"/>
  <c r="G54" i="10"/>
  <c r="F54" i="10"/>
  <c r="D54" i="10"/>
  <c r="C54" i="10"/>
  <c r="I53" i="10"/>
  <c r="H53" i="10"/>
  <c r="G53" i="10"/>
  <c r="T53" i="10" s="1"/>
  <c r="F53" i="10"/>
  <c r="U52" i="10"/>
  <c r="T52" i="10"/>
  <c r="S52" i="10"/>
  <c r="J51" i="10"/>
  <c r="I51" i="10"/>
  <c r="G51" i="10"/>
  <c r="F51" i="10"/>
  <c r="E51" i="10"/>
  <c r="D51" i="10"/>
  <c r="U51" i="10" s="1"/>
  <c r="I50" i="10"/>
  <c r="H50" i="10"/>
  <c r="G50" i="10"/>
  <c r="F50" i="10"/>
  <c r="S50" i="10" s="1"/>
  <c r="E50" i="10"/>
  <c r="D50" i="10"/>
  <c r="C50" i="10"/>
  <c r="U49" i="10"/>
  <c r="I49" i="10"/>
  <c r="H49" i="10"/>
  <c r="G49" i="10"/>
  <c r="F49" i="10"/>
  <c r="E49" i="10"/>
  <c r="C49" i="10"/>
  <c r="U48" i="10"/>
  <c r="T48" i="10"/>
  <c r="S48" i="10"/>
  <c r="U47" i="10"/>
  <c r="T47" i="10"/>
  <c r="S47" i="10"/>
  <c r="K46" i="10"/>
  <c r="J46" i="10"/>
  <c r="I46" i="10"/>
  <c r="H46" i="10"/>
  <c r="G46" i="10"/>
  <c r="F46" i="10"/>
  <c r="E46" i="10"/>
  <c r="T46" i="10" s="1"/>
  <c r="D46" i="10"/>
  <c r="C46" i="10"/>
  <c r="T45" i="10"/>
  <c r="G45" i="10"/>
  <c r="E45" i="10"/>
  <c r="C45" i="10"/>
  <c r="M44" i="10"/>
  <c r="L44" i="10"/>
  <c r="K44" i="10"/>
  <c r="J44" i="10"/>
  <c r="I44" i="10"/>
  <c r="H44" i="10"/>
  <c r="G44" i="10"/>
  <c r="F44" i="10"/>
  <c r="E44" i="10"/>
  <c r="D44" i="10"/>
  <c r="C44" i="10"/>
  <c r="I43" i="10"/>
  <c r="H43" i="10"/>
  <c r="G43" i="10"/>
  <c r="F43" i="10"/>
  <c r="E43" i="10"/>
  <c r="H42" i="10"/>
  <c r="S42" i="10" s="1"/>
  <c r="E42" i="10"/>
  <c r="U42" i="10" s="1"/>
  <c r="C42" i="10"/>
  <c r="T42" i="10" s="1"/>
  <c r="H41" i="10"/>
  <c r="G41" i="10"/>
  <c r="F41" i="10"/>
  <c r="T41" i="10" s="1"/>
  <c r="E41" i="10"/>
  <c r="D41" i="10"/>
  <c r="C41" i="10"/>
  <c r="U41" i="10" s="1"/>
  <c r="U40" i="10"/>
  <c r="T40" i="10"/>
  <c r="S40" i="10"/>
  <c r="U39" i="10"/>
  <c r="T39" i="10"/>
  <c r="S39" i="10"/>
  <c r="J38" i="10"/>
  <c r="I38" i="10"/>
  <c r="H38" i="10"/>
  <c r="G38" i="10"/>
  <c r="S38" i="10" s="1"/>
  <c r="F38" i="10"/>
  <c r="C38" i="10"/>
  <c r="U38" i="10" s="1"/>
  <c r="I37" i="10"/>
  <c r="H37" i="10"/>
  <c r="G37" i="10"/>
  <c r="F37" i="10"/>
  <c r="E37" i="10"/>
  <c r="D37" i="10"/>
  <c r="C37" i="10"/>
  <c r="U37" i="10" s="1"/>
  <c r="K36" i="10"/>
  <c r="J36" i="10"/>
  <c r="I36" i="10"/>
  <c r="H36" i="10"/>
  <c r="G36" i="10"/>
  <c r="F36" i="10"/>
  <c r="E36" i="10"/>
  <c r="D36" i="10"/>
  <c r="C36" i="10"/>
  <c r="T36" i="10" s="1"/>
  <c r="H35" i="10"/>
  <c r="F35" i="10"/>
  <c r="D35" i="10"/>
  <c r="C35" i="10"/>
  <c r="T35" i="10" s="1"/>
  <c r="O34" i="10"/>
  <c r="N34" i="10"/>
  <c r="M34" i="10"/>
  <c r="L34" i="10"/>
  <c r="K34" i="10"/>
  <c r="J34" i="10"/>
  <c r="U34" i="10" s="1"/>
  <c r="C34" i="10"/>
  <c r="S34" i="10" s="1"/>
  <c r="H33" i="10"/>
  <c r="G33" i="10"/>
  <c r="F33" i="10"/>
  <c r="E33" i="10"/>
  <c r="T33" i="10" s="1"/>
  <c r="D33" i="10"/>
  <c r="C33" i="10"/>
  <c r="U33" i="10" s="1"/>
  <c r="I32" i="10"/>
  <c r="H32" i="10"/>
  <c r="G32" i="10"/>
  <c r="F32" i="10"/>
  <c r="E32" i="10"/>
  <c r="D32" i="10"/>
  <c r="C32" i="10"/>
  <c r="U32" i="10" s="1"/>
  <c r="U31" i="10"/>
  <c r="T31" i="10"/>
  <c r="S31" i="10"/>
  <c r="L30" i="10"/>
  <c r="K30" i="10"/>
  <c r="I30" i="10"/>
  <c r="H30" i="10"/>
  <c r="G30" i="10"/>
  <c r="F30" i="10"/>
  <c r="U30" i="10" s="1"/>
  <c r="D30" i="10"/>
  <c r="T30" i="10" s="1"/>
  <c r="C30" i="10"/>
  <c r="S30" i="10" s="1"/>
  <c r="U29" i="10"/>
  <c r="T29" i="10"/>
  <c r="S29" i="10"/>
  <c r="T28" i="10"/>
  <c r="S28" i="10"/>
  <c r="I28" i="10"/>
  <c r="H28" i="10"/>
  <c r="G28" i="10"/>
  <c r="U28" i="10" s="1"/>
  <c r="H27" i="10"/>
  <c r="G27" i="10"/>
  <c r="F27" i="10"/>
  <c r="E27" i="10"/>
  <c r="D27" i="10"/>
  <c r="C27" i="10"/>
  <c r="S27" i="10" s="1"/>
  <c r="U26" i="10"/>
  <c r="T26" i="10"/>
  <c r="S26" i="10"/>
  <c r="U25" i="10"/>
  <c r="T25" i="10"/>
  <c r="S25" i="10"/>
  <c r="O24" i="10"/>
  <c r="N24" i="10"/>
  <c r="M24" i="10"/>
  <c r="L24" i="10"/>
  <c r="K24" i="10"/>
  <c r="J24" i="10"/>
  <c r="I24" i="10"/>
  <c r="U24" i="10" s="1"/>
  <c r="H24" i="10"/>
  <c r="S24" i="10" s="1"/>
  <c r="G24" i="10"/>
  <c r="U23" i="10"/>
  <c r="T23" i="10"/>
  <c r="S23" i="10"/>
  <c r="T22" i="10"/>
  <c r="S22" i="10"/>
  <c r="H22" i="10"/>
  <c r="U22" i="10" s="1"/>
  <c r="U21" i="10"/>
  <c r="T21" i="10"/>
  <c r="S21" i="10"/>
  <c r="U20" i="10"/>
  <c r="T20" i="10"/>
  <c r="S20" i="10"/>
  <c r="K19" i="10"/>
  <c r="J19" i="10"/>
  <c r="I19" i="10"/>
  <c r="H19" i="10"/>
  <c r="G19" i="10"/>
  <c r="F19" i="10"/>
  <c r="S19" i="10" s="1"/>
  <c r="U18" i="10"/>
  <c r="T18" i="10"/>
  <c r="S18" i="10"/>
  <c r="H17" i="10"/>
  <c r="G17" i="10"/>
  <c r="F17" i="10"/>
  <c r="E17" i="10"/>
  <c r="D17" i="10"/>
  <c r="C17" i="10"/>
  <c r="S17" i="10" s="1"/>
  <c r="U16" i="10"/>
  <c r="T16" i="10"/>
  <c r="S16" i="10"/>
  <c r="U15" i="10"/>
  <c r="I15" i="10"/>
  <c r="H15" i="10"/>
  <c r="S15" i="10" s="1"/>
  <c r="I14" i="10"/>
  <c r="H14" i="10"/>
  <c r="G14" i="10"/>
  <c r="F14" i="10"/>
  <c r="E14" i="10"/>
  <c r="S14" i="10" s="1"/>
  <c r="D14" i="10"/>
  <c r="C14" i="10"/>
  <c r="T14" i="10" s="1"/>
  <c r="U13" i="10"/>
  <c r="T13" i="10"/>
  <c r="S13" i="10"/>
  <c r="I12" i="10"/>
  <c r="H12" i="10"/>
  <c r="G12" i="10"/>
  <c r="F12" i="10"/>
  <c r="S12" i="10" s="1"/>
  <c r="E12" i="10"/>
  <c r="D12" i="10"/>
  <c r="C12" i="10"/>
  <c r="U12" i="10" s="1"/>
  <c r="U11" i="10"/>
  <c r="T11" i="10"/>
  <c r="S11" i="10"/>
  <c r="H10" i="10"/>
  <c r="G10" i="10"/>
  <c r="F10" i="10"/>
  <c r="T10" i="10" s="1"/>
  <c r="E10" i="10"/>
  <c r="D10" i="10"/>
  <c r="C10" i="10"/>
  <c r="U10" i="10" s="1"/>
  <c r="H9" i="10"/>
  <c r="G9" i="10"/>
  <c r="U9" i="10" s="1"/>
  <c r="F9" i="10"/>
  <c r="S9" i="10" s="1"/>
  <c r="U8" i="10"/>
  <c r="T8" i="10"/>
  <c r="S8" i="10"/>
  <c r="J7" i="10"/>
  <c r="I7" i="10"/>
  <c r="H7" i="10"/>
  <c r="G7" i="10"/>
  <c r="F7" i="10"/>
  <c r="E7" i="10"/>
  <c r="D7" i="10"/>
  <c r="C7" i="10"/>
  <c r="T7" i="10" s="1"/>
  <c r="U6" i="10"/>
  <c r="T6" i="10"/>
  <c r="S6" i="10"/>
  <c r="T5" i="10"/>
  <c r="H5" i="10"/>
  <c r="G5" i="10"/>
  <c r="F5" i="10"/>
  <c r="E5" i="10"/>
  <c r="D5" i="10"/>
  <c r="C5" i="10"/>
  <c r="U5" i="10" s="1"/>
  <c r="I4" i="10"/>
  <c r="H4" i="10"/>
  <c r="G4" i="10"/>
  <c r="F4" i="10"/>
  <c r="E4" i="10"/>
  <c r="D4" i="10"/>
  <c r="U4" i="10" s="1"/>
  <c r="C4" i="10"/>
  <c r="S4" i="10" s="1"/>
  <c r="U3" i="10"/>
  <c r="T3" i="10"/>
  <c r="S3" i="10"/>
  <c r="U2" i="10"/>
  <c r="T2" i="10"/>
  <c r="S2" i="10"/>
  <c r="U27" i="10" l="1"/>
  <c r="S33" i="10"/>
  <c r="S7" i="10"/>
  <c r="T4" i="10"/>
  <c r="S5" i="10"/>
  <c r="U7" i="10"/>
  <c r="T9" i="10"/>
  <c r="S10" i="10"/>
  <c r="U14" i="10"/>
  <c r="T15" i="10"/>
  <c r="T17" i="10"/>
  <c r="T19" i="10"/>
  <c r="T27" i="10"/>
  <c r="S32" i="10"/>
  <c r="T34" i="10"/>
  <c r="U35" i="10"/>
  <c r="U36" i="10"/>
  <c r="S37" i="10"/>
  <c r="S41" i="10"/>
  <c r="U44" i="10"/>
  <c r="T44" i="10"/>
  <c r="S44" i="10"/>
  <c r="S54" i="10"/>
  <c r="T58" i="10"/>
  <c r="U60" i="10"/>
  <c r="U82" i="10"/>
  <c r="T82" i="10"/>
  <c r="S82" i="10"/>
  <c r="U103" i="10"/>
  <c r="T103" i="10"/>
  <c r="S103" i="10"/>
  <c r="U110" i="10"/>
  <c r="T114" i="10"/>
  <c r="T116" i="10"/>
  <c r="S116" i="10"/>
  <c r="U124" i="10"/>
  <c r="U128" i="10"/>
  <c r="S130" i="10"/>
  <c r="U130" i="10"/>
  <c r="U131" i="10"/>
  <c r="S155" i="10"/>
  <c r="U173" i="10"/>
  <c r="U175" i="10"/>
  <c r="T177" i="10"/>
  <c r="S177" i="10"/>
  <c r="U186" i="10"/>
  <c r="T186" i="10"/>
  <c r="S186" i="10"/>
  <c r="U198" i="10"/>
  <c r="T37" i="10"/>
  <c r="U43" i="10"/>
  <c r="U83" i="10"/>
  <c r="T83" i="10"/>
  <c r="S83" i="10"/>
  <c r="T88" i="10"/>
  <c r="S88" i="10"/>
  <c r="U126" i="10"/>
  <c r="T126" i="10"/>
  <c r="S126" i="10"/>
  <c r="S134" i="10"/>
  <c r="U134" i="10"/>
  <c r="U146" i="10"/>
  <c r="T146" i="10"/>
  <c r="S146" i="10"/>
  <c r="S183" i="10"/>
  <c r="U183" i="10"/>
  <c r="T32" i="10"/>
  <c r="T12" i="10"/>
  <c r="S35" i="10"/>
  <c r="S36" i="10"/>
  <c r="T38" i="10"/>
  <c r="S43" i="10"/>
  <c r="U50" i="10"/>
  <c r="S68" i="10"/>
  <c r="U68" i="10"/>
  <c r="S75" i="10"/>
  <c r="T76" i="10"/>
  <c r="S76" i="10"/>
  <c r="U80" i="10"/>
  <c r="U85" i="10"/>
  <c r="S86" i="10"/>
  <c r="U86" i="10"/>
  <c r="U107" i="10"/>
  <c r="T122" i="10"/>
  <c r="S122" i="10"/>
  <c r="S142" i="10"/>
  <c r="S163" i="10"/>
  <c r="S165" i="10"/>
  <c r="U167" i="10"/>
  <c r="U168" i="10"/>
  <c r="T168" i="10"/>
  <c r="S168" i="10"/>
  <c r="U180" i="10"/>
  <c r="S181" i="10"/>
  <c r="U181" i="10"/>
  <c r="U200" i="10"/>
  <c r="U17" i="10"/>
  <c r="U19" i="10"/>
  <c r="T24" i="10"/>
  <c r="T43" i="10"/>
  <c r="S45" i="10"/>
  <c r="U45" i="10"/>
  <c r="S46" i="10"/>
  <c r="T49" i="10"/>
  <c r="S49" i="10"/>
  <c r="S53" i="10"/>
  <c r="T61" i="10"/>
  <c r="U75" i="10"/>
  <c r="U78" i="10"/>
  <c r="T79" i="10"/>
  <c r="S79" i="10"/>
  <c r="U88" i="10"/>
  <c r="S105" i="10"/>
  <c r="U105" i="10"/>
  <c r="U111" i="10"/>
  <c r="T111" i="10"/>
  <c r="S111" i="10"/>
  <c r="S113" i="10"/>
  <c r="S117" i="10"/>
  <c r="U125" i="10"/>
  <c r="T132" i="10"/>
  <c r="S132" i="10"/>
  <c r="T141" i="10"/>
  <c r="S141" i="10"/>
  <c r="U153" i="10"/>
  <c r="S169" i="10"/>
  <c r="U169" i="10"/>
  <c r="U170" i="10"/>
  <c r="S174" i="10"/>
  <c r="U176" i="10"/>
  <c r="T176" i="10"/>
  <c r="S176" i="10"/>
  <c r="U178" i="10"/>
  <c r="T179" i="10"/>
  <c r="S179" i="10"/>
  <c r="U195" i="10"/>
  <c r="S198" i="10"/>
  <c r="U46" i="10"/>
  <c r="T50" i="10"/>
  <c r="S51" i="10"/>
  <c r="U53" i="10"/>
  <c r="U54" i="10"/>
  <c r="T55" i="10"/>
  <c r="T60" i="10"/>
  <c r="T69" i="10"/>
  <c r="U70" i="10"/>
  <c r="T71" i="10"/>
  <c r="S72" i="10"/>
  <c r="S78" i="10"/>
  <c r="T80" i="10"/>
  <c r="S81" i="10"/>
  <c r="S85" i="10"/>
  <c r="S87" i="10"/>
  <c r="U96" i="10"/>
  <c r="S107" i="10"/>
  <c r="S110" i="10"/>
  <c r="U113" i="10"/>
  <c r="U117" i="10"/>
  <c r="T118" i="10"/>
  <c r="U123" i="10"/>
  <c r="T124" i="10"/>
  <c r="S125" i="10"/>
  <c r="S131" i="10"/>
  <c r="U142" i="10"/>
  <c r="T152" i="10"/>
  <c r="T153" i="10"/>
  <c r="U155" i="10"/>
  <c r="T156" i="10"/>
  <c r="T157" i="10"/>
  <c r="S159" i="10"/>
  <c r="U163" i="10"/>
  <c r="U165" i="10"/>
  <c r="S167" i="10"/>
  <c r="T173" i="10"/>
  <c r="U174" i="10"/>
  <c r="S175" i="10"/>
  <c r="S178" i="10"/>
  <c r="S180" i="10"/>
  <c r="S182" i="10"/>
  <c r="S185" i="10"/>
  <c r="S189" i="10"/>
  <c r="U193" i="10"/>
  <c r="S195" i="10"/>
  <c r="S200" i="10"/>
  <c r="S204" i="10"/>
  <c r="T51" i="10"/>
  <c r="S56" i="10"/>
  <c r="S58" i="10"/>
  <c r="S64" i="10"/>
  <c r="T72" i="10"/>
  <c r="S74" i="10"/>
  <c r="T75" i="10"/>
  <c r="S77" i="10"/>
  <c r="T78" i="10"/>
  <c r="T81" i="10"/>
  <c r="S84" i="10"/>
  <c r="T85" i="10"/>
  <c r="T87" i="10"/>
  <c r="T104" i="10"/>
  <c r="T107" i="10"/>
  <c r="T110" i="10"/>
  <c r="S114" i="10"/>
  <c r="T125" i="10"/>
  <c r="T131" i="10"/>
  <c r="S144" i="10"/>
  <c r="T159" i="10"/>
  <c r="S164" i="10"/>
  <c r="S166" i="10"/>
  <c r="T167" i="10"/>
  <c r="T170" i="10"/>
  <c r="T175" i="10"/>
  <c r="T178" i="10"/>
  <c r="T180" i="10"/>
  <c r="T182" i="10"/>
  <c r="T185" i="10"/>
  <c r="T187" i="10"/>
  <c r="T189" i="10"/>
  <c r="T195" i="10"/>
  <c r="S199" i="10"/>
  <c r="T200" i="10"/>
  <c r="D1" i="4"/>
  <c r="K1" i="4" s="1"/>
  <c r="D2" i="4"/>
  <c r="K2" i="4" s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H96" i="4" s="1"/>
  <c r="D97" i="4"/>
  <c r="G97" i="4" s="1"/>
  <c r="D98" i="4"/>
  <c r="D99" i="4"/>
  <c r="D100" i="4"/>
  <c r="I100" i="4" s="1"/>
  <c r="D101" i="4"/>
  <c r="J101" i="4" s="1"/>
  <c r="D102" i="4"/>
  <c r="H102" i="4" s="1"/>
  <c r="D103" i="4"/>
  <c r="D104" i="4"/>
  <c r="I104" i="4" s="1"/>
  <c r="D105" i="4"/>
  <c r="F105" i="4" s="1"/>
  <c r="D106" i="4"/>
  <c r="D107" i="4"/>
  <c r="D108" i="4"/>
  <c r="I108" i="4" s="1"/>
  <c r="D109" i="4"/>
  <c r="H109" i="4" s="1"/>
  <c r="D110" i="4"/>
  <c r="D111" i="4"/>
  <c r="D112" i="4"/>
  <c r="F112" i="4" s="1"/>
  <c r="D113" i="4"/>
  <c r="D114" i="4"/>
  <c r="H114" i="4" s="1"/>
  <c r="D115" i="4"/>
  <c r="D116" i="4"/>
  <c r="I116" i="4" s="1"/>
  <c r="D117" i="4"/>
  <c r="D118" i="4"/>
  <c r="D119" i="4"/>
  <c r="D120" i="4"/>
  <c r="H120" i="4" s="1"/>
  <c r="D121" i="4"/>
  <c r="G121" i="4" s="1"/>
  <c r="D122" i="4"/>
  <c r="D123" i="4"/>
  <c r="D124" i="4"/>
  <c r="D125" i="4"/>
  <c r="K125" i="4" s="1"/>
  <c r="D126" i="4"/>
  <c r="H126" i="4" s="1"/>
  <c r="D127" i="4"/>
  <c r="D128" i="4"/>
  <c r="H128" i="4" s="1"/>
  <c r="D129" i="4"/>
  <c r="J129" i="4" s="1"/>
  <c r="D130" i="4"/>
  <c r="I130" i="4" s="1"/>
  <c r="D131" i="4"/>
  <c r="D132" i="4"/>
  <c r="F132" i="4" s="1"/>
  <c r="D133" i="4"/>
  <c r="K133" i="4" s="1"/>
  <c r="D134" i="4"/>
  <c r="F134" i="4" s="1"/>
  <c r="D135" i="4"/>
  <c r="D136" i="4"/>
  <c r="J136" i="4" s="1"/>
  <c r="D137" i="4"/>
  <c r="H137" i="4" s="1"/>
  <c r="D138" i="4"/>
  <c r="I138" i="4" s="1"/>
  <c r="D139" i="4"/>
  <c r="D140" i="4"/>
  <c r="H140" i="4" s="1"/>
  <c r="D141" i="4"/>
  <c r="F141" i="4" s="1"/>
  <c r="D142" i="4"/>
  <c r="D143" i="4"/>
  <c r="D144" i="4"/>
  <c r="I144" i="4" s="1"/>
  <c r="D145" i="4"/>
  <c r="J145" i="4" s="1"/>
  <c r="D146" i="4"/>
  <c r="H146" i="4" s="1"/>
  <c r="D147" i="4"/>
  <c r="D148" i="4"/>
  <c r="F148" i="4" s="1"/>
  <c r="D149" i="4"/>
  <c r="K149" i="4" s="1"/>
  <c r="D150" i="4"/>
  <c r="F150" i="4" s="1"/>
  <c r="D151" i="4"/>
  <c r="D152" i="4"/>
  <c r="J152" i="4" s="1"/>
  <c r="D153" i="4"/>
  <c r="H153" i="4" s="1"/>
  <c r="D154" i="4"/>
  <c r="D155" i="4"/>
  <c r="G155" i="4" s="1"/>
  <c r="D156" i="4"/>
  <c r="H156" i="4" s="1"/>
  <c r="D157" i="4"/>
  <c r="F157" i="4" s="1"/>
  <c r="D158" i="4"/>
  <c r="J158" i="4" s="1"/>
  <c r="D159" i="4"/>
  <c r="D160" i="4"/>
  <c r="I160" i="4" s="1"/>
  <c r="D161" i="4"/>
  <c r="J161" i="4" s="1"/>
  <c r="D162" i="4"/>
  <c r="H162" i="4" s="1"/>
  <c r="D163" i="4"/>
  <c r="D164" i="4"/>
  <c r="F164" i="4" s="1"/>
  <c r="D165" i="4"/>
  <c r="K165" i="4" s="1"/>
  <c r="D166" i="4"/>
  <c r="F166" i="4" s="1"/>
  <c r="D167" i="4"/>
  <c r="J167" i="4" s="1"/>
  <c r="D168" i="4"/>
  <c r="J168" i="4" s="1"/>
  <c r="D169" i="4"/>
  <c r="H169" i="4" s="1"/>
  <c r="D170" i="4"/>
  <c r="D171" i="4"/>
  <c r="G171" i="4" s="1"/>
  <c r="D172" i="4"/>
  <c r="H172" i="4" s="1"/>
  <c r="D173" i="4"/>
  <c r="F173" i="4" s="1"/>
  <c r="D174" i="4"/>
  <c r="F174" i="4" s="1"/>
  <c r="D175" i="4"/>
  <c r="D176" i="4"/>
  <c r="I176" i="4" s="1"/>
  <c r="D177" i="4"/>
  <c r="J177" i="4" s="1"/>
  <c r="D178" i="4"/>
  <c r="I178" i="4" s="1"/>
  <c r="D179" i="4"/>
  <c r="D180" i="4"/>
  <c r="F180" i="4" s="1"/>
  <c r="D181" i="4"/>
  <c r="J181" i="4" s="1"/>
  <c r="D182" i="4"/>
  <c r="J182" i="4" s="1"/>
  <c r="D183" i="4"/>
  <c r="K183" i="4" s="1"/>
  <c r="D184" i="4"/>
  <c r="J184" i="4" s="1"/>
  <c r="D185" i="4"/>
  <c r="G185" i="4" s="1"/>
  <c r="D186" i="4"/>
  <c r="F186" i="4" s="1"/>
  <c r="D187" i="4"/>
  <c r="G187" i="4" s="1"/>
  <c r="D188" i="4"/>
  <c r="H188" i="4" s="1"/>
  <c r="D189" i="4"/>
  <c r="K189" i="4" s="1"/>
  <c r="D190" i="4"/>
  <c r="F190" i="4" s="1"/>
  <c r="D191" i="4"/>
  <c r="D192" i="4"/>
  <c r="H192" i="4" s="1"/>
  <c r="D193" i="4"/>
  <c r="G193" i="4" s="1"/>
  <c r="D194" i="4"/>
  <c r="I194" i="4" s="1"/>
  <c r="D195" i="4"/>
  <c r="F195" i="4" s="1"/>
  <c r="D196" i="4"/>
  <c r="D197" i="4"/>
  <c r="I191" i="4" l="1"/>
  <c r="G191" i="4"/>
  <c r="I175" i="4"/>
  <c r="G175" i="4"/>
  <c r="H175" i="4"/>
  <c r="I159" i="4"/>
  <c r="G159" i="4"/>
  <c r="H159" i="4"/>
  <c r="I151" i="4"/>
  <c r="G151" i="4"/>
  <c r="H151" i="4"/>
  <c r="I147" i="4"/>
  <c r="J147" i="4"/>
  <c r="F147" i="4"/>
  <c r="K147" i="4"/>
  <c r="I143" i="4"/>
  <c r="G143" i="4"/>
  <c r="H143" i="4"/>
  <c r="I139" i="4"/>
  <c r="J139" i="4"/>
  <c r="F139" i="4"/>
  <c r="K139" i="4"/>
  <c r="I135" i="4"/>
  <c r="G135" i="4"/>
  <c r="H135" i="4"/>
  <c r="I131" i="4"/>
  <c r="J131" i="4"/>
  <c r="F131" i="4"/>
  <c r="K131" i="4"/>
  <c r="I127" i="4"/>
  <c r="F127" i="4"/>
  <c r="K127" i="4"/>
  <c r="J127" i="4"/>
  <c r="I123" i="4"/>
  <c r="H123" i="4"/>
  <c r="F123" i="4"/>
  <c r="G123" i="4"/>
  <c r="I119" i="4"/>
  <c r="F119" i="4"/>
  <c r="K119" i="4"/>
  <c r="H119" i="4"/>
  <c r="J119" i="4"/>
  <c r="I115" i="4"/>
  <c r="H115" i="4"/>
  <c r="K115" i="4"/>
  <c r="F115" i="4"/>
  <c r="I111" i="4"/>
  <c r="F111" i="4"/>
  <c r="K111" i="4"/>
  <c r="G111" i="4"/>
  <c r="H111" i="4"/>
  <c r="I107" i="4"/>
  <c r="H107" i="4"/>
  <c r="J107" i="4"/>
  <c r="K107" i="4"/>
  <c r="I103" i="4"/>
  <c r="F103" i="4"/>
  <c r="K103" i="4"/>
  <c r="G103" i="4"/>
  <c r="I99" i="4"/>
  <c r="H99" i="4"/>
  <c r="J99" i="4"/>
  <c r="G99" i="4"/>
  <c r="F99" i="4"/>
  <c r="I95" i="4"/>
  <c r="F95" i="4"/>
  <c r="K95" i="4"/>
  <c r="G95" i="4"/>
  <c r="J95" i="4"/>
  <c r="H95" i="4"/>
  <c r="I91" i="4"/>
  <c r="H91" i="4"/>
  <c r="J91" i="4"/>
  <c r="G91" i="4"/>
  <c r="F91" i="4"/>
  <c r="K91" i="4"/>
  <c r="I87" i="4"/>
  <c r="F87" i="4"/>
  <c r="K87" i="4"/>
  <c r="G87" i="4"/>
  <c r="H87" i="4"/>
  <c r="J87" i="4"/>
  <c r="I83" i="4"/>
  <c r="H83" i="4"/>
  <c r="J83" i="4"/>
  <c r="F83" i="4"/>
  <c r="K83" i="4"/>
  <c r="G83" i="4"/>
  <c r="I79" i="4"/>
  <c r="F79" i="4"/>
  <c r="K79" i="4"/>
  <c r="G79" i="4"/>
  <c r="H79" i="4"/>
  <c r="J79" i="4"/>
  <c r="I75" i="4"/>
  <c r="H75" i="4"/>
  <c r="J75" i="4"/>
  <c r="F75" i="4"/>
  <c r="K75" i="4"/>
  <c r="G75" i="4"/>
  <c r="I71" i="4"/>
  <c r="F71" i="4"/>
  <c r="K71" i="4"/>
  <c r="G71" i="4"/>
  <c r="H71" i="4"/>
  <c r="J71" i="4"/>
  <c r="I67" i="4"/>
  <c r="H67" i="4"/>
  <c r="J67" i="4"/>
  <c r="F67" i="4"/>
  <c r="K67" i="4"/>
  <c r="G67" i="4"/>
  <c r="I63" i="4"/>
  <c r="F63" i="4"/>
  <c r="K63" i="4"/>
  <c r="G63" i="4"/>
  <c r="H63" i="4"/>
  <c r="J63" i="4"/>
  <c r="I59" i="4"/>
  <c r="H59" i="4"/>
  <c r="J59" i="4"/>
  <c r="F59" i="4"/>
  <c r="K59" i="4"/>
  <c r="G59" i="4"/>
  <c r="H55" i="4"/>
  <c r="I55" i="4"/>
  <c r="F55" i="4"/>
  <c r="G55" i="4"/>
  <c r="J55" i="4"/>
  <c r="K55" i="4"/>
  <c r="H51" i="4"/>
  <c r="F51" i="4"/>
  <c r="K51" i="4"/>
  <c r="I51" i="4"/>
  <c r="J51" i="4"/>
  <c r="G51" i="4"/>
  <c r="H47" i="4"/>
  <c r="I47" i="4"/>
  <c r="K47" i="4"/>
  <c r="F47" i="4"/>
  <c r="G47" i="4"/>
  <c r="J47" i="4"/>
  <c r="H43" i="4"/>
  <c r="F43" i="4"/>
  <c r="K43" i="4"/>
  <c r="G43" i="4"/>
  <c r="I43" i="4"/>
  <c r="J43" i="4"/>
  <c r="H39" i="4"/>
  <c r="I39" i="4"/>
  <c r="J39" i="4"/>
  <c r="K39" i="4"/>
  <c r="F39" i="4"/>
  <c r="G39" i="4"/>
  <c r="H35" i="4"/>
  <c r="F35" i="4"/>
  <c r="K35" i="4"/>
  <c r="G35" i="4"/>
  <c r="I35" i="4"/>
  <c r="J35" i="4"/>
  <c r="H31" i="4"/>
  <c r="I31" i="4"/>
  <c r="J31" i="4"/>
  <c r="F31" i="4"/>
  <c r="G31" i="4"/>
  <c r="K31" i="4"/>
  <c r="H27" i="4"/>
  <c r="F27" i="4"/>
  <c r="K27" i="4"/>
  <c r="G27" i="4"/>
  <c r="I27" i="4"/>
  <c r="J27" i="4"/>
  <c r="H23" i="4"/>
  <c r="I23" i="4"/>
  <c r="J23" i="4"/>
  <c r="K23" i="4"/>
  <c r="F23" i="4"/>
  <c r="G23" i="4"/>
  <c r="H19" i="4"/>
  <c r="F19" i="4"/>
  <c r="K19" i="4"/>
  <c r="G19" i="4"/>
  <c r="I19" i="4"/>
  <c r="J19" i="4"/>
  <c r="H15" i="4"/>
  <c r="I15" i="4"/>
  <c r="J15" i="4"/>
  <c r="F15" i="4"/>
  <c r="G15" i="4"/>
  <c r="K15" i="4"/>
  <c r="H11" i="4"/>
  <c r="F11" i="4"/>
  <c r="K11" i="4"/>
  <c r="G11" i="4"/>
  <c r="I11" i="4"/>
  <c r="J11" i="4"/>
  <c r="H7" i="4"/>
  <c r="I7" i="4"/>
  <c r="J7" i="4"/>
  <c r="K7" i="4"/>
  <c r="F7" i="4"/>
  <c r="G7" i="4"/>
  <c r="H3" i="4"/>
  <c r="F3" i="4"/>
  <c r="K3" i="4"/>
  <c r="G3" i="4"/>
  <c r="I3" i="4"/>
  <c r="J3" i="4"/>
  <c r="J193" i="4"/>
  <c r="I192" i="4"/>
  <c r="H191" i="4"/>
  <c r="F189" i="4"/>
  <c r="K187" i="4"/>
  <c r="I186" i="4"/>
  <c r="H185" i="4"/>
  <c r="H184" i="4"/>
  <c r="F183" i="4"/>
  <c r="K181" i="4"/>
  <c r="H180" i="4"/>
  <c r="J176" i="4"/>
  <c r="F175" i="4"/>
  <c r="G173" i="4"/>
  <c r="H171" i="4"/>
  <c r="J169" i="4"/>
  <c r="K167" i="4"/>
  <c r="H164" i="4"/>
  <c r="I162" i="4"/>
  <c r="J160" i="4"/>
  <c r="F159" i="4"/>
  <c r="G157" i="4"/>
  <c r="H155" i="4"/>
  <c r="J153" i="4"/>
  <c r="K151" i="4"/>
  <c r="H148" i="4"/>
  <c r="I146" i="4"/>
  <c r="J144" i="4"/>
  <c r="F143" i="4"/>
  <c r="G141" i="4"/>
  <c r="H139" i="4"/>
  <c r="J137" i="4"/>
  <c r="K135" i="4"/>
  <c r="H132" i="4"/>
  <c r="I128" i="4"/>
  <c r="K123" i="4"/>
  <c r="H121" i="4"/>
  <c r="G119" i="4"/>
  <c r="J116" i="4"/>
  <c r="J109" i="4"/>
  <c r="G107" i="4"/>
  <c r="I195" i="4"/>
  <c r="J195" i="4"/>
  <c r="I179" i="4"/>
  <c r="J179" i="4"/>
  <c r="F179" i="4"/>
  <c r="K179" i="4"/>
  <c r="I163" i="4"/>
  <c r="J163" i="4"/>
  <c r="F163" i="4"/>
  <c r="K163" i="4"/>
  <c r="G190" i="4"/>
  <c r="K190" i="4"/>
  <c r="H190" i="4"/>
  <c r="G178" i="4"/>
  <c r="K178" i="4"/>
  <c r="J178" i="4"/>
  <c r="F178" i="4"/>
  <c r="G166" i="4"/>
  <c r="K166" i="4"/>
  <c r="H166" i="4"/>
  <c r="I166" i="4"/>
  <c r="G154" i="4"/>
  <c r="K154" i="4"/>
  <c r="J154" i="4"/>
  <c r="F154" i="4"/>
  <c r="G142" i="4"/>
  <c r="K142" i="4"/>
  <c r="H142" i="4"/>
  <c r="I142" i="4"/>
  <c r="G130" i="4"/>
  <c r="K130" i="4"/>
  <c r="J130" i="4"/>
  <c r="F130" i="4"/>
  <c r="G122" i="4"/>
  <c r="K122" i="4"/>
  <c r="I122" i="4"/>
  <c r="F122" i="4"/>
  <c r="G118" i="4"/>
  <c r="K118" i="4"/>
  <c r="F118" i="4"/>
  <c r="H118" i="4"/>
  <c r="I118" i="4"/>
  <c r="G114" i="4"/>
  <c r="K114" i="4"/>
  <c r="I114" i="4"/>
  <c r="J114" i="4"/>
  <c r="G110" i="4"/>
  <c r="K110" i="4"/>
  <c r="F110" i="4"/>
  <c r="H110" i="4"/>
  <c r="G106" i="4"/>
  <c r="K106" i="4"/>
  <c r="I106" i="4"/>
  <c r="H106" i="4"/>
  <c r="J106" i="4"/>
  <c r="G102" i="4"/>
  <c r="K102" i="4"/>
  <c r="F102" i="4"/>
  <c r="J102" i="4"/>
  <c r="I102" i="4"/>
  <c r="G98" i="4"/>
  <c r="K98" i="4"/>
  <c r="I98" i="4"/>
  <c r="J98" i="4"/>
  <c r="H98" i="4"/>
  <c r="F98" i="4"/>
  <c r="G94" i="4"/>
  <c r="K94" i="4"/>
  <c r="F94" i="4"/>
  <c r="H94" i="4"/>
  <c r="J94" i="4"/>
  <c r="I94" i="4"/>
  <c r="G90" i="4"/>
  <c r="K90" i="4"/>
  <c r="I90" i="4"/>
  <c r="J90" i="4"/>
  <c r="F90" i="4"/>
  <c r="H90" i="4"/>
  <c r="G86" i="4"/>
  <c r="K86" i="4"/>
  <c r="F86" i="4"/>
  <c r="H86" i="4"/>
  <c r="I86" i="4"/>
  <c r="J86" i="4"/>
  <c r="G82" i="4"/>
  <c r="K82" i="4"/>
  <c r="I82" i="4"/>
  <c r="J82" i="4"/>
  <c r="F82" i="4"/>
  <c r="H82" i="4"/>
  <c r="G78" i="4"/>
  <c r="K78" i="4"/>
  <c r="F78" i="4"/>
  <c r="H78" i="4"/>
  <c r="I78" i="4"/>
  <c r="J78" i="4"/>
  <c r="G74" i="4"/>
  <c r="K74" i="4"/>
  <c r="I74" i="4"/>
  <c r="J74" i="4"/>
  <c r="F74" i="4"/>
  <c r="H74" i="4"/>
  <c r="G70" i="4"/>
  <c r="K70" i="4"/>
  <c r="F70" i="4"/>
  <c r="H70" i="4"/>
  <c r="I70" i="4"/>
  <c r="J70" i="4"/>
  <c r="G66" i="4"/>
  <c r="K66" i="4"/>
  <c r="I66" i="4"/>
  <c r="J66" i="4"/>
  <c r="F66" i="4"/>
  <c r="H66" i="4"/>
  <c r="G62" i="4"/>
  <c r="K62" i="4"/>
  <c r="F62" i="4"/>
  <c r="H62" i="4"/>
  <c r="I62" i="4"/>
  <c r="J62" i="4"/>
  <c r="F58" i="4"/>
  <c r="G58" i="4"/>
  <c r="K58" i="4"/>
  <c r="I58" i="4"/>
  <c r="J58" i="4"/>
  <c r="H58" i="4"/>
  <c r="F54" i="4"/>
  <c r="J54" i="4"/>
  <c r="I54" i="4"/>
  <c r="G54" i="4"/>
  <c r="H54" i="4"/>
  <c r="K54" i="4"/>
  <c r="F50" i="4"/>
  <c r="J50" i="4"/>
  <c r="G50" i="4"/>
  <c r="H50" i="4"/>
  <c r="I50" i="4"/>
  <c r="K50" i="4"/>
  <c r="F46" i="4"/>
  <c r="J46" i="4"/>
  <c r="I46" i="4"/>
  <c r="K46" i="4"/>
  <c r="G46" i="4"/>
  <c r="H46" i="4"/>
  <c r="F42" i="4"/>
  <c r="J42" i="4"/>
  <c r="G42" i="4"/>
  <c r="H42" i="4"/>
  <c r="I42" i="4"/>
  <c r="K42" i="4"/>
  <c r="F38" i="4"/>
  <c r="J38" i="4"/>
  <c r="I38" i="4"/>
  <c r="K38" i="4"/>
  <c r="G38" i="4"/>
  <c r="H38" i="4"/>
  <c r="F34" i="4"/>
  <c r="J34" i="4"/>
  <c r="G34" i="4"/>
  <c r="H34" i="4"/>
  <c r="I34" i="4"/>
  <c r="K34" i="4"/>
  <c r="F30" i="4"/>
  <c r="J30" i="4"/>
  <c r="I30" i="4"/>
  <c r="K30" i="4"/>
  <c r="G30" i="4"/>
  <c r="H30" i="4"/>
  <c r="F26" i="4"/>
  <c r="J26" i="4"/>
  <c r="G26" i="4"/>
  <c r="H26" i="4"/>
  <c r="I26" i="4"/>
  <c r="K26" i="4"/>
  <c r="F22" i="4"/>
  <c r="J22" i="4"/>
  <c r="I22" i="4"/>
  <c r="K22" i="4"/>
  <c r="G22" i="4"/>
  <c r="H22" i="4"/>
  <c r="F18" i="4"/>
  <c r="J18" i="4"/>
  <c r="G18" i="4"/>
  <c r="H18" i="4"/>
  <c r="I18" i="4"/>
  <c r="K18" i="4"/>
  <c r="F14" i="4"/>
  <c r="J14" i="4"/>
  <c r="I14" i="4"/>
  <c r="K14" i="4"/>
  <c r="G14" i="4"/>
  <c r="H14" i="4"/>
  <c r="F10" i="4"/>
  <c r="J10" i="4"/>
  <c r="G10" i="4"/>
  <c r="H10" i="4"/>
  <c r="I10" i="4"/>
  <c r="K10" i="4"/>
  <c r="F6" i="4"/>
  <c r="J6" i="4"/>
  <c r="I6" i="4"/>
  <c r="K6" i="4"/>
  <c r="G6" i="4"/>
  <c r="H6" i="4"/>
  <c r="K195" i="4"/>
  <c r="H193" i="4"/>
  <c r="F191" i="4"/>
  <c r="J188" i="4"/>
  <c r="H187" i="4"/>
  <c r="H186" i="4"/>
  <c r="H178" i="4"/>
  <c r="J174" i="4"/>
  <c r="J151" i="4"/>
  <c r="J142" i="4"/>
  <c r="G139" i="4"/>
  <c r="J135" i="4"/>
  <c r="H130" i="4"/>
  <c r="J123" i="4"/>
  <c r="J118" i="4"/>
  <c r="F114" i="4"/>
  <c r="J111" i="4"/>
  <c r="F107" i="4"/>
  <c r="I183" i="4"/>
  <c r="G183" i="4"/>
  <c r="I167" i="4"/>
  <c r="G167" i="4"/>
  <c r="H167" i="4"/>
  <c r="G194" i="4"/>
  <c r="K194" i="4"/>
  <c r="J194" i="4"/>
  <c r="G182" i="4"/>
  <c r="K182" i="4"/>
  <c r="H182" i="4"/>
  <c r="G170" i="4"/>
  <c r="K170" i="4"/>
  <c r="J170" i="4"/>
  <c r="F170" i="4"/>
  <c r="G158" i="4"/>
  <c r="K158" i="4"/>
  <c r="H158" i="4"/>
  <c r="I158" i="4"/>
  <c r="G146" i="4"/>
  <c r="K146" i="4"/>
  <c r="J146" i="4"/>
  <c r="F146" i="4"/>
  <c r="G134" i="4"/>
  <c r="K134" i="4"/>
  <c r="H134" i="4"/>
  <c r="I134" i="4"/>
  <c r="I189" i="4"/>
  <c r="H189" i="4"/>
  <c r="I181" i="4"/>
  <c r="H181" i="4"/>
  <c r="I173" i="4"/>
  <c r="H173" i="4"/>
  <c r="J173" i="4"/>
  <c r="I165" i="4"/>
  <c r="H165" i="4"/>
  <c r="J165" i="4"/>
  <c r="I157" i="4"/>
  <c r="H157" i="4"/>
  <c r="J157" i="4"/>
  <c r="I149" i="4"/>
  <c r="H149" i="4"/>
  <c r="J149" i="4"/>
  <c r="I141" i="4"/>
  <c r="H141" i="4"/>
  <c r="J141" i="4"/>
  <c r="I133" i="4"/>
  <c r="H133" i="4"/>
  <c r="J133" i="4"/>
  <c r="I125" i="4"/>
  <c r="G125" i="4"/>
  <c r="H125" i="4"/>
  <c r="J125" i="4"/>
  <c r="I121" i="4"/>
  <c r="J121" i="4"/>
  <c r="K121" i="4"/>
  <c r="F121" i="4"/>
  <c r="I117" i="4"/>
  <c r="G117" i="4"/>
  <c r="F117" i="4"/>
  <c r="H117" i="4"/>
  <c r="I113" i="4"/>
  <c r="J113" i="4"/>
  <c r="H113" i="4"/>
  <c r="K113" i="4"/>
  <c r="I109" i="4"/>
  <c r="G109" i="4"/>
  <c r="K109" i="4"/>
  <c r="F109" i="4"/>
  <c r="I105" i="4"/>
  <c r="J105" i="4"/>
  <c r="G105" i="4"/>
  <c r="H105" i="4"/>
  <c r="I101" i="4"/>
  <c r="G101" i="4"/>
  <c r="F101" i="4"/>
  <c r="K101" i="4"/>
  <c r="H101" i="4"/>
  <c r="I97" i="4"/>
  <c r="J97" i="4"/>
  <c r="F97" i="4"/>
  <c r="K97" i="4"/>
  <c r="H97" i="4"/>
  <c r="I93" i="4"/>
  <c r="G93" i="4"/>
  <c r="H93" i="4"/>
  <c r="F93" i="4"/>
  <c r="K93" i="4"/>
  <c r="I89" i="4"/>
  <c r="J89" i="4"/>
  <c r="F89" i="4"/>
  <c r="K89" i="4"/>
  <c r="G89" i="4"/>
  <c r="H89" i="4"/>
  <c r="I85" i="4"/>
  <c r="G85" i="4"/>
  <c r="H85" i="4"/>
  <c r="J85" i="4"/>
  <c r="F85" i="4"/>
  <c r="K85" i="4"/>
  <c r="I81" i="4"/>
  <c r="J81" i="4"/>
  <c r="F81" i="4"/>
  <c r="K81" i="4"/>
  <c r="G81" i="4"/>
  <c r="H81" i="4"/>
  <c r="I77" i="4"/>
  <c r="G77" i="4"/>
  <c r="H77" i="4"/>
  <c r="J77" i="4"/>
  <c r="F77" i="4"/>
  <c r="K77" i="4"/>
  <c r="I73" i="4"/>
  <c r="J73" i="4"/>
  <c r="F73" i="4"/>
  <c r="K73" i="4"/>
  <c r="G73" i="4"/>
  <c r="H73" i="4"/>
  <c r="I69" i="4"/>
  <c r="G69" i="4"/>
  <c r="H69" i="4"/>
  <c r="J69" i="4"/>
  <c r="F69" i="4"/>
  <c r="K69" i="4"/>
  <c r="I65" i="4"/>
  <c r="J65" i="4"/>
  <c r="F65" i="4"/>
  <c r="K65" i="4"/>
  <c r="G65" i="4"/>
  <c r="H65" i="4"/>
  <c r="I61" i="4"/>
  <c r="G61" i="4"/>
  <c r="H61" i="4"/>
  <c r="J61" i="4"/>
  <c r="F61" i="4"/>
  <c r="K61" i="4"/>
  <c r="H57" i="4"/>
  <c r="G57" i="4"/>
  <c r="I57" i="4"/>
  <c r="J57" i="4"/>
  <c r="K57" i="4"/>
  <c r="F57" i="4"/>
  <c r="H53" i="4"/>
  <c r="J53" i="4"/>
  <c r="K53" i="4"/>
  <c r="F53" i="4"/>
  <c r="G53" i="4"/>
  <c r="I53" i="4"/>
  <c r="H49" i="4"/>
  <c r="G49" i="4"/>
  <c r="F49" i="4"/>
  <c r="I49" i="4"/>
  <c r="J49" i="4"/>
  <c r="K49" i="4"/>
  <c r="H45" i="4"/>
  <c r="J45" i="4"/>
  <c r="F45" i="4"/>
  <c r="K45" i="4"/>
  <c r="G45" i="4"/>
  <c r="I45" i="4"/>
  <c r="H41" i="4"/>
  <c r="G41" i="4"/>
  <c r="I41" i="4"/>
  <c r="J41" i="4"/>
  <c r="K41" i="4"/>
  <c r="F41" i="4"/>
  <c r="H37" i="4"/>
  <c r="J37" i="4"/>
  <c r="F37" i="4"/>
  <c r="K37" i="4"/>
  <c r="G37" i="4"/>
  <c r="I37" i="4"/>
  <c r="H33" i="4"/>
  <c r="G33" i="4"/>
  <c r="I33" i="4"/>
  <c r="F33" i="4"/>
  <c r="J33" i="4"/>
  <c r="K33" i="4"/>
  <c r="H29" i="4"/>
  <c r="J29" i="4"/>
  <c r="F29" i="4"/>
  <c r="K29" i="4"/>
  <c r="G29" i="4"/>
  <c r="I29" i="4"/>
  <c r="H25" i="4"/>
  <c r="G25" i="4"/>
  <c r="I25" i="4"/>
  <c r="J25" i="4"/>
  <c r="K25" i="4"/>
  <c r="F25" i="4"/>
  <c r="H21" i="4"/>
  <c r="J21" i="4"/>
  <c r="F21" i="4"/>
  <c r="K21" i="4"/>
  <c r="G21" i="4"/>
  <c r="I21" i="4"/>
  <c r="H17" i="4"/>
  <c r="G17" i="4"/>
  <c r="I17" i="4"/>
  <c r="F17" i="4"/>
  <c r="J17" i="4"/>
  <c r="K17" i="4"/>
  <c r="H13" i="4"/>
  <c r="J13" i="4"/>
  <c r="F13" i="4"/>
  <c r="K13" i="4"/>
  <c r="G13" i="4"/>
  <c r="I13" i="4"/>
  <c r="H9" i="4"/>
  <c r="G9" i="4"/>
  <c r="I9" i="4"/>
  <c r="J9" i="4"/>
  <c r="K9" i="4"/>
  <c r="F9" i="4"/>
  <c r="H5" i="4"/>
  <c r="J5" i="4"/>
  <c r="F5" i="4"/>
  <c r="K5" i="4"/>
  <c r="G5" i="4"/>
  <c r="I5" i="4"/>
  <c r="F1" i="4"/>
  <c r="J1" i="4"/>
  <c r="G1" i="4"/>
  <c r="H195" i="4"/>
  <c r="H194" i="4"/>
  <c r="K191" i="4"/>
  <c r="J190" i="4"/>
  <c r="J189" i="4"/>
  <c r="J183" i="4"/>
  <c r="I182" i="4"/>
  <c r="G181" i="4"/>
  <c r="H179" i="4"/>
  <c r="K175" i="4"/>
  <c r="I170" i="4"/>
  <c r="F167" i="4"/>
  <c r="G165" i="4"/>
  <c r="H163" i="4"/>
  <c r="K159" i="4"/>
  <c r="F158" i="4"/>
  <c r="I154" i="4"/>
  <c r="F151" i="4"/>
  <c r="G149" i="4"/>
  <c r="H147" i="4"/>
  <c r="K143" i="4"/>
  <c r="F142" i="4"/>
  <c r="F135" i="4"/>
  <c r="G133" i="4"/>
  <c r="H131" i="4"/>
  <c r="H127" i="4"/>
  <c r="F125" i="4"/>
  <c r="J122" i="4"/>
  <c r="K117" i="4"/>
  <c r="J115" i="4"/>
  <c r="G113" i="4"/>
  <c r="J110" i="4"/>
  <c r="F106" i="4"/>
  <c r="J103" i="4"/>
  <c r="J93" i="4"/>
  <c r="I187" i="4"/>
  <c r="J187" i="4"/>
  <c r="I171" i="4"/>
  <c r="J171" i="4"/>
  <c r="F171" i="4"/>
  <c r="K171" i="4"/>
  <c r="I155" i="4"/>
  <c r="J155" i="4"/>
  <c r="F155" i="4"/>
  <c r="K155" i="4"/>
  <c r="G186" i="4"/>
  <c r="K186" i="4"/>
  <c r="J186" i="4"/>
  <c r="G174" i="4"/>
  <c r="K174" i="4"/>
  <c r="H174" i="4"/>
  <c r="I174" i="4"/>
  <c r="G162" i="4"/>
  <c r="K162" i="4"/>
  <c r="J162" i="4"/>
  <c r="F162" i="4"/>
  <c r="G150" i="4"/>
  <c r="K150" i="4"/>
  <c r="H150" i="4"/>
  <c r="I150" i="4"/>
  <c r="G138" i="4"/>
  <c r="K138" i="4"/>
  <c r="J138" i="4"/>
  <c r="F138" i="4"/>
  <c r="G126" i="4"/>
  <c r="K126" i="4"/>
  <c r="F126" i="4"/>
  <c r="I126" i="4"/>
  <c r="J126" i="4"/>
  <c r="I193" i="4"/>
  <c r="F193" i="4"/>
  <c r="K193" i="4"/>
  <c r="I185" i="4"/>
  <c r="F185" i="4"/>
  <c r="K185" i="4"/>
  <c r="I177" i="4"/>
  <c r="F177" i="4"/>
  <c r="K177" i="4"/>
  <c r="G177" i="4"/>
  <c r="I169" i="4"/>
  <c r="F169" i="4"/>
  <c r="K169" i="4"/>
  <c r="G169" i="4"/>
  <c r="I161" i="4"/>
  <c r="F161" i="4"/>
  <c r="K161" i="4"/>
  <c r="G161" i="4"/>
  <c r="I153" i="4"/>
  <c r="F153" i="4"/>
  <c r="K153" i="4"/>
  <c r="G153" i="4"/>
  <c r="I145" i="4"/>
  <c r="F145" i="4"/>
  <c r="K145" i="4"/>
  <c r="G145" i="4"/>
  <c r="I137" i="4"/>
  <c r="F137" i="4"/>
  <c r="K137" i="4"/>
  <c r="G137" i="4"/>
  <c r="I129" i="4"/>
  <c r="F129" i="4"/>
  <c r="K129" i="4"/>
  <c r="G129" i="4"/>
  <c r="G192" i="4"/>
  <c r="K192" i="4"/>
  <c r="F192" i="4"/>
  <c r="G188" i="4"/>
  <c r="K188" i="4"/>
  <c r="I188" i="4"/>
  <c r="G184" i="4"/>
  <c r="K184" i="4"/>
  <c r="F184" i="4"/>
  <c r="G180" i="4"/>
  <c r="K180" i="4"/>
  <c r="I180" i="4"/>
  <c r="J180" i="4"/>
  <c r="G176" i="4"/>
  <c r="K176" i="4"/>
  <c r="F176" i="4"/>
  <c r="H176" i="4"/>
  <c r="G172" i="4"/>
  <c r="K172" i="4"/>
  <c r="I172" i="4"/>
  <c r="J172" i="4"/>
  <c r="G168" i="4"/>
  <c r="K168" i="4"/>
  <c r="F168" i="4"/>
  <c r="H168" i="4"/>
  <c r="G164" i="4"/>
  <c r="K164" i="4"/>
  <c r="I164" i="4"/>
  <c r="J164" i="4"/>
  <c r="G160" i="4"/>
  <c r="K160" i="4"/>
  <c r="F160" i="4"/>
  <c r="H160" i="4"/>
  <c r="G156" i="4"/>
  <c r="K156" i="4"/>
  <c r="I156" i="4"/>
  <c r="J156" i="4"/>
  <c r="G152" i="4"/>
  <c r="K152" i="4"/>
  <c r="F152" i="4"/>
  <c r="H152" i="4"/>
  <c r="G148" i="4"/>
  <c r="K148" i="4"/>
  <c r="I148" i="4"/>
  <c r="J148" i="4"/>
  <c r="G144" i="4"/>
  <c r="K144" i="4"/>
  <c r="F144" i="4"/>
  <c r="H144" i="4"/>
  <c r="G140" i="4"/>
  <c r="K140" i="4"/>
  <c r="I140" i="4"/>
  <c r="J140" i="4"/>
  <c r="G136" i="4"/>
  <c r="K136" i="4"/>
  <c r="F136" i="4"/>
  <c r="H136" i="4"/>
  <c r="G132" i="4"/>
  <c r="K132" i="4"/>
  <c r="I132" i="4"/>
  <c r="J132" i="4"/>
  <c r="G128" i="4"/>
  <c r="K128" i="4"/>
  <c r="J128" i="4"/>
  <c r="F128" i="4"/>
  <c r="G124" i="4"/>
  <c r="K124" i="4"/>
  <c r="H124" i="4"/>
  <c r="F124" i="4"/>
  <c r="I124" i="4"/>
  <c r="G120" i="4"/>
  <c r="K120" i="4"/>
  <c r="J120" i="4"/>
  <c r="I120" i="4"/>
  <c r="G116" i="4"/>
  <c r="K116" i="4"/>
  <c r="H116" i="4"/>
  <c r="F116" i="4"/>
  <c r="G112" i="4"/>
  <c r="K112" i="4"/>
  <c r="J112" i="4"/>
  <c r="H112" i="4"/>
  <c r="I112" i="4"/>
  <c r="G108" i="4"/>
  <c r="K108" i="4"/>
  <c r="H108" i="4"/>
  <c r="J108" i="4"/>
  <c r="G104" i="4"/>
  <c r="K104" i="4"/>
  <c r="J104" i="4"/>
  <c r="F104" i="4"/>
  <c r="H104" i="4"/>
  <c r="G100" i="4"/>
  <c r="K100" i="4"/>
  <c r="H100" i="4"/>
  <c r="F100" i="4"/>
  <c r="J100" i="4"/>
  <c r="G96" i="4"/>
  <c r="K96" i="4"/>
  <c r="J96" i="4"/>
  <c r="F96" i="4"/>
  <c r="I96" i="4"/>
  <c r="G92" i="4"/>
  <c r="K92" i="4"/>
  <c r="H92" i="4"/>
  <c r="I92" i="4"/>
  <c r="F92" i="4"/>
  <c r="G88" i="4"/>
  <c r="K88" i="4"/>
  <c r="J88" i="4"/>
  <c r="F88" i="4"/>
  <c r="H88" i="4"/>
  <c r="I88" i="4"/>
  <c r="G84" i="4"/>
  <c r="K84" i="4"/>
  <c r="H84" i="4"/>
  <c r="I84" i="4"/>
  <c r="J84" i="4"/>
  <c r="F84" i="4"/>
  <c r="G80" i="4"/>
  <c r="K80" i="4"/>
  <c r="J80" i="4"/>
  <c r="F80" i="4"/>
  <c r="H80" i="4"/>
  <c r="I80" i="4"/>
  <c r="G76" i="4"/>
  <c r="K76" i="4"/>
  <c r="H76" i="4"/>
  <c r="I76" i="4"/>
  <c r="J76" i="4"/>
  <c r="F76" i="4"/>
  <c r="G72" i="4"/>
  <c r="K72" i="4"/>
  <c r="J72" i="4"/>
  <c r="F72" i="4"/>
  <c r="H72" i="4"/>
  <c r="I72" i="4"/>
  <c r="G68" i="4"/>
  <c r="K68" i="4"/>
  <c r="H68" i="4"/>
  <c r="I68" i="4"/>
  <c r="J68" i="4"/>
  <c r="F68" i="4"/>
  <c r="G64" i="4"/>
  <c r="K64" i="4"/>
  <c r="J64" i="4"/>
  <c r="F64" i="4"/>
  <c r="H64" i="4"/>
  <c r="I64" i="4"/>
  <c r="G60" i="4"/>
  <c r="K60" i="4"/>
  <c r="H60" i="4"/>
  <c r="I60" i="4"/>
  <c r="J60" i="4"/>
  <c r="F60" i="4"/>
  <c r="F56" i="4"/>
  <c r="J56" i="4"/>
  <c r="H56" i="4"/>
  <c r="G56" i="4"/>
  <c r="I56" i="4"/>
  <c r="K56" i="4"/>
  <c r="F52" i="4"/>
  <c r="J52" i="4"/>
  <c r="K52" i="4"/>
  <c r="I52" i="4"/>
  <c r="G52" i="4"/>
  <c r="H52" i="4"/>
  <c r="F48" i="4"/>
  <c r="J48" i="4"/>
  <c r="H48" i="4"/>
  <c r="G48" i="4"/>
  <c r="I48" i="4"/>
  <c r="K48" i="4"/>
  <c r="F44" i="4"/>
  <c r="J44" i="4"/>
  <c r="K44" i="4"/>
  <c r="G44" i="4"/>
  <c r="H44" i="4"/>
  <c r="I44" i="4"/>
  <c r="F40" i="4"/>
  <c r="J40" i="4"/>
  <c r="H40" i="4"/>
  <c r="I40" i="4"/>
  <c r="G40" i="4"/>
  <c r="K40" i="4"/>
  <c r="F36" i="4"/>
  <c r="J36" i="4"/>
  <c r="K36" i="4"/>
  <c r="G36" i="4"/>
  <c r="H36" i="4"/>
  <c r="I36" i="4"/>
  <c r="F32" i="4"/>
  <c r="J32" i="4"/>
  <c r="H32" i="4"/>
  <c r="I32" i="4"/>
  <c r="K32" i="4"/>
  <c r="G32" i="4"/>
  <c r="F28" i="4"/>
  <c r="J28" i="4"/>
  <c r="K28" i="4"/>
  <c r="G28" i="4"/>
  <c r="H28" i="4"/>
  <c r="I28" i="4"/>
  <c r="F24" i="4"/>
  <c r="J24" i="4"/>
  <c r="H24" i="4"/>
  <c r="I24" i="4"/>
  <c r="G24" i="4"/>
  <c r="K24" i="4"/>
  <c r="H1" i="4"/>
  <c r="G195" i="4"/>
  <c r="F194" i="4"/>
  <c r="J192" i="4"/>
  <c r="J191" i="4"/>
  <c r="I190" i="4"/>
  <c r="G189" i="4"/>
  <c r="F188" i="4"/>
  <c r="F187" i="4"/>
  <c r="J185" i="4"/>
  <c r="I184" i="4"/>
  <c r="H183" i="4"/>
  <c r="F182" i="4"/>
  <c r="F181" i="4"/>
  <c r="G179" i="4"/>
  <c r="H177" i="4"/>
  <c r="J175" i="4"/>
  <c r="K173" i="4"/>
  <c r="F172" i="4"/>
  <c r="H170" i="4"/>
  <c r="I168" i="4"/>
  <c r="J166" i="4"/>
  <c r="F165" i="4"/>
  <c r="G163" i="4"/>
  <c r="H161" i="4"/>
  <c r="J159" i="4"/>
  <c r="K157" i="4"/>
  <c r="F156" i="4"/>
  <c r="H154" i="4"/>
  <c r="I152" i="4"/>
  <c r="J150" i="4"/>
  <c r="F149" i="4"/>
  <c r="G147" i="4"/>
  <c r="H145" i="4"/>
  <c r="J143" i="4"/>
  <c r="K141" i="4"/>
  <c r="F140" i="4"/>
  <c r="H138" i="4"/>
  <c r="I136" i="4"/>
  <c r="J134" i="4"/>
  <c r="F133" i="4"/>
  <c r="G131" i="4"/>
  <c r="H129" i="4"/>
  <c r="G127" i="4"/>
  <c r="J124" i="4"/>
  <c r="H122" i="4"/>
  <c r="F120" i="4"/>
  <c r="J117" i="4"/>
  <c r="G115" i="4"/>
  <c r="F113" i="4"/>
  <c r="I110" i="4"/>
  <c r="F108" i="4"/>
  <c r="K105" i="4"/>
  <c r="H103" i="4"/>
  <c r="K99" i="4"/>
  <c r="J92" i="4"/>
  <c r="F20" i="4"/>
  <c r="J20" i="4"/>
  <c r="K20" i="4"/>
  <c r="G20" i="4"/>
  <c r="H20" i="4"/>
  <c r="I20" i="4"/>
  <c r="F16" i="4"/>
  <c r="J16" i="4"/>
  <c r="H16" i="4"/>
  <c r="I16" i="4"/>
  <c r="K16" i="4"/>
  <c r="G16" i="4"/>
  <c r="F12" i="4"/>
  <c r="J12" i="4"/>
  <c r="K12" i="4"/>
  <c r="G12" i="4"/>
  <c r="H12" i="4"/>
  <c r="I12" i="4"/>
  <c r="F8" i="4"/>
  <c r="J8" i="4"/>
  <c r="H8" i="4"/>
  <c r="I8" i="4"/>
  <c r="G8" i="4"/>
  <c r="K8" i="4"/>
  <c r="F4" i="4"/>
  <c r="J4" i="4"/>
  <c r="K4" i="4"/>
  <c r="G4" i="4"/>
  <c r="H4" i="4"/>
  <c r="I4" i="4"/>
  <c r="F2" i="4"/>
  <c r="J2" i="4"/>
  <c r="G2" i="4"/>
  <c r="H2" i="4"/>
  <c r="I2" i="4"/>
  <c r="I1" i="4"/>
  <c r="U189" i="1" l="1"/>
  <c r="T189" i="1"/>
  <c r="S189" i="1"/>
  <c r="R189" i="1"/>
  <c r="Q189" i="1"/>
  <c r="P189" i="1"/>
  <c r="T203" i="1"/>
  <c r="S203" i="1"/>
  <c r="R203" i="1"/>
  <c r="Q203" i="1"/>
  <c r="P203" i="1"/>
  <c r="U193" i="1" l="1"/>
  <c r="T193" i="1"/>
  <c r="S193" i="1"/>
  <c r="R193" i="1"/>
  <c r="Q193" i="1"/>
  <c r="P193" i="1"/>
  <c r="T199" i="1" l="1"/>
  <c r="U124" i="1" l="1"/>
  <c r="T124" i="1"/>
  <c r="S124" i="1"/>
  <c r="R124" i="1"/>
  <c r="Q124" i="1"/>
  <c r="P124" i="1"/>
  <c r="U165" i="1"/>
  <c r="T165" i="1"/>
  <c r="S165" i="1"/>
  <c r="R165" i="1"/>
  <c r="Q165" i="1"/>
  <c r="P165" i="1"/>
  <c r="U76" i="1"/>
  <c r="T76" i="1"/>
  <c r="S76" i="1"/>
  <c r="R76" i="1"/>
  <c r="Q76" i="1"/>
  <c r="P76" i="1"/>
  <c r="U69" i="1"/>
  <c r="T69" i="1"/>
  <c r="S69" i="1"/>
  <c r="R69" i="1"/>
  <c r="Q69" i="1"/>
  <c r="P69" i="1"/>
  <c r="U72" i="1"/>
  <c r="T72" i="1"/>
  <c r="S72" i="1"/>
  <c r="R72" i="1"/>
  <c r="Q72" i="1"/>
  <c r="P72" i="1"/>
  <c r="U116" i="1"/>
  <c r="T116" i="1"/>
  <c r="S116" i="1"/>
  <c r="R116" i="1"/>
  <c r="Q116" i="1"/>
  <c r="P116" i="1"/>
  <c r="U104" i="1"/>
  <c r="T104" i="1"/>
  <c r="U59" i="1"/>
  <c r="T59" i="1"/>
  <c r="S59" i="1"/>
  <c r="R59" i="1"/>
  <c r="Q59" i="1"/>
  <c r="P59" i="1"/>
  <c r="U71" i="1"/>
  <c r="T71" i="1"/>
  <c r="S71" i="1"/>
  <c r="R71" i="1"/>
  <c r="Q71" i="1"/>
  <c r="P71" i="1"/>
  <c r="U81" i="1"/>
  <c r="T81" i="1"/>
  <c r="S81" i="1"/>
  <c r="R81" i="1"/>
  <c r="Q81" i="1"/>
  <c r="P81" i="1"/>
  <c r="U89" i="1"/>
  <c r="AG89" i="1" s="1"/>
  <c r="AH97" i="1"/>
  <c r="AG97" i="1"/>
  <c r="AF97" i="1"/>
  <c r="U117" i="1"/>
  <c r="T117" i="1"/>
  <c r="S117" i="1"/>
  <c r="R117" i="1"/>
  <c r="Q117" i="1"/>
  <c r="P117" i="1"/>
  <c r="AH138" i="1"/>
  <c r="AG138" i="1"/>
  <c r="AF138" i="1"/>
  <c r="AH143" i="1"/>
  <c r="AG143" i="1"/>
  <c r="AF143" i="1"/>
  <c r="U173" i="1"/>
  <c r="T173" i="1"/>
  <c r="S173" i="1"/>
  <c r="R173" i="1"/>
  <c r="Q173" i="1"/>
  <c r="P173" i="1"/>
  <c r="AH3" i="1"/>
  <c r="AG3" i="1"/>
  <c r="AF3" i="1"/>
  <c r="U5" i="1"/>
  <c r="T5" i="1"/>
  <c r="S5" i="1"/>
  <c r="R5" i="1"/>
  <c r="Q5" i="1"/>
  <c r="P5" i="1"/>
  <c r="AH11" i="1"/>
  <c r="AG11" i="1"/>
  <c r="AF11" i="1"/>
  <c r="U17" i="1"/>
  <c r="T17" i="1"/>
  <c r="S17" i="1"/>
  <c r="R17" i="1"/>
  <c r="Q17" i="1"/>
  <c r="P17" i="1"/>
  <c r="U22" i="1"/>
  <c r="AH22" i="1" s="1"/>
  <c r="U27" i="1"/>
  <c r="T27" i="1"/>
  <c r="S27" i="1"/>
  <c r="R27" i="1"/>
  <c r="Q27" i="1"/>
  <c r="P27" i="1"/>
  <c r="AH29" i="1"/>
  <c r="AG29" i="1"/>
  <c r="AF29" i="1"/>
  <c r="AH31" i="1"/>
  <c r="AG31" i="1"/>
  <c r="AF31" i="1"/>
  <c r="U197" i="1"/>
  <c r="T197" i="1"/>
  <c r="Q197" i="1"/>
  <c r="P197" i="1"/>
  <c r="U33" i="1"/>
  <c r="T33" i="1"/>
  <c r="S33" i="1"/>
  <c r="R33" i="1"/>
  <c r="Q33" i="1"/>
  <c r="P33" i="1"/>
  <c r="U35" i="1"/>
  <c r="S35" i="1"/>
  <c r="Q35" i="1"/>
  <c r="P35" i="1"/>
  <c r="U55" i="1"/>
  <c r="T55" i="1"/>
  <c r="S55" i="1"/>
  <c r="R55" i="1"/>
  <c r="Q55" i="1"/>
  <c r="P55" i="1"/>
  <c r="U60" i="1"/>
  <c r="T60" i="1"/>
  <c r="S60" i="1"/>
  <c r="R60" i="1"/>
  <c r="Q60" i="1"/>
  <c r="P60" i="1"/>
  <c r="AH73" i="1"/>
  <c r="AG73" i="1"/>
  <c r="AF73" i="1"/>
  <c r="T77" i="1"/>
  <c r="S77" i="1"/>
  <c r="R77" i="1"/>
  <c r="Q77" i="1"/>
  <c r="P77" i="1"/>
  <c r="U79" i="1"/>
  <c r="T79" i="1"/>
  <c r="S79" i="1"/>
  <c r="R79" i="1"/>
  <c r="Q79" i="1"/>
  <c r="P79" i="1"/>
  <c r="U84" i="1"/>
  <c r="T84" i="1"/>
  <c r="R84" i="1"/>
  <c r="U105" i="1"/>
  <c r="S105" i="1"/>
  <c r="R105" i="1"/>
  <c r="U141" i="1"/>
  <c r="T141" i="1"/>
  <c r="S141" i="1"/>
  <c r="R141" i="1"/>
  <c r="Q141" i="1"/>
  <c r="P141" i="1"/>
  <c r="U146" i="1"/>
  <c r="AG146" i="1" s="1"/>
  <c r="AH150" i="1"/>
  <c r="AG150" i="1"/>
  <c r="AF150" i="1"/>
  <c r="AH158" i="1"/>
  <c r="AG158" i="1"/>
  <c r="AF158" i="1"/>
  <c r="AH160" i="1"/>
  <c r="AG160" i="1"/>
  <c r="AF160" i="1"/>
  <c r="AH162" i="1"/>
  <c r="AG162" i="1"/>
  <c r="AF162" i="1"/>
  <c r="Q168" i="1"/>
  <c r="AG168" i="1" s="1"/>
  <c r="T170" i="1"/>
  <c r="S170" i="1"/>
  <c r="Q170" i="1"/>
  <c r="AH172" i="1"/>
  <c r="AG172" i="1"/>
  <c r="AF172" i="1"/>
  <c r="R175" i="1"/>
  <c r="Q175" i="1"/>
  <c r="P175" i="1"/>
  <c r="S180" i="1"/>
  <c r="R180" i="1"/>
  <c r="Q180" i="1"/>
  <c r="P180" i="1"/>
  <c r="AH184" i="1"/>
  <c r="AG184" i="1"/>
  <c r="AF184" i="1"/>
  <c r="U187" i="1"/>
  <c r="T187" i="1"/>
  <c r="S187" i="1"/>
  <c r="R187" i="1"/>
  <c r="Q187" i="1"/>
  <c r="P187" i="1"/>
  <c r="U41" i="1"/>
  <c r="T41" i="1"/>
  <c r="S41" i="1"/>
  <c r="R41" i="1"/>
  <c r="Q41" i="1"/>
  <c r="P41" i="1"/>
  <c r="U10" i="1"/>
  <c r="T10" i="1"/>
  <c r="S10" i="1"/>
  <c r="R10" i="1"/>
  <c r="Q10" i="1"/>
  <c r="P10" i="1"/>
  <c r="AH201" i="1"/>
  <c r="AG201" i="1"/>
  <c r="AF201" i="1"/>
  <c r="AH112" i="1"/>
  <c r="AG112" i="1"/>
  <c r="AF112" i="1"/>
  <c r="U126" i="1"/>
  <c r="U142" i="1"/>
  <c r="T142" i="1"/>
  <c r="S142" i="1"/>
  <c r="R142" i="1"/>
  <c r="Q142" i="1"/>
  <c r="P142" i="1"/>
  <c r="V177" i="1"/>
  <c r="U177" i="1"/>
  <c r="V56" i="1"/>
  <c r="U56" i="1"/>
  <c r="T56" i="1"/>
  <c r="S56" i="1"/>
  <c r="R56" i="1"/>
  <c r="Q56" i="1"/>
  <c r="P56" i="1"/>
  <c r="V37" i="1"/>
  <c r="U37" i="1"/>
  <c r="T37" i="1"/>
  <c r="S37" i="1"/>
  <c r="R37" i="1"/>
  <c r="Q37" i="1"/>
  <c r="P37" i="1"/>
  <c r="V50" i="1"/>
  <c r="U50" i="1"/>
  <c r="T50" i="1"/>
  <c r="S50" i="1"/>
  <c r="R50" i="1"/>
  <c r="Q50" i="1"/>
  <c r="P50" i="1"/>
  <c r="AH48" i="1"/>
  <c r="AG48" i="1"/>
  <c r="AF48" i="1"/>
  <c r="V53" i="1"/>
  <c r="U53" i="1"/>
  <c r="T53" i="1"/>
  <c r="S53" i="1"/>
  <c r="V61" i="1"/>
  <c r="U61" i="1"/>
  <c r="T61" i="1"/>
  <c r="S61" i="1"/>
  <c r="R61" i="1"/>
  <c r="Q61" i="1"/>
  <c r="P61" i="1"/>
  <c r="P111" i="1"/>
  <c r="AF111" i="1" s="1"/>
  <c r="AH133" i="1"/>
  <c r="AG133" i="1"/>
  <c r="AF133" i="1"/>
  <c r="V169" i="1"/>
  <c r="U169" i="1"/>
  <c r="T169" i="1"/>
  <c r="S169" i="1"/>
  <c r="R169" i="1"/>
  <c r="Q169" i="1"/>
  <c r="P169" i="1"/>
  <c r="AH2" i="1"/>
  <c r="AG2" i="1"/>
  <c r="AF2" i="1"/>
  <c r="AH6" i="1"/>
  <c r="AG6" i="1"/>
  <c r="AF6" i="1"/>
  <c r="AH8" i="1"/>
  <c r="AG8" i="1"/>
  <c r="AF8" i="1"/>
  <c r="V12" i="1"/>
  <c r="U12" i="1"/>
  <c r="T12" i="1"/>
  <c r="S12" i="1"/>
  <c r="R12" i="1"/>
  <c r="Q12" i="1"/>
  <c r="P12" i="1"/>
  <c r="V14" i="1"/>
  <c r="U14" i="1"/>
  <c r="T14" i="1"/>
  <c r="S14" i="1"/>
  <c r="R14" i="1"/>
  <c r="Q14" i="1"/>
  <c r="P14" i="1"/>
  <c r="V15" i="1"/>
  <c r="U15" i="1"/>
  <c r="AH18" i="1"/>
  <c r="AG18" i="1"/>
  <c r="AF18" i="1"/>
  <c r="AH21" i="1"/>
  <c r="AG21" i="1"/>
  <c r="AF21" i="1"/>
  <c r="AH23" i="1"/>
  <c r="AG23" i="1"/>
  <c r="AF23" i="1"/>
  <c r="AH25" i="1"/>
  <c r="AG25" i="1"/>
  <c r="AF25" i="1"/>
  <c r="AH189" i="1"/>
  <c r="AG189" i="1"/>
  <c r="AF189" i="1"/>
  <c r="V28" i="1"/>
  <c r="U28" i="1"/>
  <c r="T28" i="1"/>
  <c r="AH190" i="1"/>
  <c r="AG190" i="1"/>
  <c r="AF190" i="1"/>
  <c r="V32" i="1"/>
  <c r="U32" i="1"/>
  <c r="T32" i="1"/>
  <c r="S32" i="1"/>
  <c r="R32" i="1"/>
  <c r="Q32" i="1"/>
  <c r="P32" i="1"/>
  <c r="AH40" i="1"/>
  <c r="AG40" i="1"/>
  <c r="AF40" i="1"/>
  <c r="U42" i="1"/>
  <c r="R42" i="1"/>
  <c r="P42" i="1"/>
  <c r="V43" i="1"/>
  <c r="U43" i="1"/>
  <c r="T43" i="1"/>
  <c r="S43" i="1"/>
  <c r="R43" i="1"/>
  <c r="T45" i="1"/>
  <c r="R45" i="1"/>
  <c r="P45" i="1"/>
  <c r="U54" i="1"/>
  <c r="T54" i="1"/>
  <c r="S54" i="1"/>
  <c r="Q54" i="1"/>
  <c r="P54" i="1"/>
  <c r="U64" i="1"/>
  <c r="Q64" i="1"/>
  <c r="P64" i="1"/>
  <c r="V74" i="1"/>
  <c r="U74" i="1"/>
  <c r="T74" i="1"/>
  <c r="S74" i="1"/>
  <c r="R74" i="1"/>
  <c r="Q74" i="1"/>
  <c r="P74" i="1"/>
  <c r="V200" i="1"/>
  <c r="U200" i="1"/>
  <c r="T200" i="1"/>
  <c r="S200" i="1"/>
  <c r="V80" i="1"/>
  <c r="U80" i="1"/>
  <c r="T80" i="1"/>
  <c r="S80" i="1"/>
  <c r="R80" i="1"/>
  <c r="Q80" i="1"/>
  <c r="P80" i="1"/>
  <c r="V87" i="1"/>
  <c r="U87" i="1"/>
  <c r="T87" i="1"/>
  <c r="S87" i="1"/>
  <c r="R87" i="1"/>
  <c r="Q87" i="1"/>
  <c r="P87" i="1"/>
  <c r="AH102" i="1"/>
  <c r="AG102" i="1"/>
  <c r="AF102" i="1"/>
  <c r="AH106" i="1"/>
  <c r="AG106" i="1"/>
  <c r="AF106" i="1"/>
  <c r="AH109" i="1"/>
  <c r="AG109" i="1"/>
  <c r="AF109" i="1"/>
  <c r="V128" i="1"/>
  <c r="Q128" i="1"/>
  <c r="P128" i="1"/>
  <c r="V130" i="1"/>
  <c r="U130" i="1"/>
  <c r="T130" i="1"/>
  <c r="S130" i="1"/>
  <c r="R130" i="1"/>
  <c r="Q130" i="1"/>
  <c r="P130" i="1"/>
  <c r="AH139" i="1"/>
  <c r="AG139" i="1"/>
  <c r="AF139" i="1"/>
  <c r="AH140" i="1"/>
  <c r="AG140" i="1"/>
  <c r="AF140" i="1"/>
  <c r="AH145" i="1"/>
  <c r="AG145" i="1"/>
  <c r="AF145" i="1"/>
  <c r="AH148" i="1"/>
  <c r="AG148" i="1"/>
  <c r="AF148" i="1"/>
  <c r="AH149" i="1"/>
  <c r="AG149" i="1"/>
  <c r="AF149" i="1"/>
  <c r="Q152" i="1"/>
  <c r="AH152" i="1" s="1"/>
  <c r="V153" i="1"/>
  <c r="U153" i="1"/>
  <c r="S153" i="1"/>
  <c r="Q153" i="1"/>
  <c r="P153" i="1"/>
  <c r="AH154" i="1"/>
  <c r="AG154" i="1"/>
  <c r="AF154" i="1"/>
  <c r="V156" i="1"/>
  <c r="U156" i="1"/>
  <c r="V166" i="1"/>
  <c r="T166" i="1"/>
  <c r="R166" i="1"/>
  <c r="P166" i="1"/>
  <c r="V174" i="1"/>
  <c r="U174" i="1"/>
  <c r="T174" i="1"/>
  <c r="S174" i="1"/>
  <c r="V181" i="1"/>
  <c r="U181" i="1"/>
  <c r="T181" i="1"/>
  <c r="S181" i="1"/>
  <c r="R181" i="1"/>
  <c r="Q181" i="1"/>
  <c r="P181" i="1"/>
  <c r="V183" i="1"/>
  <c r="U183" i="1"/>
  <c r="T183" i="1"/>
  <c r="S183" i="1"/>
  <c r="R183" i="1"/>
  <c r="Q183" i="1"/>
  <c r="P183" i="1"/>
  <c r="U185" i="1"/>
  <c r="T185" i="1"/>
  <c r="S185" i="1"/>
  <c r="Q185" i="1"/>
  <c r="AH52" i="1"/>
  <c r="AG52" i="1"/>
  <c r="AF52" i="1"/>
  <c r="U178" i="1"/>
  <c r="T178" i="1"/>
  <c r="R178" i="1"/>
  <c r="Q178" i="1"/>
  <c r="V110" i="1"/>
  <c r="U110" i="1"/>
  <c r="T110" i="1"/>
  <c r="S110" i="1"/>
  <c r="R110" i="1"/>
  <c r="Q110" i="1"/>
  <c r="P110" i="1"/>
  <c r="V113" i="1"/>
  <c r="U113" i="1"/>
  <c r="T113" i="1"/>
  <c r="S113" i="1"/>
  <c r="V4" i="1"/>
  <c r="U4" i="1"/>
  <c r="T4" i="1"/>
  <c r="S4" i="1"/>
  <c r="R4" i="1"/>
  <c r="Q4" i="1"/>
  <c r="P4" i="1"/>
  <c r="V88" i="1"/>
  <c r="T88" i="1"/>
  <c r="S88" i="1"/>
  <c r="R88" i="1"/>
  <c r="Q88" i="1"/>
  <c r="P88" i="1"/>
  <c r="AH91" i="1"/>
  <c r="AG91" i="1"/>
  <c r="AF91" i="1"/>
  <c r="AH92" i="1"/>
  <c r="AG92" i="1"/>
  <c r="AF92" i="1"/>
  <c r="W186" i="1"/>
  <c r="V186" i="1"/>
  <c r="U186" i="1"/>
  <c r="T186" i="1"/>
  <c r="S186" i="1"/>
  <c r="R186" i="1"/>
  <c r="Q186" i="1"/>
  <c r="P186" i="1"/>
  <c r="W107" i="1"/>
  <c r="V107" i="1"/>
  <c r="U107" i="1"/>
  <c r="T107" i="1"/>
  <c r="S107" i="1"/>
  <c r="R107" i="1"/>
  <c r="Q107" i="1"/>
  <c r="P107" i="1"/>
  <c r="AH47" i="1"/>
  <c r="AG47" i="1"/>
  <c r="AF47" i="1"/>
  <c r="W75" i="1"/>
  <c r="V75" i="1"/>
  <c r="U75" i="1"/>
  <c r="T75" i="1"/>
  <c r="S75" i="1"/>
  <c r="R75" i="1"/>
  <c r="Q75" i="1"/>
  <c r="P75" i="1"/>
  <c r="AH93" i="1"/>
  <c r="AG93" i="1"/>
  <c r="AF93" i="1"/>
  <c r="AH98" i="1"/>
  <c r="AG98" i="1"/>
  <c r="AF98" i="1"/>
  <c r="V132" i="1"/>
  <c r="U132" i="1"/>
  <c r="S132" i="1"/>
  <c r="R132" i="1"/>
  <c r="Q132" i="1"/>
  <c r="P132" i="1"/>
  <c r="AH147" i="1"/>
  <c r="AG147" i="1"/>
  <c r="AF147" i="1"/>
  <c r="AH151" i="1"/>
  <c r="AG151" i="1"/>
  <c r="AF151" i="1"/>
  <c r="AH161" i="1"/>
  <c r="AG161" i="1"/>
  <c r="AF161" i="1"/>
  <c r="W199" i="1"/>
  <c r="V199" i="1"/>
  <c r="U199" i="1"/>
  <c r="S199" i="1"/>
  <c r="R199" i="1"/>
  <c r="Q199" i="1"/>
  <c r="P199" i="1"/>
  <c r="W131" i="1"/>
  <c r="V131" i="1"/>
  <c r="U131" i="1"/>
  <c r="W7" i="1"/>
  <c r="V7" i="1"/>
  <c r="U7" i="1"/>
  <c r="T7" i="1"/>
  <c r="S7" i="1"/>
  <c r="R7" i="1"/>
  <c r="Q7" i="1"/>
  <c r="P7" i="1"/>
  <c r="AH13" i="1"/>
  <c r="AG13" i="1"/>
  <c r="AF13" i="1"/>
  <c r="AH26" i="1"/>
  <c r="AG26" i="1"/>
  <c r="AF26" i="1"/>
  <c r="W38" i="1"/>
  <c r="V38" i="1"/>
  <c r="U38" i="1"/>
  <c r="T38" i="1"/>
  <c r="S38" i="1"/>
  <c r="P38" i="1"/>
  <c r="W51" i="1"/>
  <c r="V51" i="1"/>
  <c r="T51" i="1"/>
  <c r="S51" i="1"/>
  <c r="R51" i="1"/>
  <c r="Q51" i="1"/>
  <c r="AH63" i="1"/>
  <c r="AG63" i="1"/>
  <c r="AF63" i="1"/>
  <c r="AH66" i="1"/>
  <c r="AG66" i="1"/>
  <c r="AF66" i="1"/>
  <c r="W70" i="1"/>
  <c r="V70" i="1"/>
  <c r="U70" i="1"/>
  <c r="T70" i="1"/>
  <c r="S70" i="1"/>
  <c r="R70" i="1"/>
  <c r="Q70" i="1"/>
  <c r="P70" i="1"/>
  <c r="W78" i="1"/>
  <c r="V78" i="1"/>
  <c r="U78" i="1"/>
  <c r="T78" i="1"/>
  <c r="S78" i="1"/>
  <c r="R78" i="1"/>
  <c r="Q78" i="1"/>
  <c r="P78" i="1"/>
  <c r="W86" i="1"/>
  <c r="V86" i="1"/>
  <c r="U86" i="1"/>
  <c r="T86" i="1"/>
  <c r="S86" i="1"/>
  <c r="R86" i="1"/>
  <c r="P86" i="1"/>
  <c r="AH100" i="1"/>
  <c r="AG100" i="1"/>
  <c r="AF100" i="1"/>
  <c r="AH101" i="1"/>
  <c r="AG101" i="1"/>
  <c r="AF101" i="1"/>
  <c r="W103" i="1"/>
  <c r="V103" i="1"/>
  <c r="U103" i="1"/>
  <c r="T103" i="1"/>
  <c r="W114" i="1"/>
  <c r="V114" i="1"/>
  <c r="U114" i="1"/>
  <c r="T114" i="1"/>
  <c r="S114" i="1"/>
  <c r="R114" i="1"/>
  <c r="Q114" i="1"/>
  <c r="P114" i="1"/>
  <c r="AH115" i="1"/>
  <c r="AG115" i="1"/>
  <c r="AF115" i="1"/>
  <c r="AH119" i="1"/>
  <c r="AG119" i="1"/>
  <c r="AF119" i="1"/>
  <c r="AH121" i="1"/>
  <c r="AG121" i="1"/>
  <c r="AF121" i="1"/>
  <c r="AH129" i="1"/>
  <c r="AG129" i="1"/>
  <c r="AF129" i="1"/>
  <c r="AH136" i="1"/>
  <c r="AG136" i="1"/>
  <c r="AF136" i="1"/>
  <c r="W204" i="1"/>
  <c r="V204" i="1"/>
  <c r="U204" i="1"/>
  <c r="T204" i="1"/>
  <c r="S204" i="1"/>
  <c r="R204" i="1"/>
  <c r="Q204" i="1"/>
  <c r="P204" i="1"/>
  <c r="W159" i="1"/>
  <c r="R159" i="1"/>
  <c r="P159" i="1"/>
  <c r="W163" i="1"/>
  <c r="V163" i="1"/>
  <c r="S163" i="1"/>
  <c r="R163" i="1"/>
  <c r="Q163" i="1"/>
  <c r="P163" i="1"/>
  <c r="W167" i="1"/>
  <c r="V167" i="1"/>
  <c r="U167" i="1"/>
  <c r="T167" i="1"/>
  <c r="S167" i="1"/>
  <c r="R167" i="1"/>
  <c r="Q167" i="1"/>
  <c r="P167" i="1"/>
  <c r="AH95" i="1"/>
  <c r="AG95" i="1"/>
  <c r="AF95" i="1"/>
  <c r="AH39" i="1"/>
  <c r="AG39" i="1"/>
  <c r="AF39" i="1"/>
  <c r="W57" i="1"/>
  <c r="V57" i="1"/>
  <c r="T57" i="1"/>
  <c r="S57" i="1"/>
  <c r="Q57" i="1"/>
  <c r="P57" i="1"/>
  <c r="W58" i="1"/>
  <c r="V58" i="1"/>
  <c r="U58" i="1"/>
  <c r="T58" i="1"/>
  <c r="S58" i="1"/>
  <c r="R58" i="1"/>
  <c r="Q58" i="1"/>
  <c r="P58" i="1"/>
  <c r="AH94" i="1"/>
  <c r="AG94" i="1"/>
  <c r="AF94" i="1"/>
  <c r="AH99" i="1"/>
  <c r="AG99" i="1"/>
  <c r="AF99" i="1"/>
  <c r="V49" i="1"/>
  <c r="U49" i="1"/>
  <c r="T49" i="1"/>
  <c r="S49" i="1"/>
  <c r="R49" i="1"/>
  <c r="P49" i="1"/>
  <c r="U9" i="1"/>
  <c r="T9" i="1"/>
  <c r="S9" i="1"/>
  <c r="AH20" i="1"/>
  <c r="AG20" i="1"/>
  <c r="AF20" i="1"/>
  <c r="V203" i="1"/>
  <c r="U203" i="1"/>
  <c r="W203" i="1"/>
  <c r="X36" i="1"/>
  <c r="W36" i="1"/>
  <c r="V36" i="1"/>
  <c r="U36" i="1"/>
  <c r="T36" i="1"/>
  <c r="S36" i="1"/>
  <c r="R36" i="1"/>
  <c r="Q36" i="1"/>
  <c r="P36" i="1"/>
  <c r="X46" i="1"/>
  <c r="W46" i="1"/>
  <c r="V46" i="1"/>
  <c r="U46" i="1"/>
  <c r="T46" i="1"/>
  <c r="S46" i="1"/>
  <c r="R46" i="1"/>
  <c r="Q46" i="1"/>
  <c r="P46" i="1"/>
  <c r="X144" i="1"/>
  <c r="W144" i="1"/>
  <c r="V144" i="1"/>
  <c r="U144" i="1"/>
  <c r="T144" i="1"/>
  <c r="S144" i="1"/>
  <c r="R144" i="1"/>
  <c r="Q144" i="1"/>
  <c r="P144" i="1"/>
  <c r="X82" i="1"/>
  <c r="W82" i="1"/>
  <c r="V82" i="1"/>
  <c r="U82" i="1"/>
  <c r="T82" i="1"/>
  <c r="S82" i="1"/>
  <c r="R82" i="1"/>
  <c r="Q82" i="1"/>
  <c r="P82" i="1"/>
  <c r="AH127" i="1"/>
  <c r="AG127" i="1"/>
  <c r="AF127" i="1"/>
  <c r="X19" i="1"/>
  <c r="W19" i="1"/>
  <c r="V19" i="1"/>
  <c r="U19" i="1"/>
  <c r="T19" i="1"/>
  <c r="S19" i="1"/>
  <c r="AH62" i="1"/>
  <c r="AG62" i="1"/>
  <c r="AF62" i="1"/>
  <c r="AH135" i="1"/>
  <c r="AG135" i="1"/>
  <c r="AF135" i="1"/>
  <c r="AH194" i="1"/>
  <c r="AG194" i="1"/>
  <c r="AF194" i="1"/>
  <c r="X155" i="1"/>
  <c r="W155" i="1"/>
  <c r="V155" i="1"/>
  <c r="U155" i="1"/>
  <c r="T155" i="1"/>
  <c r="S155" i="1"/>
  <c r="R155" i="1"/>
  <c r="Q155" i="1"/>
  <c r="P155" i="1"/>
  <c r="AH171" i="1"/>
  <c r="AG171" i="1"/>
  <c r="AF171" i="1"/>
  <c r="AH188" i="1"/>
  <c r="AG188" i="1"/>
  <c r="AF188" i="1"/>
  <c r="AH120" i="1"/>
  <c r="AG120" i="1"/>
  <c r="AF120" i="1"/>
  <c r="X179" i="1"/>
  <c r="W179" i="1"/>
  <c r="V179" i="1"/>
  <c r="U179" i="1"/>
  <c r="T179" i="1"/>
  <c r="S179" i="1"/>
  <c r="Y65" i="1"/>
  <c r="X65" i="1"/>
  <c r="W65" i="1"/>
  <c r="V65" i="1"/>
  <c r="U65" i="1"/>
  <c r="T65" i="1"/>
  <c r="S65" i="1"/>
  <c r="R65" i="1"/>
  <c r="Q65" i="1"/>
  <c r="P65" i="1"/>
  <c r="Y125" i="1"/>
  <c r="X125" i="1"/>
  <c r="W125" i="1"/>
  <c r="V125" i="1"/>
  <c r="U125" i="1"/>
  <c r="T125" i="1"/>
  <c r="S125" i="1"/>
  <c r="R125" i="1"/>
  <c r="Q125" i="1"/>
  <c r="P125" i="1"/>
  <c r="X195" i="1"/>
  <c r="U195" i="1"/>
  <c r="T195" i="1"/>
  <c r="S195" i="1"/>
  <c r="Y30" i="1"/>
  <c r="X30" i="1"/>
  <c r="V30" i="1"/>
  <c r="U30" i="1"/>
  <c r="T30" i="1"/>
  <c r="S30" i="1"/>
  <c r="Q30" i="1"/>
  <c r="P30" i="1"/>
  <c r="W122" i="1"/>
  <c r="V122" i="1"/>
  <c r="T122" i="1"/>
  <c r="S122" i="1"/>
  <c r="R122" i="1"/>
  <c r="Q122" i="1"/>
  <c r="Y118" i="1"/>
  <c r="X118" i="1"/>
  <c r="W118" i="1"/>
  <c r="V118" i="1"/>
  <c r="U118" i="1"/>
  <c r="T118" i="1"/>
  <c r="S118" i="1"/>
  <c r="R118" i="1"/>
  <c r="Q118" i="1"/>
  <c r="P118" i="1"/>
  <c r="Z68" i="1"/>
  <c r="Y68" i="1"/>
  <c r="X68" i="1"/>
  <c r="W68" i="1"/>
  <c r="V68" i="1"/>
  <c r="U68" i="1"/>
  <c r="T68" i="1"/>
  <c r="S68" i="1"/>
  <c r="R68" i="1"/>
  <c r="Q68" i="1"/>
  <c r="P68" i="1"/>
  <c r="Z134" i="1"/>
  <c r="Y134" i="1"/>
  <c r="X134" i="1"/>
  <c r="W134" i="1"/>
  <c r="V134" i="1"/>
  <c r="U134" i="1"/>
  <c r="T134" i="1"/>
  <c r="S134" i="1"/>
  <c r="R134" i="1"/>
  <c r="Q134" i="1"/>
  <c r="P134" i="1"/>
  <c r="Z44" i="1"/>
  <c r="Y44" i="1"/>
  <c r="X44" i="1"/>
  <c r="W44" i="1"/>
  <c r="V44" i="1"/>
  <c r="U44" i="1"/>
  <c r="T44" i="1"/>
  <c r="S44" i="1"/>
  <c r="R44" i="1"/>
  <c r="Q44" i="1"/>
  <c r="P44" i="1"/>
  <c r="Z182" i="1"/>
  <c r="Y182" i="1"/>
  <c r="X182" i="1"/>
  <c r="W182" i="1"/>
  <c r="V182" i="1"/>
  <c r="U182" i="1"/>
  <c r="T182" i="1"/>
  <c r="S182" i="1"/>
  <c r="R182" i="1"/>
  <c r="Q182" i="1"/>
  <c r="P182" i="1"/>
  <c r="AA96" i="1"/>
  <c r="Z96" i="1"/>
  <c r="Y96" i="1"/>
  <c r="X96" i="1"/>
  <c r="W96" i="1"/>
  <c r="V96" i="1"/>
  <c r="U96" i="1"/>
  <c r="T96" i="1"/>
  <c r="S96" i="1"/>
  <c r="R96" i="1"/>
  <c r="Q96" i="1"/>
  <c r="P96" i="1"/>
  <c r="AH137" i="1"/>
  <c r="AG137" i="1"/>
  <c r="AF137" i="1"/>
  <c r="AA83" i="1"/>
  <c r="Z83" i="1"/>
  <c r="Y83" i="1"/>
  <c r="X83" i="1"/>
  <c r="W83" i="1"/>
  <c r="V83" i="1"/>
  <c r="U83" i="1"/>
  <c r="T83" i="1"/>
  <c r="S83" i="1"/>
  <c r="R83" i="1"/>
  <c r="Q83" i="1"/>
  <c r="P83" i="1"/>
  <c r="AH108" i="1"/>
  <c r="AG108" i="1"/>
  <c r="AF108" i="1"/>
  <c r="AB198" i="1"/>
  <c r="AA198" i="1"/>
  <c r="Z198" i="1"/>
  <c r="Y198" i="1"/>
  <c r="X198" i="1"/>
  <c r="W198" i="1"/>
  <c r="V198" i="1"/>
  <c r="U198" i="1"/>
  <c r="T198" i="1"/>
  <c r="AB34" i="1"/>
  <c r="AA34" i="1"/>
  <c r="Z34" i="1"/>
  <c r="Y34" i="1"/>
  <c r="X34" i="1"/>
  <c r="W34" i="1"/>
  <c r="P34" i="1"/>
  <c r="AB24" i="1"/>
  <c r="AA24" i="1"/>
  <c r="Z24" i="1"/>
  <c r="Y24" i="1"/>
  <c r="X24" i="1"/>
  <c r="W24" i="1"/>
  <c r="V24" i="1"/>
  <c r="U24" i="1"/>
  <c r="T24" i="1"/>
  <c r="AH90" i="1"/>
  <c r="AG90" i="1"/>
  <c r="AF90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AH67" i="1"/>
  <c r="AG67" i="1"/>
  <c r="AF67" i="1"/>
  <c r="W85" i="1"/>
  <c r="U85" i="1"/>
  <c r="Q85" i="1"/>
  <c r="P85" i="1"/>
  <c r="AC123" i="1"/>
  <c r="AB123" i="1"/>
  <c r="AA123" i="1"/>
  <c r="Z123" i="1"/>
  <c r="Y123" i="1"/>
  <c r="X123" i="1"/>
  <c r="W123" i="1"/>
  <c r="V123" i="1"/>
  <c r="U123" i="1"/>
  <c r="T123" i="1"/>
  <c r="AC157" i="1"/>
  <c r="AB157" i="1"/>
  <c r="AA157" i="1"/>
  <c r="Z157" i="1"/>
  <c r="Y157" i="1"/>
  <c r="X157" i="1"/>
  <c r="W157" i="1"/>
  <c r="V157" i="1"/>
  <c r="U157" i="1"/>
  <c r="AH16" i="1"/>
  <c r="AG16" i="1"/>
  <c r="AF16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AF192" i="1" l="1"/>
  <c r="AH193" i="1"/>
  <c r="AG170" i="1"/>
  <c r="AG198" i="1"/>
  <c r="AH44" i="1"/>
  <c r="AG122" i="1"/>
  <c r="AF65" i="1"/>
  <c r="AH159" i="1"/>
  <c r="AG14" i="1"/>
  <c r="AH177" i="1"/>
  <c r="AG64" i="1"/>
  <c r="AH146" i="1"/>
  <c r="AG177" i="1"/>
  <c r="AG10" i="1"/>
  <c r="AH175" i="1"/>
  <c r="AF197" i="1"/>
  <c r="AF38" i="1"/>
  <c r="AF132" i="1"/>
  <c r="AH186" i="1"/>
  <c r="AH4" i="1"/>
  <c r="AH105" i="1"/>
  <c r="AH57" i="1"/>
  <c r="AH86" i="1"/>
  <c r="AG51" i="1"/>
  <c r="AH45" i="1"/>
  <c r="AG42" i="1"/>
  <c r="AG27" i="1"/>
  <c r="AG76" i="1"/>
  <c r="AG123" i="1"/>
  <c r="AH179" i="1"/>
  <c r="AG58" i="1"/>
  <c r="AG167" i="1"/>
  <c r="AH181" i="1"/>
  <c r="AF152" i="1"/>
  <c r="AG128" i="1"/>
  <c r="AF74" i="1"/>
  <c r="AG111" i="1"/>
  <c r="AF61" i="1"/>
  <c r="AG50" i="1"/>
  <c r="AF56" i="1"/>
  <c r="AG191" i="1"/>
  <c r="AH168" i="1"/>
  <c r="AF79" i="1"/>
  <c r="AH55" i="1"/>
  <c r="AH89" i="1"/>
  <c r="AH69" i="1"/>
  <c r="AG164" i="1"/>
  <c r="AF114" i="1"/>
  <c r="AG9" i="1"/>
  <c r="AG159" i="1"/>
  <c r="AG19" i="1"/>
  <c r="AH144" i="1"/>
  <c r="AG36" i="1"/>
  <c r="AF203" i="1"/>
  <c r="AG178" i="1"/>
  <c r="AG152" i="1"/>
  <c r="AG54" i="1"/>
  <c r="AH111" i="1"/>
  <c r="AF84" i="1"/>
  <c r="AF17" i="1"/>
  <c r="AH5" i="1"/>
  <c r="AH202" i="1"/>
  <c r="AG81" i="1"/>
  <c r="AH71" i="1"/>
  <c r="AH104" i="1"/>
  <c r="AH125" i="1"/>
  <c r="AH114" i="1"/>
  <c r="AH70" i="1"/>
  <c r="AG199" i="1"/>
  <c r="AG132" i="1"/>
  <c r="AF88" i="1"/>
  <c r="AF110" i="1"/>
  <c r="AH196" i="1"/>
  <c r="AH87" i="1"/>
  <c r="AF45" i="1"/>
  <c r="AF32" i="1"/>
  <c r="AH28" i="1"/>
  <c r="AH12" i="1"/>
  <c r="AH50" i="1"/>
  <c r="AF41" i="1"/>
  <c r="AH60" i="1"/>
  <c r="AF22" i="1"/>
  <c r="AF5" i="1"/>
  <c r="AH173" i="1"/>
  <c r="AF71" i="1"/>
  <c r="AG116" i="1"/>
  <c r="AH72" i="1"/>
  <c r="AH165" i="1"/>
  <c r="AF124" i="1"/>
  <c r="AG192" i="1"/>
  <c r="AG157" i="1"/>
  <c r="AF182" i="1"/>
  <c r="AG118" i="1"/>
  <c r="AG82" i="1"/>
  <c r="AH46" i="1"/>
  <c r="AF49" i="1"/>
  <c r="AH85" i="1"/>
  <c r="AF24" i="1"/>
  <c r="AG96" i="1"/>
  <c r="AG30" i="1"/>
  <c r="AF179" i="1"/>
  <c r="AG163" i="1"/>
  <c r="AG204" i="1"/>
  <c r="AG114" i="1"/>
  <c r="AG86" i="1"/>
  <c r="AG78" i="1"/>
  <c r="AG70" i="1"/>
  <c r="AH38" i="1"/>
  <c r="AH132" i="1"/>
  <c r="AH75" i="1"/>
  <c r="AG107" i="1"/>
  <c r="AG88" i="1"/>
  <c r="AF185" i="1"/>
  <c r="AH185" i="1"/>
  <c r="AF183" i="1"/>
  <c r="AG166" i="1"/>
  <c r="AF156" i="1"/>
  <c r="AH130" i="1"/>
  <c r="AF80" i="1"/>
  <c r="AG74" i="1"/>
  <c r="AF54" i="1"/>
  <c r="AG32" i="1"/>
  <c r="AF28" i="1"/>
  <c r="AF12" i="1"/>
  <c r="AF50" i="1"/>
  <c r="AG56" i="1"/>
  <c r="AF142" i="1"/>
  <c r="AH10" i="1"/>
  <c r="AF168" i="1"/>
  <c r="AF146" i="1"/>
  <c r="AF60" i="1"/>
  <c r="AG22" i="1"/>
  <c r="AF173" i="1"/>
  <c r="AF193" i="1"/>
  <c r="AG104" i="1"/>
  <c r="AF72" i="1"/>
  <c r="AH192" i="1"/>
  <c r="AH176" i="1"/>
  <c r="AH96" i="1"/>
  <c r="AH30" i="1"/>
  <c r="AF19" i="1"/>
  <c r="AH203" i="1"/>
  <c r="AF123" i="1"/>
  <c r="AG85" i="1"/>
  <c r="AH198" i="1"/>
  <c r="AF83" i="1"/>
  <c r="AH68" i="1"/>
  <c r="AH195" i="1"/>
  <c r="AG65" i="1"/>
  <c r="AG144" i="1"/>
  <c r="AH36" i="1"/>
  <c r="AH157" i="1"/>
  <c r="AG176" i="1"/>
  <c r="AH34" i="1"/>
  <c r="AH83" i="1"/>
  <c r="AF134" i="1"/>
  <c r="AF118" i="1"/>
  <c r="AG195" i="1"/>
  <c r="AH155" i="1"/>
  <c r="AH82" i="1"/>
  <c r="AG46" i="1"/>
  <c r="AG49" i="1"/>
  <c r="AF163" i="1"/>
  <c r="AF159" i="1"/>
  <c r="AF51" i="1"/>
  <c r="AG7" i="1"/>
  <c r="AG131" i="1"/>
  <c r="AF196" i="1"/>
  <c r="AG153" i="1"/>
  <c r="AF130" i="1"/>
  <c r="AH200" i="1"/>
  <c r="AH54" i="1"/>
  <c r="AG45" i="1"/>
  <c r="AF15" i="1"/>
  <c r="AF169" i="1"/>
  <c r="AH56" i="1"/>
  <c r="AF177" i="1"/>
  <c r="AG175" i="1"/>
  <c r="AG141" i="1"/>
  <c r="AG105" i="1"/>
  <c r="AG84" i="1"/>
  <c r="AH79" i="1"/>
  <c r="AH17" i="1"/>
  <c r="AG117" i="1"/>
  <c r="AF202" i="1"/>
  <c r="AG202" i="1"/>
  <c r="AG193" i="1"/>
  <c r="AH124" i="1"/>
  <c r="AF164" i="1"/>
  <c r="AH164" i="1"/>
  <c r="AF176" i="1"/>
  <c r="AG24" i="1"/>
  <c r="AG83" i="1"/>
  <c r="AG182" i="1"/>
  <c r="AG134" i="1"/>
  <c r="AH118" i="1"/>
  <c r="AF195" i="1"/>
  <c r="AF125" i="1"/>
  <c r="AF155" i="1"/>
  <c r="AH19" i="1"/>
  <c r="AF82" i="1"/>
  <c r="AF144" i="1"/>
  <c r="AF46" i="1"/>
  <c r="AF36" i="1"/>
  <c r="AH49" i="1"/>
  <c r="AH167" i="1"/>
  <c r="AF199" i="1"/>
  <c r="AH107" i="1"/>
  <c r="AF153" i="1"/>
  <c r="AF43" i="1"/>
  <c r="AH43" i="1"/>
  <c r="AG43" i="1"/>
  <c r="AH37" i="1"/>
  <c r="AF37" i="1"/>
  <c r="AF77" i="1"/>
  <c r="AH77" i="1"/>
  <c r="AG77" i="1"/>
  <c r="AF27" i="1"/>
  <c r="AF117" i="1"/>
  <c r="AG59" i="1"/>
  <c r="AF59" i="1"/>
  <c r="AF116" i="1"/>
  <c r="AH123" i="1"/>
  <c r="AF157" i="1"/>
  <c r="AF85" i="1"/>
  <c r="AH24" i="1"/>
  <c r="AF34" i="1"/>
  <c r="AF198" i="1"/>
  <c r="AF96" i="1"/>
  <c r="AH182" i="1"/>
  <c r="AF44" i="1"/>
  <c r="AH134" i="1"/>
  <c r="AF68" i="1"/>
  <c r="AH122" i="1"/>
  <c r="AF30" i="1"/>
  <c r="AG125" i="1"/>
  <c r="AG155" i="1"/>
  <c r="AG57" i="1"/>
  <c r="AH163" i="1"/>
  <c r="AF86" i="1"/>
  <c r="AF70" i="1"/>
  <c r="AH51" i="1"/>
  <c r="AG38" i="1"/>
  <c r="AH7" i="1"/>
  <c r="AF7" i="1"/>
  <c r="AH199" i="1"/>
  <c r="AG186" i="1"/>
  <c r="AF186" i="1"/>
  <c r="AH88" i="1"/>
  <c r="AG4" i="1"/>
  <c r="AH113" i="1"/>
  <c r="AG113" i="1"/>
  <c r="AF113" i="1"/>
  <c r="AG110" i="1"/>
  <c r="AG185" i="1"/>
  <c r="AH183" i="1"/>
  <c r="AG183" i="1"/>
  <c r="AH156" i="1"/>
  <c r="AH74" i="1"/>
  <c r="AH42" i="1"/>
  <c r="AF42" i="1"/>
  <c r="AH15" i="1"/>
  <c r="AG53" i="1"/>
  <c r="AH53" i="1"/>
  <c r="AF53" i="1"/>
  <c r="AF126" i="1"/>
  <c r="AH126" i="1"/>
  <c r="AG126" i="1"/>
  <c r="AG187" i="1"/>
  <c r="AF187" i="1"/>
  <c r="AF141" i="1"/>
  <c r="AF35" i="1"/>
  <c r="AG33" i="1"/>
  <c r="AF33" i="1"/>
  <c r="AG34" i="1"/>
  <c r="AG68" i="1"/>
  <c r="AG103" i="1"/>
  <c r="AF103" i="1"/>
  <c r="AF75" i="1"/>
  <c r="AH110" i="1"/>
  <c r="AG181" i="1"/>
  <c r="AH174" i="1"/>
  <c r="AG174" i="1"/>
  <c r="AF174" i="1"/>
  <c r="AH128" i="1"/>
  <c r="AF128" i="1"/>
  <c r="AG61" i="1"/>
  <c r="AF10" i="1"/>
  <c r="AG55" i="1"/>
  <c r="AF55" i="1"/>
  <c r="AH27" i="1"/>
  <c r="AH117" i="1"/>
  <c r="AH59" i="1"/>
  <c r="AH116" i="1"/>
  <c r="AH76" i="1"/>
  <c r="AG44" i="1"/>
  <c r="AF122" i="1"/>
  <c r="AH65" i="1"/>
  <c r="AG179" i="1"/>
  <c r="AG203" i="1"/>
  <c r="AF9" i="1"/>
  <c r="AH9" i="1"/>
  <c r="AH58" i="1"/>
  <c r="AF58" i="1"/>
  <c r="AF57" i="1"/>
  <c r="AF167" i="1"/>
  <c r="AH204" i="1"/>
  <c r="AF204" i="1"/>
  <c r="AH103" i="1"/>
  <c r="AH78" i="1"/>
  <c r="AF78" i="1"/>
  <c r="AF131" i="1"/>
  <c r="AH131" i="1"/>
  <c r="AG75" i="1"/>
  <c r="AF107" i="1"/>
  <c r="AG196" i="1"/>
  <c r="AH178" i="1"/>
  <c r="AF178" i="1"/>
  <c r="AH166" i="1"/>
  <c r="AF166" i="1"/>
  <c r="AH153" i="1"/>
  <c r="AG130" i="1"/>
  <c r="AG87" i="1"/>
  <c r="AG80" i="1"/>
  <c r="AF200" i="1"/>
  <c r="AG200" i="1"/>
  <c r="AH64" i="1"/>
  <c r="AF64" i="1"/>
  <c r="AG28" i="1"/>
  <c r="AH14" i="1"/>
  <c r="AF14" i="1"/>
  <c r="AG12" i="1"/>
  <c r="AG169" i="1"/>
  <c r="AH61" i="1"/>
  <c r="AG37" i="1"/>
  <c r="AH191" i="1"/>
  <c r="AF191" i="1"/>
  <c r="AH142" i="1"/>
  <c r="AH41" i="1"/>
  <c r="AH187" i="1"/>
  <c r="AG180" i="1"/>
  <c r="AH180" i="1"/>
  <c r="AF180" i="1"/>
  <c r="AH170" i="1"/>
  <c r="AF170" i="1"/>
  <c r="AH141" i="1"/>
  <c r="AH33" i="1"/>
  <c r="AH81" i="1"/>
  <c r="AG69" i="1"/>
  <c r="AF69" i="1"/>
  <c r="AG165" i="1"/>
  <c r="AF165" i="1"/>
  <c r="AF4" i="1"/>
  <c r="AF181" i="1"/>
  <c r="AG156" i="1"/>
  <c r="AF87" i="1"/>
  <c r="AH80" i="1"/>
  <c r="AH32" i="1"/>
  <c r="AG15" i="1"/>
  <c r="AH169" i="1"/>
  <c r="AG142" i="1"/>
  <c r="AG41" i="1"/>
  <c r="AF175" i="1"/>
  <c r="AF105" i="1"/>
  <c r="AH84" i="1"/>
  <c r="AG79" i="1"/>
  <c r="AG60" i="1"/>
  <c r="AG35" i="1"/>
  <c r="AG197" i="1"/>
  <c r="AG17" i="1"/>
  <c r="AG5" i="1"/>
  <c r="AG173" i="1"/>
  <c r="AF89" i="1"/>
  <c r="AG71" i="1"/>
  <c r="AG72" i="1"/>
  <c r="AG124" i="1"/>
  <c r="AH35" i="1"/>
  <c r="AH197" i="1"/>
  <c r="AF81" i="1"/>
  <c r="AF104" i="1"/>
  <c r="AF76" i="1"/>
  <c r="C12" i="2" l="1"/>
  <c r="C13" i="2"/>
  <c r="C14" i="2"/>
  <c r="C15" i="2"/>
  <c r="C16" i="2"/>
  <c r="C17" i="2"/>
  <c r="C18" i="2"/>
  <c r="C19" i="2"/>
  <c r="C1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2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3" i="2"/>
  <c r="C100" i="2"/>
  <c r="C101" i="2"/>
  <c r="C102" i="2"/>
  <c r="C103" i="2"/>
  <c r="C104" i="2"/>
  <c r="C105" i="2"/>
  <c r="C106" i="2"/>
  <c r="C4" i="2"/>
  <c r="C5" i="2"/>
  <c r="C107" i="2"/>
  <c r="C6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7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8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9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10" i="2"/>
  <c r="C11" i="2"/>
  <c r="B12" i="2"/>
  <c r="B13" i="2"/>
  <c r="B14" i="2"/>
  <c r="B15" i="2"/>
  <c r="B16" i="2"/>
  <c r="B17" i="2"/>
  <c r="B18" i="2"/>
  <c r="B19" i="2"/>
  <c r="B1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2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3" i="2"/>
  <c r="B100" i="2"/>
  <c r="B101" i="2"/>
  <c r="B102" i="2"/>
  <c r="B103" i="2"/>
  <c r="B104" i="2"/>
  <c r="B105" i="2"/>
  <c r="B106" i="2"/>
  <c r="B4" i="2"/>
  <c r="B5" i="2"/>
  <c r="B107" i="2"/>
  <c r="B6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7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8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9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10" i="2"/>
  <c r="B11" i="2"/>
</calcChain>
</file>

<file path=xl/sharedStrings.xml><?xml version="1.0" encoding="utf-8"?>
<sst xmlns="http://schemas.openxmlformats.org/spreadsheetml/2006/main" count="673" uniqueCount="122">
  <si>
    <t>4/30/15</t>
  </si>
  <si>
    <t>IR/HS</t>
  </si>
  <si>
    <t>8/19/15</t>
  </si>
  <si>
    <t>IR</t>
  </si>
  <si>
    <t>6/27/15</t>
  </si>
  <si>
    <t>1/22/15</t>
  </si>
  <si>
    <t>6/22/15</t>
  </si>
  <si>
    <t>5/15/15</t>
  </si>
  <si>
    <t>1/23/15</t>
  </si>
  <si>
    <t>8/04/15</t>
  </si>
  <si>
    <t>2/23/15</t>
  </si>
  <si>
    <t>7/09/15</t>
  </si>
  <si>
    <t>2/19/15</t>
  </si>
  <si>
    <t>8/06/15</t>
  </si>
  <si>
    <t>11/22/14</t>
  </si>
  <si>
    <t>1/05/15</t>
  </si>
  <si>
    <t>5/03/15</t>
  </si>
  <si>
    <t>2/12/14</t>
  </si>
  <si>
    <t>3/20/15</t>
  </si>
  <si>
    <t>9/21/15</t>
  </si>
  <si>
    <t>1/30/15</t>
  </si>
  <si>
    <t>HS</t>
  </si>
  <si>
    <t>11/07/14</t>
  </si>
  <si>
    <t>1/31/15</t>
  </si>
  <si>
    <t>2/07/15</t>
  </si>
  <si>
    <t>8/08/14</t>
  </si>
  <si>
    <t>10/31/14</t>
  </si>
  <si>
    <t>1/10/14</t>
  </si>
  <si>
    <t>10/05/14</t>
  </si>
  <si>
    <t>1/17/15</t>
  </si>
  <si>
    <t>11/14/14</t>
  </si>
  <si>
    <t>1/21/15</t>
  </si>
  <si>
    <t>9/14/14</t>
  </si>
  <si>
    <t>HS/IR</t>
  </si>
  <si>
    <t>6/16/15</t>
  </si>
  <si>
    <t>2/12/15</t>
  </si>
  <si>
    <t>7/07/15</t>
  </si>
  <si>
    <t>11/16/14</t>
  </si>
  <si>
    <t>1/14/15</t>
  </si>
  <si>
    <t>8/06/14</t>
  </si>
  <si>
    <t>AC</t>
  </si>
  <si>
    <t>7/30/14</t>
  </si>
  <si>
    <t>3/03/15</t>
  </si>
  <si>
    <t>10/04/14</t>
  </si>
  <si>
    <t>10/09/14</t>
  </si>
  <si>
    <t>8/16/14</t>
  </si>
  <si>
    <t>3/02/15</t>
  </si>
  <si>
    <t>9/05/14</t>
  </si>
  <si>
    <t>8/14/14</t>
  </si>
  <si>
    <t>12/06/14</t>
  </si>
  <si>
    <t>10/24/14</t>
  </si>
  <si>
    <t>12/04/14</t>
  </si>
  <si>
    <t>12/07/14</t>
  </si>
  <si>
    <t>9/18/14</t>
  </si>
  <si>
    <t>9/26/14</t>
  </si>
  <si>
    <t>8/13/14</t>
  </si>
  <si>
    <t>11/24/14</t>
  </si>
  <si>
    <t>2/14/15</t>
  </si>
  <si>
    <t>5/07/15</t>
  </si>
  <si>
    <t>1/13/15</t>
  </si>
  <si>
    <t>11/12/14</t>
  </si>
  <si>
    <t>6/30/15</t>
  </si>
  <si>
    <t>5/18/15</t>
  </si>
  <si>
    <t>7/02/15</t>
  </si>
  <si>
    <t>7/28/15</t>
  </si>
  <si>
    <t>8/07/14</t>
  </si>
  <si>
    <t>3/26/15</t>
  </si>
  <si>
    <t>10/12/14</t>
  </si>
  <si>
    <t>6/18/15</t>
  </si>
  <si>
    <t>8/21/14</t>
  </si>
  <si>
    <t>10/26/14</t>
  </si>
  <si>
    <t>8/01/14</t>
  </si>
  <si>
    <t>Not CZ</t>
  </si>
  <si>
    <t>11/02/14</t>
  </si>
  <si>
    <t>11/03/14</t>
  </si>
  <si>
    <t>10/10/14</t>
  </si>
  <si>
    <t>10/18/14</t>
  </si>
  <si>
    <t>CZ</t>
  </si>
  <si>
    <t>7/10/14</t>
  </si>
  <si>
    <t>10/19/14</t>
  </si>
  <si>
    <t>9/30/15</t>
  </si>
  <si>
    <t>9/26/15</t>
  </si>
  <si>
    <t>7/31/14</t>
  </si>
  <si>
    <t>8/13/15</t>
  </si>
  <si>
    <t>5/09/15</t>
  </si>
  <si>
    <t>7/23/14</t>
  </si>
  <si>
    <t>7/25/14</t>
  </si>
  <si>
    <t>9/12/14</t>
  </si>
  <si>
    <t xml:space="preserve"> 296## </t>
  </si>
  <si>
    <t>BL Stock</t>
  </si>
  <si>
    <t>RAL Line</t>
  </si>
  <si>
    <t>Image 1</t>
  </si>
  <si>
    <t>Image 2</t>
  </si>
  <si>
    <t>Image 3</t>
  </si>
  <si>
    <t>Image 4</t>
  </si>
  <si>
    <t>Image 5</t>
  </si>
  <si>
    <t>Image 6</t>
  </si>
  <si>
    <t>Image 7</t>
  </si>
  <si>
    <t>Image 8</t>
  </si>
  <si>
    <t>Image 9</t>
  </si>
  <si>
    <t>Image 10</t>
  </si>
  <si>
    <t>Image 11</t>
  </si>
  <si>
    <t>Image 12</t>
  </si>
  <si>
    <t>Image 13</t>
  </si>
  <si>
    <t>Image 14</t>
  </si>
  <si>
    <t>Image 15</t>
  </si>
  <si>
    <t>Image 16</t>
  </si>
  <si>
    <t>Average</t>
  </si>
  <si>
    <t>St Dev</t>
  </si>
  <si>
    <t>Number</t>
  </si>
  <si>
    <t>Old data before the switch</t>
  </si>
  <si>
    <t>Only CZ, only blue channeled worked</t>
  </si>
  <si>
    <t>Formated in lsm</t>
  </si>
  <si>
    <t>Recount, just use HS &amp; IR</t>
  </si>
  <si>
    <t>CZ Images done before staining switch, numbers should be right</t>
  </si>
  <si>
    <t>CZ Dissections bad, only AC images used</t>
  </si>
  <si>
    <t>HS Images before switch</t>
  </si>
  <si>
    <t>Images label correct</t>
  </si>
  <si>
    <t>Images label correct, 9/14 HS Images bad</t>
  </si>
  <si>
    <t>Image good</t>
  </si>
  <si>
    <t>CZ Image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</si>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</sst>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;@"/>
    <numFmt numFmtId="165" formatCode="0.000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Trebuchet MS"/>
      <family val="2"/>
    </font>
    <font>
      <b/>
      <sz val="12"/>
      <color indexed="8"/>
      <name val="Verdana"/>
      <family val="2"/>
    </font>
    <font>
      <sz val="12"/>
      <color indexed="8"/>
      <name val="Verdana"/>
      <family val="2"/>
    </font>
    <font>
      <sz val="12"/>
      <color theme="1"/>
      <name val="Verdana"/>
      <family val="2"/>
    </font>
    <font>
      <sz val="11"/>
      <color theme="1"/>
      <name val="Calibri"/>
      <family val="2"/>
      <scheme val="minor"/>
    </font>
    <font>
      <sz val="12"/>
      <color indexed="8"/>
      <name val="Verdana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8F9D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medium">
        <color rgb="FFDED7BE"/>
      </left>
      <right style="medium">
        <color rgb="FFDED7BE"/>
      </right>
      <top style="medium">
        <color rgb="FFDED7BE"/>
      </top>
      <bottom style="medium">
        <color rgb="FFDED7BE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7" fillId="0" borderId="0" applyNumberFormat="0" applyFill="0" applyBorder="0" applyProtection="0">
      <alignment vertical="top" wrapText="1"/>
    </xf>
    <xf numFmtId="0" fontId="1" fillId="0" borderId="0" applyNumberFormat="0" applyFill="0" applyBorder="0" applyAlignment="0" applyProtection="0"/>
    <xf numFmtId="0" fontId="6" fillId="0" borderId="0"/>
    <xf numFmtId="0" fontId="6" fillId="0" borderId="0"/>
  </cellStyleXfs>
  <cellXfs count="46">
    <xf numFmtId="0" fontId="0" fillId="0" borderId="0" xfId="0"/>
    <xf numFmtId="164" fontId="0" fillId="5" borderId="0" xfId="0" applyNumberFormat="1" applyFill="1"/>
    <xf numFmtId="164" fontId="0" fillId="4" borderId="0" xfId="0" applyNumberFormat="1" applyFill="1"/>
    <xf numFmtId="0" fontId="0" fillId="5" borderId="0" xfId="0" applyFill="1"/>
    <xf numFmtId="14" fontId="0" fillId="3" borderId="0" xfId="0" applyNumberFormat="1" applyFill="1"/>
    <xf numFmtId="0" fontId="0" fillId="5" borderId="0" xfId="0" applyFill="1"/>
    <xf numFmtId="0" fontId="0" fillId="0" borderId="0" xfId="0"/>
    <xf numFmtId="0" fontId="0" fillId="5" borderId="0" xfId="0" applyFill="1"/>
    <xf numFmtId="0" fontId="0" fillId="0" borderId="0" xfId="0"/>
    <xf numFmtId="0" fontId="0" fillId="4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3" borderId="0" xfId="0" applyFill="1"/>
    <xf numFmtId="0" fontId="1" fillId="2" borderId="1" xfId="1" applyFill="1" applyBorder="1" applyAlignment="1">
      <alignment horizontal="center" vertical="center" wrapText="1"/>
    </xf>
    <xf numFmtId="164" fontId="0" fillId="3" borderId="0" xfId="0" applyNumberFormat="1" applyFill="1"/>
    <xf numFmtId="0" fontId="0" fillId="5" borderId="0" xfId="0" applyFill="1"/>
    <xf numFmtId="0" fontId="2" fillId="6" borderId="1" xfId="0" applyFont="1" applyFill="1" applyBorder="1" applyAlignment="1">
      <alignment vertical="center" wrapText="1"/>
    </xf>
    <xf numFmtId="14" fontId="0" fillId="5" borderId="0" xfId="0" applyNumberFormat="1" applyFill="1"/>
    <xf numFmtId="1" fontId="3" fillId="0" borderId="2" xfId="0" applyNumberFormat="1" applyFont="1" applyFill="1" applyBorder="1" applyAlignment="1">
      <alignment vertical="center" wrapText="1"/>
    </xf>
    <xf numFmtId="165" fontId="3" fillId="0" borderId="2" xfId="0" applyNumberFormat="1" applyFont="1" applyFill="1" applyBorder="1" applyAlignment="1">
      <alignment vertical="center" wrapText="1"/>
    </xf>
    <xf numFmtId="1" fontId="3" fillId="7" borderId="2" xfId="0" applyNumberFormat="1" applyFont="1" applyFill="1" applyBorder="1" applyAlignment="1">
      <alignment vertical="center" wrapText="1"/>
    </xf>
    <xf numFmtId="165" fontId="4" fillId="7" borderId="2" xfId="0" applyNumberFormat="1" applyFont="1" applyFill="1" applyBorder="1" applyAlignment="1">
      <alignment vertical="center" wrapText="1"/>
    </xf>
    <xf numFmtId="165" fontId="4" fillId="0" borderId="2" xfId="0" applyNumberFormat="1" applyFont="1" applyFill="1" applyBorder="1" applyAlignment="1">
      <alignment vertical="center" wrapText="1"/>
    </xf>
    <xf numFmtId="165" fontId="4" fillId="0" borderId="2" xfId="0" applyNumberFormat="1" applyFont="1" applyBorder="1" applyAlignment="1">
      <alignment vertical="center" wrapText="1"/>
    </xf>
    <xf numFmtId="165" fontId="4" fillId="7" borderId="2" xfId="0" applyNumberFormat="1" applyFont="1" applyFill="1" applyBorder="1" applyAlignment="1">
      <alignment vertical="center"/>
    </xf>
    <xf numFmtId="165" fontId="4" fillId="0" borderId="2" xfId="0" applyNumberFormat="1" applyFont="1" applyBorder="1" applyAlignment="1">
      <alignment vertical="center"/>
    </xf>
    <xf numFmtId="1" fontId="3" fillId="0" borderId="2" xfId="0" applyNumberFormat="1" applyFont="1" applyBorder="1" applyAlignment="1">
      <alignment vertical="center" wrapText="1"/>
    </xf>
    <xf numFmtId="165" fontId="4" fillId="0" borderId="2" xfId="0" applyNumberFormat="1" applyFont="1" applyBorder="1" applyAlignment="1">
      <alignment vertical="top" wrapText="1"/>
    </xf>
    <xf numFmtId="1" fontId="3" fillId="0" borderId="2" xfId="0" applyNumberFormat="1" applyFont="1" applyBorder="1" applyAlignment="1">
      <alignment vertical="top" wrapText="1"/>
    </xf>
    <xf numFmtId="165" fontId="5" fillId="0" borderId="2" xfId="0" applyNumberFormat="1" applyFont="1" applyBorder="1" applyAlignment="1"/>
    <xf numFmtId="1" fontId="3" fillId="7" borderId="2" xfId="0" applyNumberFormat="1" applyFont="1" applyFill="1" applyBorder="1" applyAlignment="1">
      <alignment vertical="center"/>
    </xf>
    <xf numFmtId="165" fontId="0" fillId="0" borderId="0" xfId="0" applyNumberFormat="1"/>
    <xf numFmtId="165" fontId="4" fillId="5" borderId="2" xfId="0" applyNumberFormat="1" applyFont="1" applyFill="1" applyBorder="1" applyAlignment="1">
      <alignment vertical="center"/>
    </xf>
    <xf numFmtId="165" fontId="4" fillId="5" borderId="2" xfId="0" applyNumberFormat="1" applyFont="1" applyFill="1" applyBorder="1" applyAlignment="1">
      <alignment vertical="center" wrapText="1"/>
    </xf>
    <xf numFmtId="165" fontId="4" fillId="8" borderId="2" xfId="0" applyNumberFormat="1" applyFont="1" applyFill="1" applyBorder="1" applyAlignment="1">
      <alignment vertical="center" wrapText="1"/>
    </xf>
    <xf numFmtId="0" fontId="5" fillId="9" borderId="2" xfId="0" applyFont="1" applyFill="1" applyBorder="1"/>
    <xf numFmtId="165" fontId="4" fillId="9" borderId="2" xfId="0" applyNumberFormat="1" applyFont="1" applyFill="1" applyBorder="1" applyAlignment="1">
      <alignment vertical="center" wrapText="1"/>
    </xf>
    <xf numFmtId="165" fontId="4" fillId="8" borderId="2" xfId="0" applyNumberFormat="1" applyFont="1" applyFill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7" fillId="0" borderId="0" xfId="2" applyFont="1" applyAlignment="1">
      <alignment vertical="top" wrapText="1"/>
    </xf>
    <xf numFmtId="0" fontId="8" fillId="0" borderId="0" xfId="2" applyFont="1" applyAlignment="1">
      <alignment horizontal="righ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</cellXfs>
  <cellStyles count="6">
    <cellStyle name="Hyperlink" xfId="1" builtinId="8"/>
    <cellStyle name="Hyperlink 2" xfId="3"/>
    <cellStyle name="Normal" xfId="0" builtinId="0"/>
    <cellStyle name="Normal 2" xfId="2"/>
    <cellStyle name="Normal 3" xfId="4"/>
    <cellStyle name="Normal 4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3"/>
          <c:spPr>
            <a:solidFill>
              <a:schemeClr val="bg1">
                <a:lumMod val="50000"/>
              </a:schemeClr>
            </a:solidFill>
          </c:spPr>
          <c:invertIfNegative val="0"/>
          <c:errBars>
            <c:errBarType val="plus"/>
            <c:errValType val="cust"/>
            <c:noEndCap val="1"/>
            <c:plus>
              <c:numRef>
                <c:f>Sheet9!$I:$I</c:f>
                <c:numCache>
                  <c:formatCode>General</c:formatCode>
                  <c:ptCount val="1048576"/>
                  <c:pt idx="0">
                    <c:v>0.1039381921656387</c:v>
                  </c:pt>
                  <c:pt idx="1">
                    <c:v>4.3123053843080961E-2</c:v>
                  </c:pt>
                  <c:pt idx="2">
                    <c:v>6.6454542887607868E-2</c:v>
                  </c:pt>
                  <c:pt idx="3">
                    <c:v>0</c:v>
                  </c:pt>
                  <c:pt idx="4">
                    <c:v>3.284668535716169E-2</c:v>
                  </c:pt>
                  <c:pt idx="5">
                    <c:v>0</c:v>
                  </c:pt>
                  <c:pt idx="6">
                    <c:v>7.0169675693342703E-2</c:v>
                  </c:pt>
                  <c:pt idx="7">
                    <c:v>0.10283928971447147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2.3449779307701459E-2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4.8833073143037531E-2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0.15919289227527694</c:v>
                  </c:pt>
                  <c:pt idx="45">
                    <c:v>2.2318805514153054E-2</c:v>
                  </c:pt>
                  <c:pt idx="46">
                    <c:v>0</c:v>
                  </c:pt>
                  <c:pt idx="47">
                    <c:v>3.4094499124836017E-2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7.499965357466637E-2</c:v>
                  </c:pt>
                  <c:pt idx="53">
                    <c:v>0.11745496934376892</c:v>
                  </c:pt>
                  <c:pt idx="54">
                    <c:v>2.8859350766384188E-2</c:v>
                  </c:pt>
                  <c:pt idx="55">
                    <c:v>1.6738973060463038E-2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5.5907951149068748E-2</c:v>
                  </c:pt>
                  <c:pt idx="61">
                    <c:v>2.3108950176012645E-2</c:v>
                  </c:pt>
                  <c:pt idx="62">
                    <c:v>3.3591026827031661E-2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6.108167551372843E-2</c:v>
                  </c:pt>
                  <c:pt idx="68">
                    <c:v>6.6696053675396605E-2</c:v>
                  </c:pt>
                  <c:pt idx="69">
                    <c:v>0</c:v>
                  </c:pt>
                  <c:pt idx="70">
                    <c:v>2.8408247394306276E-2</c:v>
                  </c:pt>
                  <c:pt idx="71">
                    <c:v>0.13132061343744211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2.7333861460841945E-2</c:v>
                  </c:pt>
                  <c:pt idx="77">
                    <c:v>6.3728458696705917E-2</c:v>
                  </c:pt>
                  <c:pt idx="78">
                    <c:v>4.0130816621213081E-2</c:v>
                  </c:pt>
                  <c:pt idx="79">
                    <c:v>4.0617119794639292E-2</c:v>
                  </c:pt>
                  <c:pt idx="80">
                    <c:v>4.575323357019017E-2</c:v>
                  </c:pt>
                  <c:pt idx="81">
                    <c:v>7.9074775378651693E-2</c:v>
                  </c:pt>
                  <c:pt idx="82">
                    <c:v>2.0356971978869556E-2</c:v>
                  </c:pt>
                  <c:pt idx="83">
                    <c:v>4.8935489795014421E-2</c:v>
                  </c:pt>
                  <c:pt idx="84">
                    <c:v>6.5194949623401735E-2</c:v>
                  </c:pt>
                  <c:pt idx="85">
                    <c:v>0</c:v>
                  </c:pt>
                  <c:pt idx="86">
                    <c:v>2.6420053346111992E-2</c:v>
                  </c:pt>
                  <c:pt idx="87">
                    <c:v>3.4722428065943903E-2</c:v>
                  </c:pt>
                  <c:pt idx="88">
                    <c:v>6.3696953005547188E-2</c:v>
                  </c:pt>
                  <c:pt idx="89">
                    <c:v>4.2970101161726865E-2</c:v>
                  </c:pt>
                  <c:pt idx="90">
                    <c:v>4.4501180511845109E-2</c:v>
                  </c:pt>
                  <c:pt idx="91">
                    <c:v>6.4515182730068427E-2</c:v>
                  </c:pt>
                  <c:pt idx="92">
                    <c:v>4.9133653214946463E-2</c:v>
                  </c:pt>
                  <c:pt idx="93">
                    <c:v>3.4366363488614847E-2</c:v>
                  </c:pt>
                  <c:pt idx="94">
                    <c:v>7.5726185809148902E-2</c:v>
                  </c:pt>
                  <c:pt idx="95">
                    <c:v>6.056904674241257E-2</c:v>
                  </c:pt>
                  <c:pt idx="96">
                    <c:v>4.9679457969016468E-2</c:v>
                  </c:pt>
                  <c:pt idx="97">
                    <c:v>6.8485569723598705E-2</c:v>
                  </c:pt>
                  <c:pt idx="98">
                    <c:v>5.1609375092880501E-2</c:v>
                  </c:pt>
                  <c:pt idx="99">
                    <c:v>4.0998523665742533E-2</c:v>
                  </c:pt>
                  <c:pt idx="100">
                    <c:v>2.8002143720748E-2</c:v>
                  </c:pt>
                  <c:pt idx="101">
                    <c:v>4.3871704250502852E-2</c:v>
                  </c:pt>
                  <c:pt idx="102">
                    <c:v>7.0269779883969027E-2</c:v>
                  </c:pt>
                  <c:pt idx="103">
                    <c:v>3.8303506631011938E-2</c:v>
                  </c:pt>
                  <c:pt idx="104">
                    <c:v>3.8041098137680508E-2</c:v>
                  </c:pt>
                  <c:pt idx="105">
                    <c:v>4.3414183553639692E-2</c:v>
                  </c:pt>
                  <c:pt idx="106">
                    <c:v>7.0786444257099165E-2</c:v>
                  </c:pt>
                  <c:pt idx="107">
                    <c:v>3.6598132344399945E-2</c:v>
                  </c:pt>
                  <c:pt idx="108">
                    <c:v>2.4477772162217869E-2</c:v>
                  </c:pt>
                  <c:pt idx="109">
                    <c:v>8.2605133899042144E-2</c:v>
                  </c:pt>
                  <c:pt idx="110">
                    <c:v>0</c:v>
                  </c:pt>
                  <c:pt idx="111">
                    <c:v>2.792015047257802E-2</c:v>
                  </c:pt>
                  <c:pt idx="112">
                    <c:v>6.432970130422247E-2</c:v>
                  </c:pt>
                  <c:pt idx="113">
                    <c:v>9.408552806071438E-2</c:v>
                  </c:pt>
                  <c:pt idx="114">
                    <c:v>5.5509829173683245E-2</c:v>
                  </c:pt>
                  <c:pt idx="115">
                    <c:v>8.9975186841237634E-2</c:v>
                  </c:pt>
                  <c:pt idx="116">
                    <c:v>5.9588044598636203E-2</c:v>
                  </c:pt>
                  <c:pt idx="117">
                    <c:v>5.8093125085338343E-2</c:v>
                  </c:pt>
                  <c:pt idx="118">
                    <c:v>0.12423053243317314</c:v>
                  </c:pt>
                  <c:pt idx="119">
                    <c:v>4.4687578372144827E-2</c:v>
                  </c:pt>
                  <c:pt idx="120">
                    <c:v>3.5295485476309202E-2</c:v>
                  </c:pt>
                  <c:pt idx="121">
                    <c:v>4.9726154129117961E-2</c:v>
                  </c:pt>
                  <c:pt idx="122">
                    <c:v>4.0057388486043274E-2</c:v>
                  </c:pt>
                  <c:pt idx="123">
                    <c:v>0</c:v>
                  </c:pt>
                  <c:pt idx="124">
                    <c:v>3.9621362800233317E-2</c:v>
                  </c:pt>
                  <c:pt idx="125">
                    <c:v>0</c:v>
                  </c:pt>
                  <c:pt idx="126">
                    <c:v>4.4854919911769119E-2</c:v>
                  </c:pt>
                  <c:pt idx="127">
                    <c:v>5.4756529079965505E-2</c:v>
                  </c:pt>
                  <c:pt idx="128">
                    <c:v>4.545560503628162E-2</c:v>
                  </c:pt>
                  <c:pt idx="129">
                    <c:v>5.2573633419717505E-2</c:v>
                  </c:pt>
                  <c:pt idx="130">
                    <c:v>0</c:v>
                  </c:pt>
                  <c:pt idx="131">
                    <c:v>1.9853969073515606E-2</c:v>
                  </c:pt>
                  <c:pt idx="132">
                    <c:v>4.9968306529868257E-2</c:v>
                  </c:pt>
                  <c:pt idx="133">
                    <c:v>7.3766743867190801E-2</c:v>
                  </c:pt>
                  <c:pt idx="134">
                    <c:v>0.10236472154176331</c:v>
                  </c:pt>
                  <c:pt idx="135">
                    <c:v>0</c:v>
                  </c:pt>
                  <c:pt idx="136">
                    <c:v>3.5157660096211484E-2</c:v>
                  </c:pt>
                  <c:pt idx="137">
                    <c:v>3.6369975687369709E-2</c:v>
                  </c:pt>
                  <c:pt idx="138">
                    <c:v>5.0561034720298645E-2</c:v>
                  </c:pt>
                  <c:pt idx="139">
                    <c:v>6.1524533887449134E-2</c:v>
                  </c:pt>
                  <c:pt idx="140">
                    <c:v>3.6552457042214222E-2</c:v>
                  </c:pt>
                  <c:pt idx="141">
                    <c:v>2.5686685009798055E-2</c:v>
                  </c:pt>
                  <c:pt idx="142">
                    <c:v>1.8684525618779996E-2</c:v>
                  </c:pt>
                  <c:pt idx="143">
                    <c:v>4.3496572426928608E-2</c:v>
                  </c:pt>
                  <c:pt idx="144">
                    <c:v>3.2786550873380123E-2</c:v>
                  </c:pt>
                  <c:pt idx="145">
                    <c:v>3.8625556470463264E-2</c:v>
                  </c:pt>
                  <c:pt idx="146">
                    <c:v>0</c:v>
                  </c:pt>
                  <c:pt idx="147">
                    <c:v>3.3397125603633247E-2</c:v>
                  </c:pt>
                  <c:pt idx="148">
                    <c:v>2.7228756501310614E-2</c:v>
                  </c:pt>
                  <c:pt idx="149">
                    <c:v>2.2054768467327887E-2</c:v>
                  </c:pt>
                  <c:pt idx="150">
                    <c:v>4.1130518657471915E-2</c:v>
                  </c:pt>
                  <c:pt idx="151">
                    <c:v>6.1677406220127864E-2</c:v>
                  </c:pt>
                  <c:pt idx="152">
                    <c:v>3.4027170081790736E-2</c:v>
                  </c:pt>
                  <c:pt idx="153">
                    <c:v>2.1115057569991796E-2</c:v>
                  </c:pt>
                  <c:pt idx="154">
                    <c:v>3.7273943960396891E-2</c:v>
                  </c:pt>
                  <c:pt idx="155">
                    <c:v>2.6900195909027889E-2</c:v>
                  </c:pt>
                  <c:pt idx="156">
                    <c:v>2.6562547311333461E-2</c:v>
                  </c:pt>
                  <c:pt idx="157">
                    <c:v>3.8876270184945348E-2</c:v>
                  </c:pt>
                  <c:pt idx="158">
                    <c:v>5.2733304441373405E-2</c:v>
                  </c:pt>
                  <c:pt idx="159">
                    <c:v>4.7662583268507162E-2</c:v>
                  </c:pt>
                  <c:pt idx="160">
                    <c:v>4.5399001580099629E-2</c:v>
                  </c:pt>
                  <c:pt idx="161">
                    <c:v>3.3420609323556442E-2</c:v>
                  </c:pt>
                  <c:pt idx="162">
                    <c:v>2.5683605548013477E-2</c:v>
                  </c:pt>
                  <c:pt idx="163">
                    <c:v>5.0461341031653804E-2</c:v>
                  </c:pt>
                  <c:pt idx="164">
                    <c:v>9.9453664274218173E-2</c:v>
                  </c:pt>
                  <c:pt idx="165">
                    <c:v>3.2864038969427876E-2</c:v>
                  </c:pt>
                  <c:pt idx="166">
                    <c:v>0</c:v>
                  </c:pt>
                  <c:pt idx="167">
                    <c:v>2.7469085993892951E-2</c:v>
                  </c:pt>
                  <c:pt idx="168">
                    <c:v>5.6519557675533183E-2</c:v>
                  </c:pt>
                  <c:pt idx="169">
                    <c:v>7.1777299431828298E-2</c:v>
                  </c:pt>
                  <c:pt idx="170">
                    <c:v>3.836264377082705E-2</c:v>
                  </c:pt>
                  <c:pt idx="171">
                    <c:v>4.6910676613444592E-2</c:v>
                  </c:pt>
                  <c:pt idx="172">
                    <c:v>2.7976634216356433E-2</c:v>
                  </c:pt>
                  <c:pt idx="173">
                    <c:v>7.3045345370320452E-2</c:v>
                  </c:pt>
                  <c:pt idx="174">
                    <c:v>4.1031854146085386E-2</c:v>
                  </c:pt>
                  <c:pt idx="175">
                    <c:v>2.2289150230583449E-2</c:v>
                  </c:pt>
                  <c:pt idx="176">
                    <c:v>2.4762952872715099E-2</c:v>
                  </c:pt>
                  <c:pt idx="177">
                    <c:v>4.5816857002251181E-2</c:v>
                  </c:pt>
                  <c:pt idx="178">
                    <c:v>7.4682706805777224E-2</c:v>
                  </c:pt>
                  <c:pt idx="179">
                    <c:v>4.3774610547555104E-2</c:v>
                  </c:pt>
                  <c:pt idx="180">
                    <c:v>5.3347314935869056E-2</c:v>
                  </c:pt>
                  <c:pt idx="181">
                    <c:v>4.2545804759144906E-2</c:v>
                  </c:pt>
                  <c:pt idx="182">
                    <c:v>5.4054845176822949E-2</c:v>
                  </c:pt>
                  <c:pt idx="183">
                    <c:v>6.316289598753122E-2</c:v>
                  </c:pt>
                  <c:pt idx="184">
                    <c:v>4.0848711275964941E-2</c:v>
                  </c:pt>
                  <c:pt idx="185">
                    <c:v>4.0542897240708656E-2</c:v>
                  </c:pt>
                  <c:pt idx="186">
                    <c:v>6.4218423286426199E-2</c:v>
                  </c:pt>
                  <c:pt idx="187">
                    <c:v>3.9526964756989476E-2</c:v>
                  </c:pt>
                  <c:pt idx="188">
                    <c:v>1.970968324384469E-2</c:v>
                  </c:pt>
                  <c:pt idx="189">
                    <c:v>5.0486435313495129E-2</c:v>
                  </c:pt>
                  <c:pt idx="190">
                    <c:v>3.2345338897050109E-2</c:v>
                  </c:pt>
                  <c:pt idx="191">
                    <c:v>5.6710139738491067E-2</c:v>
                  </c:pt>
                  <c:pt idx="192">
                    <c:v>4.1410783458765192E-2</c:v>
                  </c:pt>
                  <c:pt idx="193">
                    <c:v>6.1562245577830917E-2</c:v>
                  </c:pt>
                  <c:pt idx="194">
                    <c:v>7.3200207832488873E-2</c:v>
                  </c:pt>
                </c:numCache>
              </c:numRef>
            </c:plus>
            <c:minus>
              <c:numRef>
                <c:f>Sheet9!$I:$I</c:f>
                <c:numCache>
                  <c:formatCode>General</c:formatCode>
                  <c:ptCount val="1048576"/>
                  <c:pt idx="0">
                    <c:v>0.1039381921656387</c:v>
                  </c:pt>
                  <c:pt idx="1">
                    <c:v>4.3123053843080961E-2</c:v>
                  </c:pt>
                  <c:pt idx="2">
                    <c:v>6.6454542887607868E-2</c:v>
                  </c:pt>
                  <c:pt idx="3">
                    <c:v>0</c:v>
                  </c:pt>
                  <c:pt idx="4">
                    <c:v>3.284668535716169E-2</c:v>
                  </c:pt>
                  <c:pt idx="5">
                    <c:v>0</c:v>
                  </c:pt>
                  <c:pt idx="6">
                    <c:v>7.0169675693342703E-2</c:v>
                  </c:pt>
                  <c:pt idx="7">
                    <c:v>0.10283928971447147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2.3449779307701459E-2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4.8833073143037531E-2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0.15919289227527694</c:v>
                  </c:pt>
                  <c:pt idx="45">
                    <c:v>2.2318805514153054E-2</c:v>
                  </c:pt>
                  <c:pt idx="46">
                    <c:v>0</c:v>
                  </c:pt>
                  <c:pt idx="47">
                    <c:v>3.4094499124836017E-2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7.499965357466637E-2</c:v>
                  </c:pt>
                  <c:pt idx="53">
                    <c:v>0.11745496934376892</c:v>
                  </c:pt>
                  <c:pt idx="54">
                    <c:v>2.8859350766384188E-2</c:v>
                  </c:pt>
                  <c:pt idx="55">
                    <c:v>1.6738973060463038E-2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5.5907951149068748E-2</c:v>
                  </c:pt>
                  <c:pt idx="61">
                    <c:v>2.3108950176012645E-2</c:v>
                  </c:pt>
                  <c:pt idx="62">
                    <c:v>3.3591026827031661E-2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6.108167551372843E-2</c:v>
                  </c:pt>
                  <c:pt idx="68">
                    <c:v>6.6696053675396605E-2</c:v>
                  </c:pt>
                  <c:pt idx="69">
                    <c:v>0</c:v>
                  </c:pt>
                  <c:pt idx="70">
                    <c:v>2.8408247394306276E-2</c:v>
                  </c:pt>
                  <c:pt idx="71">
                    <c:v>0.13132061343744211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2.7333861460841945E-2</c:v>
                  </c:pt>
                  <c:pt idx="77">
                    <c:v>6.3728458696705917E-2</c:v>
                  </c:pt>
                  <c:pt idx="78">
                    <c:v>4.0130816621213081E-2</c:v>
                  </c:pt>
                  <c:pt idx="79">
                    <c:v>4.0617119794639292E-2</c:v>
                  </c:pt>
                  <c:pt idx="80">
                    <c:v>4.575323357019017E-2</c:v>
                  </c:pt>
                  <c:pt idx="81">
                    <c:v>7.9074775378651693E-2</c:v>
                  </c:pt>
                  <c:pt idx="82">
                    <c:v>2.0356971978869556E-2</c:v>
                  </c:pt>
                  <c:pt idx="83">
                    <c:v>4.8935489795014421E-2</c:v>
                  </c:pt>
                  <c:pt idx="84">
                    <c:v>6.5194949623401735E-2</c:v>
                  </c:pt>
                  <c:pt idx="85">
                    <c:v>0</c:v>
                  </c:pt>
                  <c:pt idx="86">
                    <c:v>2.6420053346111992E-2</c:v>
                  </c:pt>
                  <c:pt idx="87">
                    <c:v>3.4722428065943903E-2</c:v>
                  </c:pt>
                  <c:pt idx="88">
                    <c:v>6.3696953005547188E-2</c:v>
                  </c:pt>
                  <c:pt idx="89">
                    <c:v>4.2970101161726865E-2</c:v>
                  </c:pt>
                  <c:pt idx="90">
                    <c:v>4.4501180511845109E-2</c:v>
                  </c:pt>
                  <c:pt idx="91">
                    <c:v>6.4515182730068427E-2</c:v>
                  </c:pt>
                  <c:pt idx="92">
                    <c:v>4.9133653214946463E-2</c:v>
                  </c:pt>
                  <c:pt idx="93">
                    <c:v>3.4366363488614847E-2</c:v>
                  </c:pt>
                  <c:pt idx="94">
                    <c:v>7.5726185809148902E-2</c:v>
                  </c:pt>
                  <c:pt idx="95">
                    <c:v>6.056904674241257E-2</c:v>
                  </c:pt>
                  <c:pt idx="96">
                    <c:v>4.9679457969016468E-2</c:v>
                  </c:pt>
                  <c:pt idx="97">
                    <c:v>6.8485569723598705E-2</c:v>
                  </c:pt>
                  <c:pt idx="98">
                    <c:v>5.1609375092880501E-2</c:v>
                  </c:pt>
                  <c:pt idx="99">
                    <c:v>4.0998523665742533E-2</c:v>
                  </c:pt>
                  <c:pt idx="100">
                    <c:v>2.8002143720748E-2</c:v>
                  </c:pt>
                  <c:pt idx="101">
                    <c:v>4.3871704250502852E-2</c:v>
                  </c:pt>
                  <c:pt idx="102">
                    <c:v>7.0269779883969027E-2</c:v>
                  </c:pt>
                  <c:pt idx="103">
                    <c:v>3.8303506631011938E-2</c:v>
                  </c:pt>
                  <c:pt idx="104">
                    <c:v>3.8041098137680508E-2</c:v>
                  </c:pt>
                  <c:pt idx="105">
                    <c:v>4.3414183553639692E-2</c:v>
                  </c:pt>
                  <c:pt idx="106">
                    <c:v>7.0786444257099165E-2</c:v>
                  </c:pt>
                  <c:pt idx="107">
                    <c:v>3.6598132344399945E-2</c:v>
                  </c:pt>
                  <c:pt idx="108">
                    <c:v>2.4477772162217869E-2</c:v>
                  </c:pt>
                  <c:pt idx="109">
                    <c:v>8.2605133899042144E-2</c:v>
                  </c:pt>
                  <c:pt idx="110">
                    <c:v>0</c:v>
                  </c:pt>
                  <c:pt idx="111">
                    <c:v>2.792015047257802E-2</c:v>
                  </c:pt>
                  <c:pt idx="112">
                    <c:v>6.432970130422247E-2</c:v>
                  </c:pt>
                  <c:pt idx="113">
                    <c:v>9.408552806071438E-2</c:v>
                  </c:pt>
                  <c:pt idx="114">
                    <c:v>5.5509829173683245E-2</c:v>
                  </c:pt>
                  <c:pt idx="115">
                    <c:v>8.9975186841237634E-2</c:v>
                  </c:pt>
                  <c:pt idx="116">
                    <c:v>5.9588044598636203E-2</c:v>
                  </c:pt>
                  <c:pt idx="117">
                    <c:v>5.8093125085338343E-2</c:v>
                  </c:pt>
                  <c:pt idx="118">
                    <c:v>0.12423053243317314</c:v>
                  </c:pt>
                  <c:pt idx="119">
                    <c:v>4.4687578372144827E-2</c:v>
                  </c:pt>
                  <c:pt idx="120">
                    <c:v>3.5295485476309202E-2</c:v>
                  </c:pt>
                  <c:pt idx="121">
                    <c:v>4.9726154129117961E-2</c:v>
                  </c:pt>
                  <c:pt idx="122">
                    <c:v>4.0057388486043274E-2</c:v>
                  </c:pt>
                  <c:pt idx="123">
                    <c:v>0</c:v>
                  </c:pt>
                  <c:pt idx="124">
                    <c:v>3.9621362800233317E-2</c:v>
                  </c:pt>
                  <c:pt idx="125">
                    <c:v>0</c:v>
                  </c:pt>
                  <c:pt idx="126">
                    <c:v>4.4854919911769119E-2</c:v>
                  </c:pt>
                  <c:pt idx="127">
                    <c:v>5.4756529079965505E-2</c:v>
                  </c:pt>
                  <c:pt idx="128">
                    <c:v>4.545560503628162E-2</c:v>
                  </c:pt>
                  <c:pt idx="129">
                    <c:v>5.2573633419717505E-2</c:v>
                  </c:pt>
                  <c:pt idx="130">
                    <c:v>0</c:v>
                  </c:pt>
                  <c:pt idx="131">
                    <c:v>1.9853969073515606E-2</c:v>
                  </c:pt>
                  <c:pt idx="132">
                    <c:v>4.9968306529868257E-2</c:v>
                  </c:pt>
                  <c:pt idx="133">
                    <c:v>7.3766743867190801E-2</c:v>
                  </c:pt>
                  <c:pt idx="134">
                    <c:v>0.10236472154176331</c:v>
                  </c:pt>
                  <c:pt idx="135">
                    <c:v>0</c:v>
                  </c:pt>
                  <c:pt idx="136">
                    <c:v>3.5157660096211484E-2</c:v>
                  </c:pt>
                  <c:pt idx="137">
                    <c:v>3.6369975687369709E-2</c:v>
                  </c:pt>
                  <c:pt idx="138">
                    <c:v>5.0561034720298645E-2</c:v>
                  </c:pt>
                  <c:pt idx="139">
                    <c:v>6.1524533887449134E-2</c:v>
                  </c:pt>
                  <c:pt idx="140">
                    <c:v>3.6552457042214222E-2</c:v>
                  </c:pt>
                  <c:pt idx="141">
                    <c:v>2.5686685009798055E-2</c:v>
                  </c:pt>
                  <c:pt idx="142">
                    <c:v>1.8684525618779996E-2</c:v>
                  </c:pt>
                  <c:pt idx="143">
                    <c:v>4.3496572426928608E-2</c:v>
                  </c:pt>
                  <c:pt idx="144">
                    <c:v>3.2786550873380123E-2</c:v>
                  </c:pt>
                  <c:pt idx="145">
                    <c:v>3.8625556470463264E-2</c:v>
                  </c:pt>
                  <c:pt idx="146">
                    <c:v>0</c:v>
                  </c:pt>
                  <c:pt idx="147">
                    <c:v>3.3397125603633247E-2</c:v>
                  </c:pt>
                  <c:pt idx="148">
                    <c:v>2.7228756501310614E-2</c:v>
                  </c:pt>
                  <c:pt idx="149">
                    <c:v>2.2054768467327887E-2</c:v>
                  </c:pt>
                  <c:pt idx="150">
                    <c:v>4.1130518657471915E-2</c:v>
                  </c:pt>
                  <c:pt idx="151">
                    <c:v>6.1677406220127864E-2</c:v>
                  </c:pt>
                  <c:pt idx="152">
                    <c:v>3.4027170081790736E-2</c:v>
                  </c:pt>
                  <c:pt idx="153">
                    <c:v>2.1115057569991796E-2</c:v>
                  </c:pt>
                  <c:pt idx="154">
                    <c:v>3.7273943960396891E-2</c:v>
                  </c:pt>
                  <c:pt idx="155">
                    <c:v>2.6900195909027889E-2</c:v>
                  </c:pt>
                  <c:pt idx="156">
                    <c:v>2.6562547311333461E-2</c:v>
                  </c:pt>
                  <c:pt idx="157">
                    <c:v>3.8876270184945348E-2</c:v>
                  </c:pt>
                  <c:pt idx="158">
                    <c:v>5.2733304441373405E-2</c:v>
                  </c:pt>
                  <c:pt idx="159">
                    <c:v>4.7662583268507162E-2</c:v>
                  </c:pt>
                  <c:pt idx="160">
                    <c:v>4.5399001580099629E-2</c:v>
                  </c:pt>
                  <c:pt idx="161">
                    <c:v>3.3420609323556442E-2</c:v>
                  </c:pt>
                  <c:pt idx="162">
                    <c:v>2.5683605548013477E-2</c:v>
                  </c:pt>
                  <c:pt idx="163">
                    <c:v>5.0461341031653804E-2</c:v>
                  </c:pt>
                  <c:pt idx="164">
                    <c:v>9.9453664274218173E-2</c:v>
                  </c:pt>
                  <c:pt idx="165">
                    <c:v>3.2864038969427876E-2</c:v>
                  </c:pt>
                  <c:pt idx="166">
                    <c:v>0</c:v>
                  </c:pt>
                  <c:pt idx="167">
                    <c:v>2.7469085993892951E-2</c:v>
                  </c:pt>
                  <c:pt idx="168">
                    <c:v>5.6519557675533183E-2</c:v>
                  </c:pt>
                  <c:pt idx="169">
                    <c:v>7.1777299431828298E-2</c:v>
                  </c:pt>
                  <c:pt idx="170">
                    <c:v>3.836264377082705E-2</c:v>
                  </c:pt>
                  <c:pt idx="171">
                    <c:v>4.6910676613444592E-2</c:v>
                  </c:pt>
                  <c:pt idx="172">
                    <c:v>2.7976634216356433E-2</c:v>
                  </c:pt>
                  <c:pt idx="173">
                    <c:v>7.3045345370320452E-2</c:v>
                  </c:pt>
                  <c:pt idx="174">
                    <c:v>4.1031854146085386E-2</c:v>
                  </c:pt>
                  <c:pt idx="175">
                    <c:v>2.2289150230583449E-2</c:v>
                  </c:pt>
                  <c:pt idx="176">
                    <c:v>2.4762952872715099E-2</c:v>
                  </c:pt>
                  <c:pt idx="177">
                    <c:v>4.5816857002251181E-2</c:v>
                  </c:pt>
                  <c:pt idx="178">
                    <c:v>7.4682706805777224E-2</c:v>
                  </c:pt>
                  <c:pt idx="179">
                    <c:v>4.3774610547555104E-2</c:v>
                  </c:pt>
                  <c:pt idx="180">
                    <c:v>5.3347314935869056E-2</c:v>
                  </c:pt>
                  <c:pt idx="181">
                    <c:v>4.2545804759144906E-2</c:v>
                  </c:pt>
                  <c:pt idx="182">
                    <c:v>5.4054845176822949E-2</c:v>
                  </c:pt>
                  <c:pt idx="183">
                    <c:v>6.316289598753122E-2</c:v>
                  </c:pt>
                  <c:pt idx="184">
                    <c:v>4.0848711275964941E-2</c:v>
                  </c:pt>
                  <c:pt idx="185">
                    <c:v>4.0542897240708656E-2</c:v>
                  </c:pt>
                  <c:pt idx="186">
                    <c:v>6.4218423286426199E-2</c:v>
                  </c:pt>
                  <c:pt idx="187">
                    <c:v>3.9526964756989476E-2</c:v>
                  </c:pt>
                  <c:pt idx="188">
                    <c:v>1.970968324384469E-2</c:v>
                  </c:pt>
                  <c:pt idx="189">
                    <c:v>5.0486435313495129E-2</c:v>
                  </c:pt>
                  <c:pt idx="190">
                    <c:v>3.2345338897050109E-2</c:v>
                  </c:pt>
                  <c:pt idx="191">
                    <c:v>5.6710139738491067E-2</c:v>
                  </c:pt>
                  <c:pt idx="192">
                    <c:v>4.1410783458765192E-2</c:v>
                  </c:pt>
                  <c:pt idx="193">
                    <c:v>6.1562245577830917E-2</c:v>
                  </c:pt>
                  <c:pt idx="194">
                    <c:v>7.3200207832488873E-2</c:v>
                  </c:pt>
                </c:numCache>
              </c:numRef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Sheet9!$F$1:$F$197</c:f>
              <c:numCache>
                <c:formatCode>General</c:formatCode>
                <c:ptCount val="197"/>
                <c:pt idx="0">
                  <c:v>0.1877603748271455</c:v>
                </c:pt>
                <c:pt idx="1">
                  <c:v>0.31060779677775502</c:v>
                </c:pt>
                <c:pt idx="2">
                  <c:v>0.33294242843270988</c:v>
                </c:pt>
                <c:pt idx="3">
                  <c:v>0</c:v>
                </c:pt>
                <c:pt idx="4">
                  <c:v>0.34354242857142853</c:v>
                </c:pt>
                <c:pt idx="5">
                  <c:v>0</c:v>
                </c:pt>
                <c:pt idx="6">
                  <c:v>0.35194382780214845</c:v>
                </c:pt>
                <c:pt idx="7">
                  <c:v>0.39745601572479916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0.42471700548873964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0.49956075452483828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0.52664818325239338</c:v>
                </c:pt>
                <c:pt idx="45">
                  <c:v>0.5285231033413601</c:v>
                </c:pt>
                <c:pt idx="46">
                  <c:v>0</c:v>
                </c:pt>
                <c:pt idx="47">
                  <c:v>0.52903912204320158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0.53759643046535699</c:v>
                </c:pt>
                <c:pt idx="53">
                  <c:v>0.53814399678970959</c:v>
                </c:pt>
                <c:pt idx="54">
                  <c:v>0.54107292807605478</c:v>
                </c:pt>
                <c:pt idx="55">
                  <c:v>0.54495266617345994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0.56295515783731043</c:v>
                </c:pt>
                <c:pt idx="61">
                  <c:v>0.56362959056114159</c:v>
                </c:pt>
                <c:pt idx="62">
                  <c:v>0.5669160109020086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0.57829034026975701</c:v>
                </c:pt>
                <c:pt idx="68">
                  <c:v>0.57955456930944793</c:v>
                </c:pt>
                <c:pt idx="69">
                  <c:v>0</c:v>
                </c:pt>
                <c:pt idx="70">
                  <c:v>0.58049086687545437</c:v>
                </c:pt>
                <c:pt idx="71">
                  <c:v>0.584359235356531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0.59360737970184907</c:v>
                </c:pt>
                <c:pt idx="77">
                  <c:v>0.59443852274788556</c:v>
                </c:pt>
                <c:pt idx="78">
                  <c:v>0.59534214791666662</c:v>
                </c:pt>
                <c:pt idx="79">
                  <c:v>0.59913571025082424</c:v>
                </c:pt>
                <c:pt idx="80">
                  <c:v>0.60120559638464022</c:v>
                </c:pt>
                <c:pt idx="81">
                  <c:v>0.60122657024148607</c:v>
                </c:pt>
                <c:pt idx="82">
                  <c:v>0.60313389340573831</c:v>
                </c:pt>
                <c:pt idx="83">
                  <c:v>0.60440036436980915</c:v>
                </c:pt>
                <c:pt idx="84">
                  <c:v>0.60760794957041586</c:v>
                </c:pt>
                <c:pt idx="85">
                  <c:v>0</c:v>
                </c:pt>
                <c:pt idx="86">
                  <c:v>0.61102434627589663</c:v>
                </c:pt>
                <c:pt idx="87">
                  <c:v>0.61176040525555964</c:v>
                </c:pt>
                <c:pt idx="88">
                  <c:v>0.61570921322949212</c:v>
                </c:pt>
                <c:pt idx="89">
                  <c:v>0.61614098574933052</c:v>
                </c:pt>
                <c:pt idx="90">
                  <c:v>0.61682784604466456</c:v>
                </c:pt>
                <c:pt idx="91">
                  <c:v>0.61873933646215007</c:v>
                </c:pt>
                <c:pt idx="92">
                  <c:v>0.61891590310541611</c:v>
                </c:pt>
                <c:pt idx="93">
                  <c:v>0.62015943653651107</c:v>
                </c:pt>
                <c:pt idx="94">
                  <c:v>0.62229701203084631</c:v>
                </c:pt>
                <c:pt idx="95">
                  <c:v>0.6253009603590669</c:v>
                </c:pt>
                <c:pt idx="96">
                  <c:v>0.62734219652698198</c:v>
                </c:pt>
                <c:pt idx="97">
                  <c:v>0.62827023905379498</c:v>
                </c:pt>
                <c:pt idx="98">
                  <c:v>0.62834125542692398</c:v>
                </c:pt>
                <c:pt idx="99">
                  <c:v>0.62910828497057658</c:v>
                </c:pt>
                <c:pt idx="100">
                  <c:v>0.63049659025991023</c:v>
                </c:pt>
                <c:pt idx="101">
                  <c:v>0.63437828260372897</c:v>
                </c:pt>
                <c:pt idx="102">
                  <c:v>0.63469329456990187</c:v>
                </c:pt>
                <c:pt idx="103">
                  <c:v>0.6364051975103473</c:v>
                </c:pt>
                <c:pt idx="104">
                  <c:v>0.63835386728684529</c:v>
                </c:pt>
                <c:pt idx="105">
                  <c:v>0.6391115308571429</c:v>
                </c:pt>
                <c:pt idx="106">
                  <c:v>0.64069102729295457</c:v>
                </c:pt>
                <c:pt idx="107">
                  <c:v>0.64236520486318016</c:v>
                </c:pt>
                <c:pt idx="108">
                  <c:v>0.64567517857068302</c:v>
                </c:pt>
                <c:pt idx="109">
                  <c:v>0.64570811282779128</c:v>
                </c:pt>
                <c:pt idx="110">
                  <c:v>0</c:v>
                </c:pt>
                <c:pt idx="111">
                  <c:v>0.64681208718712757</c:v>
                </c:pt>
                <c:pt idx="112">
                  <c:v>0.64803930212912142</c:v>
                </c:pt>
                <c:pt idx="113">
                  <c:v>0.64876289396432607</c:v>
                </c:pt>
                <c:pt idx="114">
                  <c:v>0.64900989402028386</c:v>
                </c:pt>
                <c:pt idx="115">
                  <c:v>0.64931277297263024</c:v>
                </c:pt>
                <c:pt idx="116">
                  <c:v>0.64967608787076747</c:v>
                </c:pt>
                <c:pt idx="117">
                  <c:v>0.65306138286476001</c:v>
                </c:pt>
                <c:pt idx="118">
                  <c:v>0.65312290921682037</c:v>
                </c:pt>
                <c:pt idx="119">
                  <c:v>0.65335293249603354</c:v>
                </c:pt>
                <c:pt idx="120">
                  <c:v>0.65430771596246806</c:v>
                </c:pt>
                <c:pt idx="121">
                  <c:v>0.65487168568400944</c:v>
                </c:pt>
                <c:pt idx="122">
                  <c:v>0.65605339579524968</c:v>
                </c:pt>
                <c:pt idx="123">
                  <c:v>0</c:v>
                </c:pt>
                <c:pt idx="124">
                  <c:v>0.65770766521721324</c:v>
                </c:pt>
                <c:pt idx="125">
                  <c:v>0</c:v>
                </c:pt>
                <c:pt idx="126">
                  <c:v>0.66135053759073081</c:v>
                </c:pt>
                <c:pt idx="127">
                  <c:v>0.66365457110149384</c:v>
                </c:pt>
                <c:pt idx="128">
                  <c:v>0.66379688621998623</c:v>
                </c:pt>
                <c:pt idx="129">
                  <c:v>0.66521981322779045</c:v>
                </c:pt>
                <c:pt idx="130">
                  <c:v>0</c:v>
                </c:pt>
                <c:pt idx="131">
                  <c:v>0.66708824827197133</c:v>
                </c:pt>
                <c:pt idx="132">
                  <c:v>0.66943173688593494</c:v>
                </c:pt>
                <c:pt idx="133">
                  <c:v>0.66991585991288138</c:v>
                </c:pt>
                <c:pt idx="134">
                  <c:v>0.67100091880511614</c:v>
                </c:pt>
                <c:pt idx="135">
                  <c:v>0</c:v>
                </c:pt>
                <c:pt idx="136">
                  <c:v>0.67111625175243927</c:v>
                </c:pt>
                <c:pt idx="137">
                  <c:v>0.67140373587780922</c:v>
                </c:pt>
                <c:pt idx="138">
                  <c:v>0.67392251130024916</c:v>
                </c:pt>
                <c:pt idx="139">
                  <c:v>0.67444463824064071</c:v>
                </c:pt>
                <c:pt idx="140">
                  <c:v>0.67483305634121438</c:v>
                </c:pt>
                <c:pt idx="141">
                  <c:v>0.67864299213977319</c:v>
                </c:pt>
                <c:pt idx="142">
                  <c:v>0.67881116868919811</c:v>
                </c:pt>
                <c:pt idx="143">
                  <c:v>0.67937095074146026</c:v>
                </c:pt>
                <c:pt idx="144">
                  <c:v>0.67962989500000004</c:v>
                </c:pt>
                <c:pt idx="145">
                  <c:v>0.67982951384971269</c:v>
                </c:pt>
                <c:pt idx="146">
                  <c:v>0</c:v>
                </c:pt>
                <c:pt idx="147">
                  <c:v>0.68180786191400367</c:v>
                </c:pt>
                <c:pt idx="148">
                  <c:v>0.68525439827142864</c:v>
                </c:pt>
                <c:pt idx="149">
                  <c:v>0.68536675202644981</c:v>
                </c:pt>
                <c:pt idx="150">
                  <c:v>0.68577814014999994</c:v>
                </c:pt>
                <c:pt idx="151">
                  <c:v>0.68657358933919899</c:v>
                </c:pt>
                <c:pt idx="152">
                  <c:v>0.68776445429112332</c:v>
                </c:pt>
                <c:pt idx="153">
                  <c:v>0.68927373521005386</c:v>
                </c:pt>
                <c:pt idx="154">
                  <c:v>0.69086753521672828</c:v>
                </c:pt>
                <c:pt idx="155">
                  <c:v>0.6914159614961104</c:v>
                </c:pt>
                <c:pt idx="156">
                  <c:v>0.69148295017494088</c:v>
                </c:pt>
                <c:pt idx="157">
                  <c:v>0.69321851223200814</c:v>
                </c:pt>
                <c:pt idx="158">
                  <c:v>0.6934323845704583</c:v>
                </c:pt>
                <c:pt idx="159">
                  <c:v>0.6947224157519587</c:v>
                </c:pt>
                <c:pt idx="160">
                  <c:v>0.69492507649640756</c:v>
                </c:pt>
                <c:pt idx="161">
                  <c:v>0.69547151504190563</c:v>
                </c:pt>
                <c:pt idx="162">
                  <c:v>0.69591107009186237</c:v>
                </c:pt>
                <c:pt idx="163">
                  <c:v>0.69763044037983846</c:v>
                </c:pt>
                <c:pt idx="164">
                  <c:v>0.6976642166210606</c:v>
                </c:pt>
                <c:pt idx="165">
                  <c:v>0.69824293057113485</c:v>
                </c:pt>
                <c:pt idx="166">
                  <c:v>0</c:v>
                </c:pt>
                <c:pt idx="167">
                  <c:v>0.70232194736214704</c:v>
                </c:pt>
                <c:pt idx="168">
                  <c:v>0.70286454226546879</c:v>
                </c:pt>
                <c:pt idx="169">
                  <c:v>0.70391596371534726</c:v>
                </c:pt>
                <c:pt idx="170">
                  <c:v>0.70473535577019064</c:v>
                </c:pt>
                <c:pt idx="171">
                  <c:v>0.70710520455366888</c:v>
                </c:pt>
                <c:pt idx="172">
                  <c:v>0.70754089250235985</c:v>
                </c:pt>
                <c:pt idx="173">
                  <c:v>0.70807070403508787</c:v>
                </c:pt>
                <c:pt idx="174">
                  <c:v>0.70897742577865897</c:v>
                </c:pt>
                <c:pt idx="175">
                  <c:v>0.71106689244833388</c:v>
                </c:pt>
                <c:pt idx="176">
                  <c:v>0.71169227209755892</c:v>
                </c:pt>
                <c:pt idx="177">
                  <c:v>0.71184671913134978</c:v>
                </c:pt>
                <c:pt idx="178">
                  <c:v>0.71401179274197957</c:v>
                </c:pt>
                <c:pt idx="179">
                  <c:v>0.71411613812692265</c:v>
                </c:pt>
                <c:pt idx="180">
                  <c:v>0.71480565699953003</c:v>
                </c:pt>
                <c:pt idx="181">
                  <c:v>0.71690604211933362</c:v>
                </c:pt>
                <c:pt idx="182">
                  <c:v>0.7171788784586216</c:v>
                </c:pt>
                <c:pt idx="183">
                  <c:v>0.71775351096497564</c:v>
                </c:pt>
                <c:pt idx="184">
                  <c:v>0.72054664270348334</c:v>
                </c:pt>
                <c:pt idx="185">
                  <c:v>0.72107657067686104</c:v>
                </c:pt>
                <c:pt idx="186">
                  <c:v>0.72659942541718459</c:v>
                </c:pt>
                <c:pt idx="187">
                  <c:v>0.72776839342765343</c:v>
                </c:pt>
                <c:pt idx="188">
                  <c:v>0.72990727690433144</c:v>
                </c:pt>
                <c:pt idx="189">
                  <c:v>0.73182502876393341</c:v>
                </c:pt>
                <c:pt idx="190">
                  <c:v>0.73200715788669202</c:v>
                </c:pt>
                <c:pt idx="191">
                  <c:v>0.73347426630797041</c:v>
                </c:pt>
                <c:pt idx="192">
                  <c:v>0.73912669461550051</c:v>
                </c:pt>
                <c:pt idx="193">
                  <c:v>0.73984340517304292</c:v>
                </c:pt>
                <c:pt idx="194">
                  <c:v>0.74151266044638253</c:v>
                </c:pt>
              </c:numCache>
            </c:numRef>
          </c:val>
        </c:ser>
        <c:ser>
          <c:idx val="4"/>
          <c:order val="4"/>
          <c:spPr>
            <a:solidFill>
              <a:schemeClr val="accent4"/>
            </a:solidFill>
          </c:spPr>
          <c:invertIfNegative val="0"/>
          <c:errBars>
            <c:errBarType val="plus"/>
            <c:errValType val="cust"/>
            <c:noEndCap val="1"/>
            <c:plus>
              <c:numRef>
                <c:f>Sheet9!$J:$J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5.0859339934522692E-2</c:v>
                  </c:pt>
                  <c:pt idx="4">
                    <c:v>0</c:v>
                  </c:pt>
                  <c:pt idx="5">
                    <c:v>4.4831626096382519E-2</c:v>
                  </c:pt>
                  <c:pt idx="6">
                    <c:v>0</c:v>
                  </c:pt>
                  <c:pt idx="7">
                    <c:v>0</c:v>
                  </c:pt>
                  <c:pt idx="8">
                    <c:v>6.3821935737652769E-2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6.1790645015533087E-2</c:v>
                  </c:pt>
                  <c:pt idx="20">
                    <c:v>1.8449396384907852E-2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9.9222488533906986E-2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6.6382968601500822E-2</c:v>
                  </c:pt>
                  <c:pt idx="57">
                    <c:v>0</c:v>
                  </c:pt>
                  <c:pt idx="58">
                    <c:v>0</c:v>
                  </c:pt>
                  <c:pt idx="59">
                    <c:v>4.6087824828635077E-2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5.270768486000655E-2</c:v>
                  </c:pt>
                  <c:pt idx="65">
                    <c:v>1.9239679210154636E-2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3.0954430024731777E-2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2.389422949223825E-2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4.2981677916649953E-2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5.6834561879715771E-2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5.2247026138631664E-2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6.8383222843700645E-2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</c:numCache>
              </c:numRef>
            </c:plus>
            <c:minus>
              <c:numRef>
                <c:f>Sheet9!$J:$J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5.0859339934522692E-2</c:v>
                  </c:pt>
                  <c:pt idx="4">
                    <c:v>0</c:v>
                  </c:pt>
                  <c:pt idx="5">
                    <c:v>4.4831626096382519E-2</c:v>
                  </c:pt>
                  <c:pt idx="6">
                    <c:v>0</c:v>
                  </c:pt>
                  <c:pt idx="7">
                    <c:v>0</c:v>
                  </c:pt>
                  <c:pt idx="8">
                    <c:v>6.3821935737652769E-2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6.1790645015533087E-2</c:v>
                  </c:pt>
                  <c:pt idx="20">
                    <c:v>1.8449396384907852E-2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9.9222488533906986E-2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6.6382968601500822E-2</c:v>
                  </c:pt>
                  <c:pt idx="57">
                    <c:v>0</c:v>
                  </c:pt>
                  <c:pt idx="58">
                    <c:v>0</c:v>
                  </c:pt>
                  <c:pt idx="59">
                    <c:v>4.6087824828635077E-2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5.270768486000655E-2</c:v>
                  </c:pt>
                  <c:pt idx="65">
                    <c:v>1.9239679210154636E-2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3.0954430024731777E-2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2.389422949223825E-2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4.2981677916649953E-2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5.6834561879715771E-2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5.2247026138631664E-2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6.8383222843700645E-2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</c:numCache>
              </c:numRef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Sheet9!$G$1:$G$197</c:f>
              <c:numCache>
                <c:formatCode>General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0.33341764578370747</c:v>
                </c:pt>
                <c:pt idx="4">
                  <c:v>0</c:v>
                </c:pt>
                <c:pt idx="5">
                  <c:v>0.34385203602449338</c:v>
                </c:pt>
                <c:pt idx="6">
                  <c:v>0</c:v>
                </c:pt>
                <c:pt idx="7">
                  <c:v>0</c:v>
                </c:pt>
                <c:pt idx="8">
                  <c:v>0.39867268422569108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0.43942284217692618</c:v>
                </c:pt>
                <c:pt idx="20">
                  <c:v>0.44090220229763938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0.53574941279775379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0.55789830096731596</c:v>
                </c:pt>
                <c:pt idx="57">
                  <c:v>0</c:v>
                </c:pt>
                <c:pt idx="58">
                  <c:v>0</c:v>
                </c:pt>
                <c:pt idx="59">
                  <c:v>0.56098387974149622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0.57522538560735814</c:v>
                </c:pt>
                <c:pt idx="65">
                  <c:v>0.57672375833333334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0.58677582346190282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0.64593188831621273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0.65719381658630693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0.6710898293847557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0.68150983350617234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0.70125389116208114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FF0000"/>
            </a:solidFill>
          </c:spPr>
          <c:invertIfNegative val="0"/>
          <c:errBars>
            <c:errBarType val="plus"/>
            <c:errValType val="cust"/>
            <c:noEndCap val="1"/>
            <c:plus>
              <c:numRef>
                <c:f>Sheet9!$K:$K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5.5784470760834357E-2</c:v>
                  </c:pt>
                  <c:pt idx="10">
                    <c:v>2.6210904091653293E-2</c:v>
                  </c:pt>
                  <c:pt idx="11">
                    <c:v>3.3303354680011922E-2</c:v>
                  </c:pt>
                  <c:pt idx="12">
                    <c:v>4.3326302495357329E-2</c:v>
                  </c:pt>
                  <c:pt idx="13">
                    <c:v>0</c:v>
                  </c:pt>
                  <c:pt idx="14">
                    <c:v>5.8153048952149955E-2</c:v>
                  </c:pt>
                  <c:pt idx="15">
                    <c:v>6.381858981661595E-2</c:v>
                  </c:pt>
                  <c:pt idx="16">
                    <c:v>5.3317958304346241E-2</c:v>
                  </c:pt>
                  <c:pt idx="17">
                    <c:v>3.1896351234514224E-2</c:v>
                  </c:pt>
                  <c:pt idx="18">
                    <c:v>9.996459202397065E-2</c:v>
                  </c:pt>
                  <c:pt idx="19">
                    <c:v>0</c:v>
                  </c:pt>
                  <c:pt idx="20">
                    <c:v>0</c:v>
                  </c:pt>
                  <c:pt idx="21">
                    <c:v>5.0227468367711449E-2</c:v>
                  </c:pt>
                  <c:pt idx="22">
                    <c:v>9.4271558467325822E-2</c:v>
                  </c:pt>
                  <c:pt idx="23">
                    <c:v>8.1798217633058584E-2</c:v>
                  </c:pt>
                  <c:pt idx="24">
                    <c:v>5.70545627360622E-2</c:v>
                  </c:pt>
                  <c:pt idx="25">
                    <c:v>4.3645973089615729E-2</c:v>
                  </c:pt>
                  <c:pt idx="26">
                    <c:v>5.6980535126520064E-2</c:v>
                  </c:pt>
                  <c:pt idx="27">
                    <c:v>3.5513213678555769E-2</c:v>
                  </c:pt>
                  <c:pt idx="28">
                    <c:v>1.7496252713995547E-2</c:v>
                  </c:pt>
                  <c:pt idx="29">
                    <c:v>5.4949574091860541E-2</c:v>
                  </c:pt>
                  <c:pt idx="30">
                    <c:v>8.3102856502195024E-2</c:v>
                  </c:pt>
                  <c:pt idx="31">
                    <c:v>4.6996607370448654E-2</c:v>
                  </c:pt>
                  <c:pt idx="32">
                    <c:v>2.7886770953489778E-2</c:v>
                  </c:pt>
                  <c:pt idx="33">
                    <c:v>5.0922110628391637E-2</c:v>
                  </c:pt>
                  <c:pt idx="34">
                    <c:v>3.6132299444487315E-2</c:v>
                  </c:pt>
                  <c:pt idx="35">
                    <c:v>0</c:v>
                  </c:pt>
                  <c:pt idx="36">
                    <c:v>8.9631873501968051E-2</c:v>
                  </c:pt>
                  <c:pt idx="37">
                    <c:v>0.12698315511733649</c:v>
                  </c:pt>
                  <c:pt idx="38">
                    <c:v>6.0000781759670607E-2</c:v>
                  </c:pt>
                  <c:pt idx="39">
                    <c:v>4.0308826446773208E-2</c:v>
                  </c:pt>
                  <c:pt idx="40">
                    <c:v>4.5215245041687072E-2</c:v>
                  </c:pt>
                  <c:pt idx="41">
                    <c:v>3.403469201864532E-2</c:v>
                  </c:pt>
                  <c:pt idx="42">
                    <c:v>5.4923219718209848E-2</c:v>
                  </c:pt>
                  <c:pt idx="43">
                    <c:v>4.5784690008889378E-2</c:v>
                  </c:pt>
                  <c:pt idx="44">
                    <c:v>0</c:v>
                  </c:pt>
                  <c:pt idx="45">
                    <c:v>0</c:v>
                  </c:pt>
                  <c:pt idx="46">
                    <c:v>5.2366619420201807E-2</c:v>
                  </c:pt>
                  <c:pt idx="47">
                    <c:v>0</c:v>
                  </c:pt>
                  <c:pt idx="48">
                    <c:v>5.249920501674013E-2</c:v>
                  </c:pt>
                  <c:pt idx="49">
                    <c:v>1.229729483097306E-2</c:v>
                  </c:pt>
                  <c:pt idx="50">
                    <c:v>4.1432829252008245E-2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9.3225356189042222E-2</c:v>
                  </c:pt>
                  <c:pt idx="58">
                    <c:v>5.8523488527059346E-2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8.2013988531291521E-2</c:v>
                  </c:pt>
                  <c:pt idx="64">
                    <c:v>0</c:v>
                  </c:pt>
                  <c:pt idx="65">
                    <c:v>0</c:v>
                  </c:pt>
                  <c:pt idx="66">
                    <c:v>3.8418598128375364E-2</c:v>
                  </c:pt>
                  <c:pt idx="67">
                    <c:v>0</c:v>
                  </c:pt>
                  <c:pt idx="68">
                    <c:v>0</c:v>
                  </c:pt>
                  <c:pt idx="69">
                    <c:v>9.9315919616177695E-2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7.11351843939593E-2</c:v>
                  </c:pt>
                  <c:pt idx="74">
                    <c:v>5.5362318842109064E-2</c:v>
                  </c:pt>
                  <c:pt idx="75">
                    <c:v>5.0320764981525608E-2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4.2950442930063282E-2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4.4717236508960707E-2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4.6351457207821987E-2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</c:numCache>
              </c:numRef>
            </c:plus>
            <c:minus>
              <c:numRef>
                <c:f>Sheet9!$K:$K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5.5784470760834357E-2</c:v>
                  </c:pt>
                  <c:pt idx="10">
                    <c:v>2.6210904091653293E-2</c:v>
                  </c:pt>
                  <c:pt idx="11">
                    <c:v>3.3303354680011922E-2</c:v>
                  </c:pt>
                  <c:pt idx="12">
                    <c:v>4.3326302495357329E-2</c:v>
                  </c:pt>
                  <c:pt idx="13">
                    <c:v>0</c:v>
                  </c:pt>
                  <c:pt idx="14">
                    <c:v>5.8153048952149955E-2</c:v>
                  </c:pt>
                  <c:pt idx="15">
                    <c:v>6.381858981661595E-2</c:v>
                  </c:pt>
                  <c:pt idx="16">
                    <c:v>5.3317958304346241E-2</c:v>
                  </c:pt>
                  <c:pt idx="17">
                    <c:v>3.1896351234514224E-2</c:v>
                  </c:pt>
                  <c:pt idx="18">
                    <c:v>9.996459202397065E-2</c:v>
                  </c:pt>
                  <c:pt idx="19">
                    <c:v>0</c:v>
                  </c:pt>
                  <c:pt idx="20">
                    <c:v>0</c:v>
                  </c:pt>
                  <c:pt idx="21">
                    <c:v>5.0227468367711449E-2</c:v>
                  </c:pt>
                  <c:pt idx="22">
                    <c:v>9.4271558467325822E-2</c:v>
                  </c:pt>
                  <c:pt idx="23">
                    <c:v>8.1798217633058584E-2</c:v>
                  </c:pt>
                  <c:pt idx="24">
                    <c:v>5.70545627360622E-2</c:v>
                  </c:pt>
                  <c:pt idx="25">
                    <c:v>4.3645973089615729E-2</c:v>
                  </c:pt>
                  <c:pt idx="26">
                    <c:v>5.6980535126520064E-2</c:v>
                  </c:pt>
                  <c:pt idx="27">
                    <c:v>3.5513213678555769E-2</c:v>
                  </c:pt>
                  <c:pt idx="28">
                    <c:v>1.7496252713995547E-2</c:v>
                  </c:pt>
                  <c:pt idx="29">
                    <c:v>5.4949574091860541E-2</c:v>
                  </c:pt>
                  <c:pt idx="30">
                    <c:v>8.3102856502195024E-2</c:v>
                  </c:pt>
                  <c:pt idx="31">
                    <c:v>4.6996607370448654E-2</c:v>
                  </c:pt>
                  <c:pt idx="32">
                    <c:v>2.7886770953489778E-2</c:v>
                  </c:pt>
                  <c:pt idx="33">
                    <c:v>5.0922110628391637E-2</c:v>
                  </c:pt>
                  <c:pt idx="34">
                    <c:v>3.6132299444487315E-2</c:v>
                  </c:pt>
                  <c:pt idx="35">
                    <c:v>0</c:v>
                  </c:pt>
                  <c:pt idx="36">
                    <c:v>8.9631873501968051E-2</c:v>
                  </c:pt>
                  <c:pt idx="37">
                    <c:v>0.12698315511733649</c:v>
                  </c:pt>
                  <c:pt idx="38">
                    <c:v>6.0000781759670607E-2</c:v>
                  </c:pt>
                  <c:pt idx="39">
                    <c:v>4.0308826446773208E-2</c:v>
                  </c:pt>
                  <c:pt idx="40">
                    <c:v>4.5215245041687072E-2</c:v>
                  </c:pt>
                  <c:pt idx="41">
                    <c:v>3.403469201864532E-2</c:v>
                  </c:pt>
                  <c:pt idx="42">
                    <c:v>5.4923219718209848E-2</c:v>
                  </c:pt>
                  <c:pt idx="43">
                    <c:v>4.5784690008889378E-2</c:v>
                  </c:pt>
                  <c:pt idx="44">
                    <c:v>0</c:v>
                  </c:pt>
                  <c:pt idx="45">
                    <c:v>0</c:v>
                  </c:pt>
                  <c:pt idx="46">
                    <c:v>5.2366619420201807E-2</c:v>
                  </c:pt>
                  <c:pt idx="47">
                    <c:v>0</c:v>
                  </c:pt>
                  <c:pt idx="48">
                    <c:v>5.249920501674013E-2</c:v>
                  </c:pt>
                  <c:pt idx="49">
                    <c:v>1.229729483097306E-2</c:v>
                  </c:pt>
                  <c:pt idx="50">
                    <c:v>4.1432829252008245E-2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9.3225356189042222E-2</c:v>
                  </c:pt>
                  <c:pt idx="58">
                    <c:v>5.8523488527059346E-2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8.2013988531291521E-2</c:v>
                  </c:pt>
                  <c:pt idx="64">
                    <c:v>0</c:v>
                  </c:pt>
                  <c:pt idx="65">
                    <c:v>0</c:v>
                  </c:pt>
                  <c:pt idx="66">
                    <c:v>3.8418598128375364E-2</c:v>
                  </c:pt>
                  <c:pt idx="67">
                    <c:v>0</c:v>
                  </c:pt>
                  <c:pt idx="68">
                    <c:v>0</c:v>
                  </c:pt>
                  <c:pt idx="69">
                    <c:v>9.9315919616177695E-2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7.11351843939593E-2</c:v>
                  </c:pt>
                  <c:pt idx="74">
                    <c:v>5.5362318842109064E-2</c:v>
                  </c:pt>
                  <c:pt idx="75">
                    <c:v>5.0320764981525608E-2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4.2950442930063282E-2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4.4717236508960707E-2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4.6351457207821987E-2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</c:numCache>
              </c:numRef>
            </c:minus>
            <c:spPr>
              <a:ln>
                <a:solidFill>
                  <a:schemeClr val="bg1"/>
                </a:solidFill>
              </a:ln>
            </c:spPr>
          </c:errBars>
          <c:val>
            <c:numRef>
              <c:f>Sheet9!$H$1:$H$197</c:f>
              <c:numCache>
                <c:formatCode>General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0.40449639863129888</c:v>
                </c:pt>
                <c:pt idx="10">
                  <c:v>0.40555976863225535</c:v>
                </c:pt>
                <c:pt idx="11">
                  <c:v>0.41572045391973594</c:v>
                </c:pt>
                <c:pt idx="12">
                  <c:v>0.42259007897640749</c:v>
                </c:pt>
                <c:pt idx="13">
                  <c:v>0</c:v>
                </c:pt>
                <c:pt idx="14">
                  <c:v>0.42543392744682551</c:v>
                </c:pt>
                <c:pt idx="15">
                  <c:v>0.43391083846914535</c:v>
                </c:pt>
                <c:pt idx="16">
                  <c:v>0.43413585100510527</c:v>
                </c:pt>
                <c:pt idx="17">
                  <c:v>0.43558831842920476</c:v>
                </c:pt>
                <c:pt idx="18">
                  <c:v>0.43779305914148631</c:v>
                </c:pt>
                <c:pt idx="19">
                  <c:v>0</c:v>
                </c:pt>
                <c:pt idx="20">
                  <c:v>0</c:v>
                </c:pt>
                <c:pt idx="21">
                  <c:v>0.44614798012564644</c:v>
                </c:pt>
                <c:pt idx="22">
                  <c:v>0.44824018628159684</c:v>
                </c:pt>
                <c:pt idx="23">
                  <c:v>0.45507819783895431</c:v>
                </c:pt>
                <c:pt idx="24">
                  <c:v>0.45579427866281241</c:v>
                </c:pt>
                <c:pt idx="25">
                  <c:v>0.46040105487641914</c:v>
                </c:pt>
                <c:pt idx="26">
                  <c:v>0.46169555723475586</c:v>
                </c:pt>
                <c:pt idx="27">
                  <c:v>0.47247277310836588</c:v>
                </c:pt>
                <c:pt idx="28">
                  <c:v>0.47785648071647402</c:v>
                </c:pt>
                <c:pt idx="29">
                  <c:v>0.47951632401682437</c:v>
                </c:pt>
                <c:pt idx="30">
                  <c:v>0.4812538810641771</c:v>
                </c:pt>
                <c:pt idx="31">
                  <c:v>0.4902529988342495</c:v>
                </c:pt>
                <c:pt idx="32">
                  <c:v>0.49072972697706979</c:v>
                </c:pt>
                <c:pt idx="33">
                  <c:v>0.49469059195789827</c:v>
                </c:pt>
                <c:pt idx="34">
                  <c:v>0.49780727974138639</c:v>
                </c:pt>
                <c:pt idx="35">
                  <c:v>0</c:v>
                </c:pt>
                <c:pt idx="36">
                  <c:v>0.49977071992602817</c:v>
                </c:pt>
                <c:pt idx="37">
                  <c:v>0.50077239289589515</c:v>
                </c:pt>
                <c:pt idx="38">
                  <c:v>0.50094441832603254</c:v>
                </c:pt>
                <c:pt idx="39">
                  <c:v>0.50370069361239189</c:v>
                </c:pt>
                <c:pt idx="40">
                  <c:v>0.50708830442763497</c:v>
                </c:pt>
                <c:pt idx="41">
                  <c:v>0.51381911680358139</c:v>
                </c:pt>
                <c:pt idx="42">
                  <c:v>0.51434456823036723</c:v>
                </c:pt>
                <c:pt idx="43">
                  <c:v>0.52476631396541573</c:v>
                </c:pt>
                <c:pt idx="44">
                  <c:v>0</c:v>
                </c:pt>
                <c:pt idx="45">
                  <c:v>0</c:v>
                </c:pt>
                <c:pt idx="46">
                  <c:v>0.52873051092852463</c:v>
                </c:pt>
                <c:pt idx="47">
                  <c:v>0</c:v>
                </c:pt>
                <c:pt idx="48">
                  <c:v>0.52955481275160055</c:v>
                </c:pt>
                <c:pt idx="49">
                  <c:v>0.53038390699211901</c:v>
                </c:pt>
                <c:pt idx="50">
                  <c:v>0.5325364131503133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0.55841692789567998</c:v>
                </c:pt>
                <c:pt idx="58">
                  <c:v>0.56097773892672798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0.57036212374376527</c:v>
                </c:pt>
                <c:pt idx="64">
                  <c:v>0</c:v>
                </c:pt>
                <c:pt idx="65">
                  <c:v>0</c:v>
                </c:pt>
                <c:pt idx="66">
                  <c:v>0.57712522683804879</c:v>
                </c:pt>
                <c:pt idx="67">
                  <c:v>0</c:v>
                </c:pt>
                <c:pt idx="68">
                  <c:v>0</c:v>
                </c:pt>
                <c:pt idx="69">
                  <c:v>0.58028083892727922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0.58963115742328853</c:v>
                </c:pt>
                <c:pt idx="74">
                  <c:v>0.59161783769986498</c:v>
                </c:pt>
                <c:pt idx="75">
                  <c:v>0.59285559031833834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0.61061849654624722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0.66126465028683812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0.66594687652936446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</c:numCache>
            </c:numRef>
          </c:val>
        </c:ser>
        <c:ser>
          <c:idx val="0"/>
          <c:order val="0"/>
          <c:spPr>
            <a:solidFill>
              <a:schemeClr val="bg1">
                <a:lumMod val="50000"/>
              </a:schemeClr>
            </a:solidFill>
          </c:spPr>
          <c:invertIfNegative val="0"/>
          <c:errBars>
            <c:errBarType val="plus"/>
            <c:errValType val="cust"/>
            <c:noEndCap val="1"/>
            <c:plus>
              <c:numRef>
                <c:f>Sheet9!$I:$I</c:f>
                <c:numCache>
                  <c:formatCode>General</c:formatCode>
                  <c:ptCount val="1048576"/>
                  <c:pt idx="0">
                    <c:v>0.1039381921656387</c:v>
                  </c:pt>
                  <c:pt idx="1">
                    <c:v>4.3123053843080961E-2</c:v>
                  </c:pt>
                  <c:pt idx="2">
                    <c:v>6.6454542887607868E-2</c:v>
                  </c:pt>
                  <c:pt idx="3">
                    <c:v>0</c:v>
                  </c:pt>
                  <c:pt idx="4">
                    <c:v>3.284668535716169E-2</c:v>
                  </c:pt>
                  <c:pt idx="5">
                    <c:v>0</c:v>
                  </c:pt>
                  <c:pt idx="6">
                    <c:v>7.0169675693342703E-2</c:v>
                  </c:pt>
                  <c:pt idx="7">
                    <c:v>0.10283928971447147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2.3449779307701459E-2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4.8833073143037531E-2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0.15919289227527694</c:v>
                  </c:pt>
                  <c:pt idx="45">
                    <c:v>2.2318805514153054E-2</c:v>
                  </c:pt>
                  <c:pt idx="46">
                    <c:v>0</c:v>
                  </c:pt>
                  <c:pt idx="47">
                    <c:v>3.4094499124836017E-2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7.499965357466637E-2</c:v>
                  </c:pt>
                  <c:pt idx="53">
                    <c:v>0.11745496934376892</c:v>
                  </c:pt>
                  <c:pt idx="54">
                    <c:v>2.8859350766384188E-2</c:v>
                  </c:pt>
                  <c:pt idx="55">
                    <c:v>1.6738973060463038E-2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5.5907951149068748E-2</c:v>
                  </c:pt>
                  <c:pt idx="61">
                    <c:v>2.3108950176012645E-2</c:v>
                  </c:pt>
                  <c:pt idx="62">
                    <c:v>3.3591026827031661E-2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6.108167551372843E-2</c:v>
                  </c:pt>
                  <c:pt idx="68">
                    <c:v>6.6696053675396605E-2</c:v>
                  </c:pt>
                  <c:pt idx="69">
                    <c:v>0</c:v>
                  </c:pt>
                  <c:pt idx="70">
                    <c:v>2.8408247394306276E-2</c:v>
                  </c:pt>
                  <c:pt idx="71">
                    <c:v>0.13132061343744211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2.7333861460841945E-2</c:v>
                  </c:pt>
                  <c:pt idx="77">
                    <c:v>6.3728458696705917E-2</c:v>
                  </c:pt>
                  <c:pt idx="78">
                    <c:v>4.0130816621213081E-2</c:v>
                  </c:pt>
                  <c:pt idx="79">
                    <c:v>4.0617119794639292E-2</c:v>
                  </c:pt>
                  <c:pt idx="80">
                    <c:v>4.575323357019017E-2</c:v>
                  </c:pt>
                  <c:pt idx="81">
                    <c:v>7.9074775378651693E-2</c:v>
                  </c:pt>
                  <c:pt idx="82">
                    <c:v>2.0356971978869556E-2</c:v>
                  </c:pt>
                  <c:pt idx="83">
                    <c:v>4.8935489795014421E-2</c:v>
                  </c:pt>
                  <c:pt idx="84">
                    <c:v>6.5194949623401735E-2</c:v>
                  </c:pt>
                  <c:pt idx="85">
                    <c:v>0</c:v>
                  </c:pt>
                  <c:pt idx="86">
                    <c:v>2.6420053346111992E-2</c:v>
                  </c:pt>
                  <c:pt idx="87">
                    <c:v>3.4722428065943903E-2</c:v>
                  </c:pt>
                  <c:pt idx="88">
                    <c:v>6.3696953005547188E-2</c:v>
                  </c:pt>
                  <c:pt idx="89">
                    <c:v>4.2970101161726865E-2</c:v>
                  </c:pt>
                  <c:pt idx="90">
                    <c:v>4.4501180511845109E-2</c:v>
                  </c:pt>
                  <c:pt idx="91">
                    <c:v>6.4515182730068427E-2</c:v>
                  </c:pt>
                  <c:pt idx="92">
                    <c:v>4.9133653214946463E-2</c:v>
                  </c:pt>
                  <c:pt idx="93">
                    <c:v>3.4366363488614847E-2</c:v>
                  </c:pt>
                  <c:pt idx="94">
                    <c:v>7.5726185809148902E-2</c:v>
                  </c:pt>
                  <c:pt idx="95">
                    <c:v>6.056904674241257E-2</c:v>
                  </c:pt>
                  <c:pt idx="96">
                    <c:v>4.9679457969016468E-2</c:v>
                  </c:pt>
                  <c:pt idx="97">
                    <c:v>6.8485569723598705E-2</c:v>
                  </c:pt>
                  <c:pt idx="98">
                    <c:v>5.1609375092880501E-2</c:v>
                  </c:pt>
                  <c:pt idx="99">
                    <c:v>4.0998523665742533E-2</c:v>
                  </c:pt>
                  <c:pt idx="100">
                    <c:v>2.8002143720748E-2</c:v>
                  </c:pt>
                  <c:pt idx="101">
                    <c:v>4.3871704250502852E-2</c:v>
                  </c:pt>
                  <c:pt idx="102">
                    <c:v>7.0269779883969027E-2</c:v>
                  </c:pt>
                  <c:pt idx="103">
                    <c:v>3.8303506631011938E-2</c:v>
                  </c:pt>
                  <c:pt idx="104">
                    <c:v>3.8041098137680508E-2</c:v>
                  </c:pt>
                  <c:pt idx="105">
                    <c:v>4.3414183553639692E-2</c:v>
                  </c:pt>
                  <c:pt idx="106">
                    <c:v>7.0786444257099165E-2</c:v>
                  </c:pt>
                  <c:pt idx="107">
                    <c:v>3.6598132344399945E-2</c:v>
                  </c:pt>
                  <c:pt idx="108">
                    <c:v>2.4477772162217869E-2</c:v>
                  </c:pt>
                  <c:pt idx="109">
                    <c:v>8.2605133899042144E-2</c:v>
                  </c:pt>
                  <c:pt idx="110">
                    <c:v>0</c:v>
                  </c:pt>
                  <c:pt idx="111">
                    <c:v>2.792015047257802E-2</c:v>
                  </c:pt>
                  <c:pt idx="112">
                    <c:v>6.432970130422247E-2</c:v>
                  </c:pt>
                  <c:pt idx="113">
                    <c:v>9.408552806071438E-2</c:v>
                  </c:pt>
                  <c:pt idx="114">
                    <c:v>5.5509829173683245E-2</c:v>
                  </c:pt>
                  <c:pt idx="115">
                    <c:v>8.9975186841237634E-2</c:v>
                  </c:pt>
                  <c:pt idx="116">
                    <c:v>5.9588044598636203E-2</c:v>
                  </c:pt>
                  <c:pt idx="117">
                    <c:v>5.8093125085338343E-2</c:v>
                  </c:pt>
                  <c:pt idx="118">
                    <c:v>0.12423053243317314</c:v>
                  </c:pt>
                  <c:pt idx="119">
                    <c:v>4.4687578372144827E-2</c:v>
                  </c:pt>
                  <c:pt idx="120">
                    <c:v>3.5295485476309202E-2</c:v>
                  </c:pt>
                  <c:pt idx="121">
                    <c:v>4.9726154129117961E-2</c:v>
                  </c:pt>
                  <c:pt idx="122">
                    <c:v>4.0057388486043274E-2</c:v>
                  </c:pt>
                  <c:pt idx="123">
                    <c:v>0</c:v>
                  </c:pt>
                  <c:pt idx="124">
                    <c:v>3.9621362800233317E-2</c:v>
                  </c:pt>
                  <c:pt idx="125">
                    <c:v>0</c:v>
                  </c:pt>
                  <c:pt idx="126">
                    <c:v>4.4854919911769119E-2</c:v>
                  </c:pt>
                  <c:pt idx="127">
                    <c:v>5.4756529079965505E-2</c:v>
                  </c:pt>
                  <c:pt idx="128">
                    <c:v>4.545560503628162E-2</c:v>
                  </c:pt>
                  <c:pt idx="129">
                    <c:v>5.2573633419717505E-2</c:v>
                  </c:pt>
                  <c:pt idx="130">
                    <c:v>0</c:v>
                  </c:pt>
                  <c:pt idx="131">
                    <c:v>1.9853969073515606E-2</c:v>
                  </c:pt>
                  <c:pt idx="132">
                    <c:v>4.9968306529868257E-2</c:v>
                  </c:pt>
                  <c:pt idx="133">
                    <c:v>7.3766743867190801E-2</c:v>
                  </c:pt>
                  <c:pt idx="134">
                    <c:v>0.10236472154176331</c:v>
                  </c:pt>
                  <c:pt idx="135">
                    <c:v>0</c:v>
                  </c:pt>
                  <c:pt idx="136">
                    <c:v>3.5157660096211484E-2</c:v>
                  </c:pt>
                  <c:pt idx="137">
                    <c:v>3.6369975687369709E-2</c:v>
                  </c:pt>
                  <c:pt idx="138">
                    <c:v>5.0561034720298645E-2</c:v>
                  </c:pt>
                  <c:pt idx="139">
                    <c:v>6.1524533887449134E-2</c:v>
                  </c:pt>
                  <c:pt idx="140">
                    <c:v>3.6552457042214222E-2</c:v>
                  </c:pt>
                  <c:pt idx="141">
                    <c:v>2.5686685009798055E-2</c:v>
                  </c:pt>
                  <c:pt idx="142">
                    <c:v>1.8684525618779996E-2</c:v>
                  </c:pt>
                  <c:pt idx="143">
                    <c:v>4.3496572426928608E-2</c:v>
                  </c:pt>
                  <c:pt idx="144">
                    <c:v>3.2786550873380123E-2</c:v>
                  </c:pt>
                  <c:pt idx="145">
                    <c:v>3.8625556470463264E-2</c:v>
                  </c:pt>
                  <c:pt idx="146">
                    <c:v>0</c:v>
                  </c:pt>
                  <c:pt idx="147">
                    <c:v>3.3397125603633247E-2</c:v>
                  </c:pt>
                  <c:pt idx="148">
                    <c:v>2.7228756501310614E-2</c:v>
                  </c:pt>
                  <c:pt idx="149">
                    <c:v>2.2054768467327887E-2</c:v>
                  </c:pt>
                  <c:pt idx="150">
                    <c:v>4.1130518657471915E-2</c:v>
                  </c:pt>
                  <c:pt idx="151">
                    <c:v>6.1677406220127864E-2</c:v>
                  </c:pt>
                  <c:pt idx="152">
                    <c:v>3.4027170081790736E-2</c:v>
                  </c:pt>
                  <c:pt idx="153">
                    <c:v>2.1115057569991796E-2</c:v>
                  </c:pt>
                  <c:pt idx="154">
                    <c:v>3.7273943960396891E-2</c:v>
                  </c:pt>
                  <c:pt idx="155">
                    <c:v>2.6900195909027889E-2</c:v>
                  </c:pt>
                  <c:pt idx="156">
                    <c:v>2.6562547311333461E-2</c:v>
                  </c:pt>
                  <c:pt idx="157">
                    <c:v>3.8876270184945348E-2</c:v>
                  </c:pt>
                  <c:pt idx="158">
                    <c:v>5.2733304441373405E-2</c:v>
                  </c:pt>
                  <c:pt idx="159">
                    <c:v>4.7662583268507162E-2</c:v>
                  </c:pt>
                  <c:pt idx="160">
                    <c:v>4.5399001580099629E-2</c:v>
                  </c:pt>
                  <c:pt idx="161">
                    <c:v>3.3420609323556442E-2</c:v>
                  </c:pt>
                  <c:pt idx="162">
                    <c:v>2.5683605548013477E-2</c:v>
                  </c:pt>
                  <c:pt idx="163">
                    <c:v>5.0461341031653804E-2</c:v>
                  </c:pt>
                  <c:pt idx="164">
                    <c:v>9.9453664274218173E-2</c:v>
                  </c:pt>
                  <c:pt idx="165">
                    <c:v>3.2864038969427876E-2</c:v>
                  </c:pt>
                  <c:pt idx="166">
                    <c:v>0</c:v>
                  </c:pt>
                  <c:pt idx="167">
                    <c:v>2.7469085993892951E-2</c:v>
                  </c:pt>
                  <c:pt idx="168">
                    <c:v>5.6519557675533183E-2</c:v>
                  </c:pt>
                  <c:pt idx="169">
                    <c:v>7.1777299431828298E-2</c:v>
                  </c:pt>
                  <c:pt idx="170">
                    <c:v>3.836264377082705E-2</c:v>
                  </c:pt>
                  <c:pt idx="171">
                    <c:v>4.6910676613444592E-2</c:v>
                  </c:pt>
                  <c:pt idx="172">
                    <c:v>2.7976634216356433E-2</c:v>
                  </c:pt>
                  <c:pt idx="173">
                    <c:v>7.3045345370320452E-2</c:v>
                  </c:pt>
                  <c:pt idx="174">
                    <c:v>4.1031854146085386E-2</c:v>
                  </c:pt>
                  <c:pt idx="175">
                    <c:v>2.2289150230583449E-2</c:v>
                  </c:pt>
                  <c:pt idx="176">
                    <c:v>2.4762952872715099E-2</c:v>
                  </c:pt>
                  <c:pt idx="177">
                    <c:v>4.5816857002251181E-2</c:v>
                  </c:pt>
                  <c:pt idx="178">
                    <c:v>7.4682706805777224E-2</c:v>
                  </c:pt>
                  <c:pt idx="179">
                    <c:v>4.3774610547555104E-2</c:v>
                  </c:pt>
                  <c:pt idx="180">
                    <c:v>5.3347314935869056E-2</c:v>
                  </c:pt>
                  <c:pt idx="181">
                    <c:v>4.2545804759144906E-2</c:v>
                  </c:pt>
                  <c:pt idx="182">
                    <c:v>5.4054845176822949E-2</c:v>
                  </c:pt>
                  <c:pt idx="183">
                    <c:v>6.316289598753122E-2</c:v>
                  </c:pt>
                  <c:pt idx="184">
                    <c:v>4.0848711275964941E-2</c:v>
                  </c:pt>
                  <c:pt idx="185">
                    <c:v>4.0542897240708656E-2</c:v>
                  </c:pt>
                  <c:pt idx="186">
                    <c:v>6.4218423286426199E-2</c:v>
                  </c:pt>
                  <c:pt idx="187">
                    <c:v>3.9526964756989476E-2</c:v>
                  </c:pt>
                  <c:pt idx="188">
                    <c:v>1.970968324384469E-2</c:v>
                  </c:pt>
                  <c:pt idx="189">
                    <c:v>5.0486435313495129E-2</c:v>
                  </c:pt>
                  <c:pt idx="190">
                    <c:v>3.2345338897050109E-2</c:v>
                  </c:pt>
                  <c:pt idx="191">
                    <c:v>5.6710139738491067E-2</c:v>
                  </c:pt>
                  <c:pt idx="192">
                    <c:v>4.1410783458765192E-2</c:v>
                  </c:pt>
                  <c:pt idx="193">
                    <c:v>6.1562245577830917E-2</c:v>
                  </c:pt>
                  <c:pt idx="194">
                    <c:v>7.3200207832488873E-2</c:v>
                  </c:pt>
                </c:numCache>
              </c:numRef>
            </c:plus>
            <c:minus>
              <c:numRef>
                <c:f>Sheet9!$I:$I</c:f>
                <c:numCache>
                  <c:formatCode>General</c:formatCode>
                  <c:ptCount val="1048576"/>
                  <c:pt idx="0">
                    <c:v>0.1039381921656387</c:v>
                  </c:pt>
                  <c:pt idx="1">
                    <c:v>4.3123053843080961E-2</c:v>
                  </c:pt>
                  <c:pt idx="2">
                    <c:v>6.6454542887607868E-2</c:v>
                  </c:pt>
                  <c:pt idx="3">
                    <c:v>0</c:v>
                  </c:pt>
                  <c:pt idx="4">
                    <c:v>3.284668535716169E-2</c:v>
                  </c:pt>
                  <c:pt idx="5">
                    <c:v>0</c:v>
                  </c:pt>
                  <c:pt idx="6">
                    <c:v>7.0169675693342703E-2</c:v>
                  </c:pt>
                  <c:pt idx="7">
                    <c:v>0.10283928971447147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2.3449779307701459E-2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4.8833073143037531E-2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0.15919289227527694</c:v>
                  </c:pt>
                  <c:pt idx="45">
                    <c:v>2.2318805514153054E-2</c:v>
                  </c:pt>
                  <c:pt idx="46">
                    <c:v>0</c:v>
                  </c:pt>
                  <c:pt idx="47">
                    <c:v>3.4094499124836017E-2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7.499965357466637E-2</c:v>
                  </c:pt>
                  <c:pt idx="53">
                    <c:v>0.11745496934376892</c:v>
                  </c:pt>
                  <c:pt idx="54">
                    <c:v>2.8859350766384188E-2</c:v>
                  </c:pt>
                  <c:pt idx="55">
                    <c:v>1.6738973060463038E-2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5.5907951149068748E-2</c:v>
                  </c:pt>
                  <c:pt idx="61">
                    <c:v>2.3108950176012645E-2</c:v>
                  </c:pt>
                  <c:pt idx="62">
                    <c:v>3.3591026827031661E-2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6.108167551372843E-2</c:v>
                  </c:pt>
                  <c:pt idx="68">
                    <c:v>6.6696053675396605E-2</c:v>
                  </c:pt>
                  <c:pt idx="69">
                    <c:v>0</c:v>
                  </c:pt>
                  <c:pt idx="70">
                    <c:v>2.8408247394306276E-2</c:v>
                  </c:pt>
                  <c:pt idx="71">
                    <c:v>0.13132061343744211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2.7333861460841945E-2</c:v>
                  </c:pt>
                  <c:pt idx="77">
                    <c:v>6.3728458696705917E-2</c:v>
                  </c:pt>
                  <c:pt idx="78">
                    <c:v>4.0130816621213081E-2</c:v>
                  </c:pt>
                  <c:pt idx="79">
                    <c:v>4.0617119794639292E-2</c:v>
                  </c:pt>
                  <c:pt idx="80">
                    <c:v>4.575323357019017E-2</c:v>
                  </c:pt>
                  <c:pt idx="81">
                    <c:v>7.9074775378651693E-2</c:v>
                  </c:pt>
                  <c:pt idx="82">
                    <c:v>2.0356971978869556E-2</c:v>
                  </c:pt>
                  <c:pt idx="83">
                    <c:v>4.8935489795014421E-2</c:v>
                  </c:pt>
                  <c:pt idx="84">
                    <c:v>6.5194949623401735E-2</c:v>
                  </c:pt>
                  <c:pt idx="85">
                    <c:v>0</c:v>
                  </c:pt>
                  <c:pt idx="86">
                    <c:v>2.6420053346111992E-2</c:v>
                  </c:pt>
                  <c:pt idx="87">
                    <c:v>3.4722428065943903E-2</c:v>
                  </c:pt>
                  <c:pt idx="88">
                    <c:v>6.3696953005547188E-2</c:v>
                  </c:pt>
                  <c:pt idx="89">
                    <c:v>4.2970101161726865E-2</c:v>
                  </c:pt>
                  <c:pt idx="90">
                    <c:v>4.4501180511845109E-2</c:v>
                  </c:pt>
                  <c:pt idx="91">
                    <c:v>6.4515182730068427E-2</c:v>
                  </c:pt>
                  <c:pt idx="92">
                    <c:v>4.9133653214946463E-2</c:v>
                  </c:pt>
                  <c:pt idx="93">
                    <c:v>3.4366363488614847E-2</c:v>
                  </c:pt>
                  <c:pt idx="94">
                    <c:v>7.5726185809148902E-2</c:v>
                  </c:pt>
                  <c:pt idx="95">
                    <c:v>6.056904674241257E-2</c:v>
                  </c:pt>
                  <c:pt idx="96">
                    <c:v>4.9679457969016468E-2</c:v>
                  </c:pt>
                  <c:pt idx="97">
                    <c:v>6.8485569723598705E-2</c:v>
                  </c:pt>
                  <c:pt idx="98">
                    <c:v>5.1609375092880501E-2</c:v>
                  </c:pt>
                  <c:pt idx="99">
                    <c:v>4.0998523665742533E-2</c:v>
                  </c:pt>
                  <c:pt idx="100">
                    <c:v>2.8002143720748E-2</c:v>
                  </c:pt>
                  <c:pt idx="101">
                    <c:v>4.3871704250502852E-2</c:v>
                  </c:pt>
                  <c:pt idx="102">
                    <c:v>7.0269779883969027E-2</c:v>
                  </c:pt>
                  <c:pt idx="103">
                    <c:v>3.8303506631011938E-2</c:v>
                  </c:pt>
                  <c:pt idx="104">
                    <c:v>3.8041098137680508E-2</c:v>
                  </c:pt>
                  <c:pt idx="105">
                    <c:v>4.3414183553639692E-2</c:v>
                  </c:pt>
                  <c:pt idx="106">
                    <c:v>7.0786444257099165E-2</c:v>
                  </c:pt>
                  <c:pt idx="107">
                    <c:v>3.6598132344399945E-2</c:v>
                  </c:pt>
                  <c:pt idx="108">
                    <c:v>2.4477772162217869E-2</c:v>
                  </c:pt>
                  <c:pt idx="109">
                    <c:v>8.2605133899042144E-2</c:v>
                  </c:pt>
                  <c:pt idx="110">
                    <c:v>0</c:v>
                  </c:pt>
                  <c:pt idx="111">
                    <c:v>2.792015047257802E-2</c:v>
                  </c:pt>
                  <c:pt idx="112">
                    <c:v>6.432970130422247E-2</c:v>
                  </c:pt>
                  <c:pt idx="113">
                    <c:v>9.408552806071438E-2</c:v>
                  </c:pt>
                  <c:pt idx="114">
                    <c:v>5.5509829173683245E-2</c:v>
                  </c:pt>
                  <c:pt idx="115">
                    <c:v>8.9975186841237634E-2</c:v>
                  </c:pt>
                  <c:pt idx="116">
                    <c:v>5.9588044598636203E-2</c:v>
                  </c:pt>
                  <c:pt idx="117">
                    <c:v>5.8093125085338343E-2</c:v>
                  </c:pt>
                  <c:pt idx="118">
                    <c:v>0.12423053243317314</c:v>
                  </c:pt>
                  <c:pt idx="119">
                    <c:v>4.4687578372144827E-2</c:v>
                  </c:pt>
                  <c:pt idx="120">
                    <c:v>3.5295485476309202E-2</c:v>
                  </c:pt>
                  <c:pt idx="121">
                    <c:v>4.9726154129117961E-2</c:v>
                  </c:pt>
                  <c:pt idx="122">
                    <c:v>4.0057388486043274E-2</c:v>
                  </c:pt>
                  <c:pt idx="123">
                    <c:v>0</c:v>
                  </c:pt>
                  <c:pt idx="124">
                    <c:v>3.9621362800233317E-2</c:v>
                  </c:pt>
                  <c:pt idx="125">
                    <c:v>0</c:v>
                  </c:pt>
                  <c:pt idx="126">
                    <c:v>4.4854919911769119E-2</c:v>
                  </c:pt>
                  <c:pt idx="127">
                    <c:v>5.4756529079965505E-2</c:v>
                  </c:pt>
                  <c:pt idx="128">
                    <c:v>4.545560503628162E-2</c:v>
                  </c:pt>
                  <c:pt idx="129">
                    <c:v>5.2573633419717505E-2</c:v>
                  </c:pt>
                  <c:pt idx="130">
                    <c:v>0</c:v>
                  </c:pt>
                  <c:pt idx="131">
                    <c:v>1.9853969073515606E-2</c:v>
                  </c:pt>
                  <c:pt idx="132">
                    <c:v>4.9968306529868257E-2</c:v>
                  </c:pt>
                  <c:pt idx="133">
                    <c:v>7.3766743867190801E-2</c:v>
                  </c:pt>
                  <c:pt idx="134">
                    <c:v>0.10236472154176331</c:v>
                  </c:pt>
                  <c:pt idx="135">
                    <c:v>0</c:v>
                  </c:pt>
                  <c:pt idx="136">
                    <c:v>3.5157660096211484E-2</c:v>
                  </c:pt>
                  <c:pt idx="137">
                    <c:v>3.6369975687369709E-2</c:v>
                  </c:pt>
                  <c:pt idx="138">
                    <c:v>5.0561034720298645E-2</c:v>
                  </c:pt>
                  <c:pt idx="139">
                    <c:v>6.1524533887449134E-2</c:v>
                  </c:pt>
                  <c:pt idx="140">
                    <c:v>3.6552457042214222E-2</c:v>
                  </c:pt>
                  <c:pt idx="141">
                    <c:v>2.5686685009798055E-2</c:v>
                  </c:pt>
                  <c:pt idx="142">
                    <c:v>1.8684525618779996E-2</c:v>
                  </c:pt>
                  <c:pt idx="143">
                    <c:v>4.3496572426928608E-2</c:v>
                  </c:pt>
                  <c:pt idx="144">
                    <c:v>3.2786550873380123E-2</c:v>
                  </c:pt>
                  <c:pt idx="145">
                    <c:v>3.8625556470463264E-2</c:v>
                  </c:pt>
                  <c:pt idx="146">
                    <c:v>0</c:v>
                  </c:pt>
                  <c:pt idx="147">
                    <c:v>3.3397125603633247E-2</c:v>
                  </c:pt>
                  <c:pt idx="148">
                    <c:v>2.7228756501310614E-2</c:v>
                  </c:pt>
                  <c:pt idx="149">
                    <c:v>2.2054768467327887E-2</c:v>
                  </c:pt>
                  <c:pt idx="150">
                    <c:v>4.1130518657471915E-2</c:v>
                  </c:pt>
                  <c:pt idx="151">
                    <c:v>6.1677406220127864E-2</c:v>
                  </c:pt>
                  <c:pt idx="152">
                    <c:v>3.4027170081790736E-2</c:v>
                  </c:pt>
                  <c:pt idx="153">
                    <c:v>2.1115057569991796E-2</c:v>
                  </c:pt>
                  <c:pt idx="154">
                    <c:v>3.7273943960396891E-2</c:v>
                  </c:pt>
                  <c:pt idx="155">
                    <c:v>2.6900195909027889E-2</c:v>
                  </c:pt>
                  <c:pt idx="156">
                    <c:v>2.6562547311333461E-2</c:v>
                  </c:pt>
                  <c:pt idx="157">
                    <c:v>3.8876270184945348E-2</c:v>
                  </c:pt>
                  <c:pt idx="158">
                    <c:v>5.2733304441373405E-2</c:v>
                  </c:pt>
                  <c:pt idx="159">
                    <c:v>4.7662583268507162E-2</c:v>
                  </c:pt>
                  <c:pt idx="160">
                    <c:v>4.5399001580099629E-2</c:v>
                  </c:pt>
                  <c:pt idx="161">
                    <c:v>3.3420609323556442E-2</c:v>
                  </c:pt>
                  <c:pt idx="162">
                    <c:v>2.5683605548013477E-2</c:v>
                  </c:pt>
                  <c:pt idx="163">
                    <c:v>5.0461341031653804E-2</c:v>
                  </c:pt>
                  <c:pt idx="164">
                    <c:v>9.9453664274218173E-2</c:v>
                  </c:pt>
                  <c:pt idx="165">
                    <c:v>3.2864038969427876E-2</c:v>
                  </c:pt>
                  <c:pt idx="166">
                    <c:v>0</c:v>
                  </c:pt>
                  <c:pt idx="167">
                    <c:v>2.7469085993892951E-2</c:v>
                  </c:pt>
                  <c:pt idx="168">
                    <c:v>5.6519557675533183E-2</c:v>
                  </c:pt>
                  <c:pt idx="169">
                    <c:v>7.1777299431828298E-2</c:v>
                  </c:pt>
                  <c:pt idx="170">
                    <c:v>3.836264377082705E-2</c:v>
                  </c:pt>
                  <c:pt idx="171">
                    <c:v>4.6910676613444592E-2</c:v>
                  </c:pt>
                  <c:pt idx="172">
                    <c:v>2.7976634216356433E-2</c:v>
                  </c:pt>
                  <c:pt idx="173">
                    <c:v>7.3045345370320452E-2</c:v>
                  </c:pt>
                  <c:pt idx="174">
                    <c:v>4.1031854146085386E-2</c:v>
                  </c:pt>
                  <c:pt idx="175">
                    <c:v>2.2289150230583449E-2</c:v>
                  </c:pt>
                  <c:pt idx="176">
                    <c:v>2.4762952872715099E-2</c:v>
                  </c:pt>
                  <c:pt idx="177">
                    <c:v>4.5816857002251181E-2</c:v>
                  </c:pt>
                  <c:pt idx="178">
                    <c:v>7.4682706805777224E-2</c:v>
                  </c:pt>
                  <c:pt idx="179">
                    <c:v>4.3774610547555104E-2</c:v>
                  </c:pt>
                  <c:pt idx="180">
                    <c:v>5.3347314935869056E-2</c:v>
                  </c:pt>
                  <c:pt idx="181">
                    <c:v>4.2545804759144906E-2</c:v>
                  </c:pt>
                  <c:pt idx="182">
                    <c:v>5.4054845176822949E-2</c:v>
                  </c:pt>
                  <c:pt idx="183">
                    <c:v>6.316289598753122E-2</c:v>
                  </c:pt>
                  <c:pt idx="184">
                    <c:v>4.0848711275964941E-2</c:v>
                  </c:pt>
                  <c:pt idx="185">
                    <c:v>4.0542897240708656E-2</c:v>
                  </c:pt>
                  <c:pt idx="186">
                    <c:v>6.4218423286426199E-2</c:v>
                  </c:pt>
                  <c:pt idx="187">
                    <c:v>3.9526964756989476E-2</c:v>
                  </c:pt>
                  <c:pt idx="188">
                    <c:v>1.970968324384469E-2</c:v>
                  </c:pt>
                  <c:pt idx="189">
                    <c:v>5.0486435313495129E-2</c:v>
                  </c:pt>
                  <c:pt idx="190">
                    <c:v>3.2345338897050109E-2</c:v>
                  </c:pt>
                  <c:pt idx="191">
                    <c:v>5.6710139738491067E-2</c:v>
                  </c:pt>
                  <c:pt idx="192">
                    <c:v>4.1410783458765192E-2</c:v>
                  </c:pt>
                  <c:pt idx="193">
                    <c:v>6.1562245577830917E-2</c:v>
                  </c:pt>
                  <c:pt idx="194">
                    <c:v>7.3200207832488873E-2</c:v>
                  </c:pt>
                </c:numCache>
              </c:numRef>
            </c:minus>
            <c:spPr>
              <a:ln>
                <a:solidFill>
                  <a:schemeClr val="tx1">
                    <a:lumMod val="65000"/>
                    <a:lumOff val="35000"/>
                  </a:schemeClr>
                </a:solidFill>
              </a:ln>
            </c:spPr>
          </c:errBars>
          <c:val>
            <c:numRef>
              <c:f>Sheet9!$F$1:$F$197</c:f>
              <c:numCache>
                <c:formatCode>General</c:formatCode>
                <c:ptCount val="197"/>
                <c:pt idx="0">
                  <c:v>0.1877603748271455</c:v>
                </c:pt>
                <c:pt idx="1">
                  <c:v>0.31060779677775502</c:v>
                </c:pt>
                <c:pt idx="2">
                  <c:v>0.33294242843270988</c:v>
                </c:pt>
                <c:pt idx="3">
                  <c:v>0</c:v>
                </c:pt>
                <c:pt idx="4">
                  <c:v>0.34354242857142853</c:v>
                </c:pt>
                <c:pt idx="5">
                  <c:v>0</c:v>
                </c:pt>
                <c:pt idx="6">
                  <c:v>0.35194382780214845</c:v>
                </c:pt>
                <c:pt idx="7">
                  <c:v>0.39745601572479916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0.42471700548873964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0.49956075452483828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0.52664818325239338</c:v>
                </c:pt>
                <c:pt idx="45">
                  <c:v>0.5285231033413601</c:v>
                </c:pt>
                <c:pt idx="46">
                  <c:v>0</c:v>
                </c:pt>
                <c:pt idx="47">
                  <c:v>0.52903912204320158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0.53759643046535699</c:v>
                </c:pt>
                <c:pt idx="53">
                  <c:v>0.53814399678970959</c:v>
                </c:pt>
                <c:pt idx="54">
                  <c:v>0.54107292807605478</c:v>
                </c:pt>
                <c:pt idx="55">
                  <c:v>0.54495266617345994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0.56295515783731043</c:v>
                </c:pt>
                <c:pt idx="61">
                  <c:v>0.56362959056114159</c:v>
                </c:pt>
                <c:pt idx="62">
                  <c:v>0.5669160109020086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0.57829034026975701</c:v>
                </c:pt>
                <c:pt idx="68">
                  <c:v>0.57955456930944793</c:v>
                </c:pt>
                <c:pt idx="69">
                  <c:v>0</c:v>
                </c:pt>
                <c:pt idx="70">
                  <c:v>0.58049086687545437</c:v>
                </c:pt>
                <c:pt idx="71">
                  <c:v>0.584359235356531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0.59360737970184907</c:v>
                </c:pt>
                <c:pt idx="77">
                  <c:v>0.59443852274788556</c:v>
                </c:pt>
                <c:pt idx="78">
                  <c:v>0.59534214791666662</c:v>
                </c:pt>
                <c:pt idx="79">
                  <c:v>0.59913571025082424</c:v>
                </c:pt>
                <c:pt idx="80">
                  <c:v>0.60120559638464022</c:v>
                </c:pt>
                <c:pt idx="81">
                  <c:v>0.60122657024148607</c:v>
                </c:pt>
                <c:pt idx="82">
                  <c:v>0.60313389340573831</c:v>
                </c:pt>
                <c:pt idx="83">
                  <c:v>0.60440036436980915</c:v>
                </c:pt>
                <c:pt idx="84">
                  <c:v>0.60760794957041586</c:v>
                </c:pt>
                <c:pt idx="85">
                  <c:v>0</c:v>
                </c:pt>
                <c:pt idx="86">
                  <c:v>0.61102434627589663</c:v>
                </c:pt>
                <c:pt idx="87">
                  <c:v>0.61176040525555964</c:v>
                </c:pt>
                <c:pt idx="88">
                  <c:v>0.61570921322949212</c:v>
                </c:pt>
                <c:pt idx="89">
                  <c:v>0.61614098574933052</c:v>
                </c:pt>
                <c:pt idx="90">
                  <c:v>0.61682784604466456</c:v>
                </c:pt>
                <c:pt idx="91">
                  <c:v>0.61873933646215007</c:v>
                </c:pt>
                <c:pt idx="92">
                  <c:v>0.61891590310541611</c:v>
                </c:pt>
                <c:pt idx="93">
                  <c:v>0.62015943653651107</c:v>
                </c:pt>
                <c:pt idx="94">
                  <c:v>0.62229701203084631</c:v>
                </c:pt>
                <c:pt idx="95">
                  <c:v>0.6253009603590669</c:v>
                </c:pt>
                <c:pt idx="96">
                  <c:v>0.62734219652698198</c:v>
                </c:pt>
                <c:pt idx="97">
                  <c:v>0.62827023905379498</c:v>
                </c:pt>
                <c:pt idx="98">
                  <c:v>0.62834125542692398</c:v>
                </c:pt>
                <c:pt idx="99">
                  <c:v>0.62910828497057658</c:v>
                </c:pt>
                <c:pt idx="100">
                  <c:v>0.63049659025991023</c:v>
                </c:pt>
                <c:pt idx="101">
                  <c:v>0.63437828260372897</c:v>
                </c:pt>
                <c:pt idx="102">
                  <c:v>0.63469329456990187</c:v>
                </c:pt>
                <c:pt idx="103">
                  <c:v>0.6364051975103473</c:v>
                </c:pt>
                <c:pt idx="104">
                  <c:v>0.63835386728684529</c:v>
                </c:pt>
                <c:pt idx="105">
                  <c:v>0.6391115308571429</c:v>
                </c:pt>
                <c:pt idx="106">
                  <c:v>0.64069102729295457</c:v>
                </c:pt>
                <c:pt idx="107">
                  <c:v>0.64236520486318016</c:v>
                </c:pt>
                <c:pt idx="108">
                  <c:v>0.64567517857068302</c:v>
                </c:pt>
                <c:pt idx="109">
                  <c:v>0.64570811282779128</c:v>
                </c:pt>
                <c:pt idx="110">
                  <c:v>0</c:v>
                </c:pt>
                <c:pt idx="111">
                  <c:v>0.64681208718712757</c:v>
                </c:pt>
                <c:pt idx="112">
                  <c:v>0.64803930212912142</c:v>
                </c:pt>
                <c:pt idx="113">
                  <c:v>0.64876289396432607</c:v>
                </c:pt>
                <c:pt idx="114">
                  <c:v>0.64900989402028386</c:v>
                </c:pt>
                <c:pt idx="115">
                  <c:v>0.64931277297263024</c:v>
                </c:pt>
                <c:pt idx="116">
                  <c:v>0.64967608787076747</c:v>
                </c:pt>
                <c:pt idx="117">
                  <c:v>0.65306138286476001</c:v>
                </c:pt>
                <c:pt idx="118">
                  <c:v>0.65312290921682037</c:v>
                </c:pt>
                <c:pt idx="119">
                  <c:v>0.65335293249603354</c:v>
                </c:pt>
                <c:pt idx="120">
                  <c:v>0.65430771596246806</c:v>
                </c:pt>
                <c:pt idx="121">
                  <c:v>0.65487168568400944</c:v>
                </c:pt>
                <c:pt idx="122">
                  <c:v>0.65605339579524968</c:v>
                </c:pt>
                <c:pt idx="123">
                  <c:v>0</c:v>
                </c:pt>
                <c:pt idx="124">
                  <c:v>0.65770766521721324</c:v>
                </c:pt>
                <c:pt idx="125">
                  <c:v>0</c:v>
                </c:pt>
                <c:pt idx="126">
                  <c:v>0.66135053759073081</c:v>
                </c:pt>
                <c:pt idx="127">
                  <c:v>0.66365457110149384</c:v>
                </c:pt>
                <c:pt idx="128">
                  <c:v>0.66379688621998623</c:v>
                </c:pt>
                <c:pt idx="129">
                  <c:v>0.66521981322779045</c:v>
                </c:pt>
                <c:pt idx="130">
                  <c:v>0</c:v>
                </c:pt>
                <c:pt idx="131">
                  <c:v>0.66708824827197133</c:v>
                </c:pt>
                <c:pt idx="132">
                  <c:v>0.66943173688593494</c:v>
                </c:pt>
                <c:pt idx="133">
                  <c:v>0.66991585991288138</c:v>
                </c:pt>
                <c:pt idx="134">
                  <c:v>0.67100091880511614</c:v>
                </c:pt>
                <c:pt idx="135">
                  <c:v>0</c:v>
                </c:pt>
                <c:pt idx="136">
                  <c:v>0.67111625175243927</c:v>
                </c:pt>
                <c:pt idx="137">
                  <c:v>0.67140373587780922</c:v>
                </c:pt>
                <c:pt idx="138">
                  <c:v>0.67392251130024916</c:v>
                </c:pt>
                <c:pt idx="139">
                  <c:v>0.67444463824064071</c:v>
                </c:pt>
                <c:pt idx="140">
                  <c:v>0.67483305634121438</c:v>
                </c:pt>
                <c:pt idx="141">
                  <c:v>0.67864299213977319</c:v>
                </c:pt>
                <c:pt idx="142">
                  <c:v>0.67881116868919811</c:v>
                </c:pt>
                <c:pt idx="143">
                  <c:v>0.67937095074146026</c:v>
                </c:pt>
                <c:pt idx="144">
                  <c:v>0.67962989500000004</c:v>
                </c:pt>
                <c:pt idx="145">
                  <c:v>0.67982951384971269</c:v>
                </c:pt>
                <c:pt idx="146">
                  <c:v>0</c:v>
                </c:pt>
                <c:pt idx="147">
                  <c:v>0.68180786191400367</c:v>
                </c:pt>
                <c:pt idx="148">
                  <c:v>0.68525439827142864</c:v>
                </c:pt>
                <c:pt idx="149">
                  <c:v>0.68536675202644981</c:v>
                </c:pt>
                <c:pt idx="150">
                  <c:v>0.68577814014999994</c:v>
                </c:pt>
                <c:pt idx="151">
                  <c:v>0.68657358933919899</c:v>
                </c:pt>
                <c:pt idx="152">
                  <c:v>0.68776445429112332</c:v>
                </c:pt>
                <c:pt idx="153">
                  <c:v>0.68927373521005386</c:v>
                </c:pt>
                <c:pt idx="154">
                  <c:v>0.69086753521672828</c:v>
                </c:pt>
                <c:pt idx="155">
                  <c:v>0.6914159614961104</c:v>
                </c:pt>
                <c:pt idx="156">
                  <c:v>0.69148295017494088</c:v>
                </c:pt>
                <c:pt idx="157">
                  <c:v>0.69321851223200814</c:v>
                </c:pt>
                <c:pt idx="158">
                  <c:v>0.6934323845704583</c:v>
                </c:pt>
                <c:pt idx="159">
                  <c:v>0.6947224157519587</c:v>
                </c:pt>
                <c:pt idx="160">
                  <c:v>0.69492507649640756</c:v>
                </c:pt>
                <c:pt idx="161">
                  <c:v>0.69547151504190563</c:v>
                </c:pt>
                <c:pt idx="162">
                  <c:v>0.69591107009186237</c:v>
                </c:pt>
                <c:pt idx="163">
                  <c:v>0.69763044037983846</c:v>
                </c:pt>
                <c:pt idx="164">
                  <c:v>0.6976642166210606</c:v>
                </c:pt>
                <c:pt idx="165">
                  <c:v>0.69824293057113485</c:v>
                </c:pt>
                <c:pt idx="166">
                  <c:v>0</c:v>
                </c:pt>
                <c:pt idx="167">
                  <c:v>0.70232194736214704</c:v>
                </c:pt>
                <c:pt idx="168">
                  <c:v>0.70286454226546879</c:v>
                </c:pt>
                <c:pt idx="169">
                  <c:v>0.70391596371534726</c:v>
                </c:pt>
                <c:pt idx="170">
                  <c:v>0.70473535577019064</c:v>
                </c:pt>
                <c:pt idx="171">
                  <c:v>0.70710520455366888</c:v>
                </c:pt>
                <c:pt idx="172">
                  <c:v>0.70754089250235985</c:v>
                </c:pt>
                <c:pt idx="173">
                  <c:v>0.70807070403508787</c:v>
                </c:pt>
                <c:pt idx="174">
                  <c:v>0.70897742577865897</c:v>
                </c:pt>
                <c:pt idx="175">
                  <c:v>0.71106689244833388</c:v>
                </c:pt>
                <c:pt idx="176">
                  <c:v>0.71169227209755892</c:v>
                </c:pt>
                <c:pt idx="177">
                  <c:v>0.71184671913134978</c:v>
                </c:pt>
                <c:pt idx="178">
                  <c:v>0.71401179274197957</c:v>
                </c:pt>
                <c:pt idx="179">
                  <c:v>0.71411613812692265</c:v>
                </c:pt>
                <c:pt idx="180">
                  <c:v>0.71480565699953003</c:v>
                </c:pt>
                <c:pt idx="181">
                  <c:v>0.71690604211933362</c:v>
                </c:pt>
                <c:pt idx="182">
                  <c:v>0.7171788784586216</c:v>
                </c:pt>
                <c:pt idx="183">
                  <c:v>0.71775351096497564</c:v>
                </c:pt>
                <c:pt idx="184">
                  <c:v>0.72054664270348334</c:v>
                </c:pt>
                <c:pt idx="185">
                  <c:v>0.72107657067686104</c:v>
                </c:pt>
                <c:pt idx="186">
                  <c:v>0.72659942541718459</c:v>
                </c:pt>
                <c:pt idx="187">
                  <c:v>0.72776839342765343</c:v>
                </c:pt>
                <c:pt idx="188">
                  <c:v>0.72990727690433144</c:v>
                </c:pt>
                <c:pt idx="189">
                  <c:v>0.73182502876393341</c:v>
                </c:pt>
                <c:pt idx="190">
                  <c:v>0.73200715788669202</c:v>
                </c:pt>
                <c:pt idx="191">
                  <c:v>0.73347426630797041</c:v>
                </c:pt>
                <c:pt idx="192">
                  <c:v>0.73912669461550051</c:v>
                </c:pt>
                <c:pt idx="193">
                  <c:v>0.73984340517304292</c:v>
                </c:pt>
                <c:pt idx="194">
                  <c:v>0.74151266044638253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7B5-4E54-8103-ADD710F41382}"/>
            </c:ext>
          </c:extLst>
        </c:ser>
        <c:ser>
          <c:idx val="1"/>
          <c:order val="1"/>
          <c:spPr>
            <a:solidFill>
              <a:srgbClr val="002060"/>
            </a:solidFill>
          </c:spPr>
          <c:invertIfNegative val="0"/>
          <c:errBars>
            <c:errBarType val="plus"/>
            <c:errValType val="cust"/>
            <c:noEndCap val="1"/>
            <c:plus>
              <c:numRef>
                <c:f>Sheet9!$J:$J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5.0859339934522692E-2</c:v>
                  </c:pt>
                  <c:pt idx="4">
                    <c:v>0</c:v>
                  </c:pt>
                  <c:pt idx="5">
                    <c:v>4.4831626096382519E-2</c:v>
                  </c:pt>
                  <c:pt idx="6">
                    <c:v>0</c:v>
                  </c:pt>
                  <c:pt idx="7">
                    <c:v>0</c:v>
                  </c:pt>
                  <c:pt idx="8">
                    <c:v>6.3821935737652769E-2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6.1790645015533087E-2</c:v>
                  </c:pt>
                  <c:pt idx="20">
                    <c:v>1.8449396384907852E-2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9.9222488533906986E-2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6.6382968601500822E-2</c:v>
                  </c:pt>
                  <c:pt idx="57">
                    <c:v>0</c:v>
                  </c:pt>
                  <c:pt idx="58">
                    <c:v>0</c:v>
                  </c:pt>
                  <c:pt idx="59">
                    <c:v>4.6087824828635077E-2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5.270768486000655E-2</c:v>
                  </c:pt>
                  <c:pt idx="65">
                    <c:v>1.9239679210154636E-2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3.0954430024731777E-2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2.389422949223825E-2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4.2981677916649953E-2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5.6834561879715771E-2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5.2247026138631664E-2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6.8383222843700645E-2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</c:numCache>
              </c:numRef>
            </c:plus>
            <c:minus>
              <c:numRef>
                <c:f>Sheet9!$J:$J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5.0859339934522692E-2</c:v>
                  </c:pt>
                  <c:pt idx="4">
                    <c:v>0</c:v>
                  </c:pt>
                  <c:pt idx="5">
                    <c:v>4.4831626096382519E-2</c:v>
                  </c:pt>
                  <c:pt idx="6">
                    <c:v>0</c:v>
                  </c:pt>
                  <c:pt idx="7">
                    <c:v>0</c:v>
                  </c:pt>
                  <c:pt idx="8">
                    <c:v>6.3821935737652769E-2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6.1790645015533087E-2</c:v>
                  </c:pt>
                  <c:pt idx="20">
                    <c:v>1.8449396384907852E-2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9.9222488533906986E-2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6.6382968601500822E-2</c:v>
                  </c:pt>
                  <c:pt idx="57">
                    <c:v>0</c:v>
                  </c:pt>
                  <c:pt idx="58">
                    <c:v>0</c:v>
                  </c:pt>
                  <c:pt idx="59">
                    <c:v>4.6087824828635077E-2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5.270768486000655E-2</c:v>
                  </c:pt>
                  <c:pt idx="65">
                    <c:v>1.9239679210154636E-2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3.0954430024731777E-2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2.389422949223825E-2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4.2981677916649953E-2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5.6834561879715771E-2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5.2247026138631664E-2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6.8383222843700645E-2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</c:numCache>
              </c:numRef>
            </c:minus>
            <c:spPr>
              <a:ln>
                <a:solidFill>
                  <a:schemeClr val="tx1">
                    <a:lumMod val="65000"/>
                    <a:lumOff val="35000"/>
                  </a:schemeClr>
                </a:solidFill>
              </a:ln>
            </c:spPr>
          </c:errBars>
          <c:val>
            <c:numRef>
              <c:f>Sheet9!$G$1:$G$197</c:f>
              <c:numCache>
                <c:formatCode>General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0.33341764578370747</c:v>
                </c:pt>
                <c:pt idx="4">
                  <c:v>0</c:v>
                </c:pt>
                <c:pt idx="5">
                  <c:v>0.34385203602449338</c:v>
                </c:pt>
                <c:pt idx="6">
                  <c:v>0</c:v>
                </c:pt>
                <c:pt idx="7">
                  <c:v>0</c:v>
                </c:pt>
                <c:pt idx="8">
                  <c:v>0.39867268422569108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0.43942284217692618</c:v>
                </c:pt>
                <c:pt idx="20">
                  <c:v>0.44090220229763938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0.53574941279775379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0.55789830096731596</c:v>
                </c:pt>
                <c:pt idx="57">
                  <c:v>0</c:v>
                </c:pt>
                <c:pt idx="58">
                  <c:v>0</c:v>
                </c:pt>
                <c:pt idx="59">
                  <c:v>0.56098387974149622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0.57522538560735814</c:v>
                </c:pt>
                <c:pt idx="65">
                  <c:v>0.57672375833333334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0.58677582346190282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0.64593188831621273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0.65719381658630693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0.6710898293847557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0.68150983350617234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0.70125389116208114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7B5-4E54-8103-ADD710F41382}"/>
            </c:ext>
          </c:extLst>
        </c:ser>
        <c:ser>
          <c:idx val="2"/>
          <c:order val="2"/>
          <c:spPr>
            <a:solidFill>
              <a:srgbClr val="00B0F0"/>
            </a:solidFill>
          </c:spPr>
          <c:invertIfNegative val="0"/>
          <c:errBars>
            <c:errBarType val="plus"/>
            <c:errValType val="cust"/>
            <c:noEndCap val="1"/>
            <c:plus>
              <c:numRef>
                <c:f>Sheet9!$K:$K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5.5784470760834357E-2</c:v>
                  </c:pt>
                  <c:pt idx="10">
                    <c:v>2.6210904091653293E-2</c:v>
                  </c:pt>
                  <c:pt idx="11">
                    <c:v>3.3303354680011922E-2</c:v>
                  </c:pt>
                  <c:pt idx="12">
                    <c:v>4.3326302495357329E-2</c:v>
                  </c:pt>
                  <c:pt idx="13">
                    <c:v>0</c:v>
                  </c:pt>
                  <c:pt idx="14">
                    <c:v>5.8153048952149955E-2</c:v>
                  </c:pt>
                  <c:pt idx="15">
                    <c:v>6.381858981661595E-2</c:v>
                  </c:pt>
                  <c:pt idx="16">
                    <c:v>5.3317958304346241E-2</c:v>
                  </c:pt>
                  <c:pt idx="17">
                    <c:v>3.1896351234514224E-2</c:v>
                  </c:pt>
                  <c:pt idx="18">
                    <c:v>9.996459202397065E-2</c:v>
                  </c:pt>
                  <c:pt idx="19">
                    <c:v>0</c:v>
                  </c:pt>
                  <c:pt idx="20">
                    <c:v>0</c:v>
                  </c:pt>
                  <c:pt idx="21">
                    <c:v>5.0227468367711449E-2</c:v>
                  </c:pt>
                  <c:pt idx="22">
                    <c:v>9.4271558467325822E-2</c:v>
                  </c:pt>
                  <c:pt idx="23">
                    <c:v>8.1798217633058584E-2</c:v>
                  </c:pt>
                  <c:pt idx="24">
                    <c:v>5.70545627360622E-2</c:v>
                  </c:pt>
                  <c:pt idx="25">
                    <c:v>4.3645973089615729E-2</c:v>
                  </c:pt>
                  <c:pt idx="26">
                    <c:v>5.6980535126520064E-2</c:v>
                  </c:pt>
                  <c:pt idx="27">
                    <c:v>3.5513213678555769E-2</c:v>
                  </c:pt>
                  <c:pt idx="28">
                    <c:v>1.7496252713995547E-2</c:v>
                  </c:pt>
                  <c:pt idx="29">
                    <c:v>5.4949574091860541E-2</c:v>
                  </c:pt>
                  <c:pt idx="30">
                    <c:v>8.3102856502195024E-2</c:v>
                  </c:pt>
                  <c:pt idx="31">
                    <c:v>4.6996607370448654E-2</c:v>
                  </c:pt>
                  <c:pt idx="32">
                    <c:v>2.7886770953489778E-2</c:v>
                  </c:pt>
                  <c:pt idx="33">
                    <c:v>5.0922110628391637E-2</c:v>
                  </c:pt>
                  <c:pt idx="34">
                    <c:v>3.6132299444487315E-2</c:v>
                  </c:pt>
                  <c:pt idx="35">
                    <c:v>0</c:v>
                  </c:pt>
                  <c:pt idx="36">
                    <c:v>8.9631873501968051E-2</c:v>
                  </c:pt>
                  <c:pt idx="37">
                    <c:v>0.12698315511733649</c:v>
                  </c:pt>
                  <c:pt idx="38">
                    <c:v>6.0000781759670607E-2</c:v>
                  </c:pt>
                  <c:pt idx="39">
                    <c:v>4.0308826446773208E-2</c:v>
                  </c:pt>
                  <c:pt idx="40">
                    <c:v>4.5215245041687072E-2</c:v>
                  </c:pt>
                  <c:pt idx="41">
                    <c:v>3.403469201864532E-2</c:v>
                  </c:pt>
                  <c:pt idx="42">
                    <c:v>5.4923219718209848E-2</c:v>
                  </c:pt>
                  <c:pt idx="43">
                    <c:v>4.5784690008889378E-2</c:v>
                  </c:pt>
                  <c:pt idx="44">
                    <c:v>0</c:v>
                  </c:pt>
                  <c:pt idx="45">
                    <c:v>0</c:v>
                  </c:pt>
                  <c:pt idx="46">
                    <c:v>5.2366619420201807E-2</c:v>
                  </c:pt>
                  <c:pt idx="47">
                    <c:v>0</c:v>
                  </c:pt>
                  <c:pt idx="48">
                    <c:v>5.249920501674013E-2</c:v>
                  </c:pt>
                  <c:pt idx="49">
                    <c:v>1.229729483097306E-2</c:v>
                  </c:pt>
                  <c:pt idx="50">
                    <c:v>4.1432829252008245E-2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9.3225356189042222E-2</c:v>
                  </c:pt>
                  <c:pt idx="58">
                    <c:v>5.8523488527059346E-2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8.2013988531291521E-2</c:v>
                  </c:pt>
                  <c:pt idx="64">
                    <c:v>0</c:v>
                  </c:pt>
                  <c:pt idx="65">
                    <c:v>0</c:v>
                  </c:pt>
                  <c:pt idx="66">
                    <c:v>3.8418598128375364E-2</c:v>
                  </c:pt>
                  <c:pt idx="67">
                    <c:v>0</c:v>
                  </c:pt>
                  <c:pt idx="68">
                    <c:v>0</c:v>
                  </c:pt>
                  <c:pt idx="69">
                    <c:v>9.9315919616177695E-2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7.11351843939593E-2</c:v>
                  </c:pt>
                  <c:pt idx="74">
                    <c:v>5.5362318842109064E-2</c:v>
                  </c:pt>
                  <c:pt idx="75">
                    <c:v>5.0320764981525608E-2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4.2950442930063282E-2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4.4717236508960707E-2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4.6351457207821987E-2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</c:numCache>
              </c:numRef>
            </c:plus>
            <c:minus>
              <c:numRef>
                <c:f>Sheet9!$K:$K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5.5784470760834357E-2</c:v>
                  </c:pt>
                  <c:pt idx="10">
                    <c:v>2.6210904091653293E-2</c:v>
                  </c:pt>
                  <c:pt idx="11">
                    <c:v>3.3303354680011922E-2</c:v>
                  </c:pt>
                  <c:pt idx="12">
                    <c:v>4.3326302495357329E-2</c:v>
                  </c:pt>
                  <c:pt idx="13">
                    <c:v>0</c:v>
                  </c:pt>
                  <c:pt idx="14">
                    <c:v>5.8153048952149955E-2</c:v>
                  </c:pt>
                  <c:pt idx="15">
                    <c:v>6.381858981661595E-2</c:v>
                  </c:pt>
                  <c:pt idx="16">
                    <c:v>5.3317958304346241E-2</c:v>
                  </c:pt>
                  <c:pt idx="17">
                    <c:v>3.1896351234514224E-2</c:v>
                  </c:pt>
                  <c:pt idx="18">
                    <c:v>9.996459202397065E-2</c:v>
                  </c:pt>
                  <c:pt idx="19">
                    <c:v>0</c:v>
                  </c:pt>
                  <c:pt idx="20">
                    <c:v>0</c:v>
                  </c:pt>
                  <c:pt idx="21">
                    <c:v>5.0227468367711449E-2</c:v>
                  </c:pt>
                  <c:pt idx="22">
                    <c:v>9.4271558467325822E-2</c:v>
                  </c:pt>
                  <c:pt idx="23">
                    <c:v>8.1798217633058584E-2</c:v>
                  </c:pt>
                  <c:pt idx="24">
                    <c:v>5.70545627360622E-2</c:v>
                  </c:pt>
                  <c:pt idx="25">
                    <c:v>4.3645973089615729E-2</c:v>
                  </c:pt>
                  <c:pt idx="26">
                    <c:v>5.6980535126520064E-2</c:v>
                  </c:pt>
                  <c:pt idx="27">
                    <c:v>3.5513213678555769E-2</c:v>
                  </c:pt>
                  <c:pt idx="28">
                    <c:v>1.7496252713995547E-2</c:v>
                  </c:pt>
                  <c:pt idx="29">
                    <c:v>5.4949574091860541E-2</c:v>
                  </c:pt>
                  <c:pt idx="30">
                    <c:v>8.3102856502195024E-2</c:v>
                  </c:pt>
                  <c:pt idx="31">
                    <c:v>4.6996607370448654E-2</c:v>
                  </c:pt>
                  <c:pt idx="32">
                    <c:v>2.7886770953489778E-2</c:v>
                  </c:pt>
                  <c:pt idx="33">
                    <c:v>5.0922110628391637E-2</c:v>
                  </c:pt>
                  <c:pt idx="34">
                    <c:v>3.6132299444487315E-2</c:v>
                  </c:pt>
                  <c:pt idx="35">
                    <c:v>0</c:v>
                  </c:pt>
                  <c:pt idx="36">
                    <c:v>8.9631873501968051E-2</c:v>
                  </c:pt>
                  <c:pt idx="37">
                    <c:v>0.12698315511733649</c:v>
                  </c:pt>
                  <c:pt idx="38">
                    <c:v>6.0000781759670607E-2</c:v>
                  </c:pt>
                  <c:pt idx="39">
                    <c:v>4.0308826446773208E-2</c:v>
                  </c:pt>
                  <c:pt idx="40">
                    <c:v>4.5215245041687072E-2</c:v>
                  </c:pt>
                  <c:pt idx="41">
                    <c:v>3.403469201864532E-2</c:v>
                  </c:pt>
                  <c:pt idx="42">
                    <c:v>5.4923219718209848E-2</c:v>
                  </c:pt>
                  <c:pt idx="43">
                    <c:v>4.5784690008889378E-2</c:v>
                  </c:pt>
                  <c:pt idx="44">
                    <c:v>0</c:v>
                  </c:pt>
                  <c:pt idx="45">
                    <c:v>0</c:v>
                  </c:pt>
                  <c:pt idx="46">
                    <c:v>5.2366619420201807E-2</c:v>
                  </c:pt>
                  <c:pt idx="47">
                    <c:v>0</c:v>
                  </c:pt>
                  <c:pt idx="48">
                    <c:v>5.249920501674013E-2</c:v>
                  </c:pt>
                  <c:pt idx="49">
                    <c:v>1.229729483097306E-2</c:v>
                  </c:pt>
                  <c:pt idx="50">
                    <c:v>4.1432829252008245E-2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9.3225356189042222E-2</c:v>
                  </c:pt>
                  <c:pt idx="58">
                    <c:v>5.8523488527059346E-2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8.2013988531291521E-2</c:v>
                  </c:pt>
                  <c:pt idx="64">
                    <c:v>0</c:v>
                  </c:pt>
                  <c:pt idx="65">
                    <c:v>0</c:v>
                  </c:pt>
                  <c:pt idx="66">
                    <c:v>3.8418598128375364E-2</c:v>
                  </c:pt>
                  <c:pt idx="67">
                    <c:v>0</c:v>
                  </c:pt>
                  <c:pt idx="68">
                    <c:v>0</c:v>
                  </c:pt>
                  <c:pt idx="69">
                    <c:v>9.9315919616177695E-2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7.11351843939593E-2</c:v>
                  </c:pt>
                  <c:pt idx="74">
                    <c:v>5.5362318842109064E-2</c:v>
                  </c:pt>
                  <c:pt idx="75">
                    <c:v>5.0320764981525608E-2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4.2950442930063282E-2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4.4717236508960707E-2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4.6351457207821987E-2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</c:numCache>
              </c:numRef>
            </c:minus>
            <c:spPr>
              <a:ln>
                <a:solidFill>
                  <a:schemeClr val="tx1">
                    <a:lumMod val="65000"/>
                    <a:lumOff val="35000"/>
                  </a:schemeClr>
                </a:solidFill>
              </a:ln>
            </c:spPr>
          </c:errBars>
          <c:val>
            <c:numRef>
              <c:f>Sheet9!$H$1:$H$197</c:f>
              <c:numCache>
                <c:formatCode>General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0.40449639863129888</c:v>
                </c:pt>
                <c:pt idx="10">
                  <c:v>0.40555976863225535</c:v>
                </c:pt>
                <c:pt idx="11">
                  <c:v>0.41572045391973594</c:v>
                </c:pt>
                <c:pt idx="12">
                  <c:v>0.42259007897640749</c:v>
                </c:pt>
                <c:pt idx="13">
                  <c:v>0</c:v>
                </c:pt>
                <c:pt idx="14">
                  <c:v>0.42543392744682551</c:v>
                </c:pt>
                <c:pt idx="15">
                  <c:v>0.43391083846914535</c:v>
                </c:pt>
                <c:pt idx="16">
                  <c:v>0.43413585100510527</c:v>
                </c:pt>
                <c:pt idx="17">
                  <c:v>0.43558831842920476</c:v>
                </c:pt>
                <c:pt idx="18">
                  <c:v>0.43779305914148631</c:v>
                </c:pt>
                <c:pt idx="19">
                  <c:v>0</c:v>
                </c:pt>
                <c:pt idx="20">
                  <c:v>0</c:v>
                </c:pt>
                <c:pt idx="21">
                  <c:v>0.44614798012564644</c:v>
                </c:pt>
                <c:pt idx="22">
                  <c:v>0.44824018628159684</c:v>
                </c:pt>
                <c:pt idx="23">
                  <c:v>0.45507819783895431</c:v>
                </c:pt>
                <c:pt idx="24">
                  <c:v>0.45579427866281241</c:v>
                </c:pt>
                <c:pt idx="25">
                  <c:v>0.46040105487641914</c:v>
                </c:pt>
                <c:pt idx="26">
                  <c:v>0.46169555723475586</c:v>
                </c:pt>
                <c:pt idx="27">
                  <c:v>0.47247277310836588</c:v>
                </c:pt>
                <c:pt idx="28">
                  <c:v>0.47785648071647402</c:v>
                </c:pt>
                <c:pt idx="29">
                  <c:v>0.47951632401682437</c:v>
                </c:pt>
                <c:pt idx="30">
                  <c:v>0.4812538810641771</c:v>
                </c:pt>
                <c:pt idx="31">
                  <c:v>0.4902529988342495</c:v>
                </c:pt>
                <c:pt idx="32">
                  <c:v>0.49072972697706979</c:v>
                </c:pt>
                <c:pt idx="33">
                  <c:v>0.49469059195789827</c:v>
                </c:pt>
                <c:pt idx="34">
                  <c:v>0.49780727974138639</c:v>
                </c:pt>
                <c:pt idx="35">
                  <c:v>0</c:v>
                </c:pt>
                <c:pt idx="36">
                  <c:v>0.49977071992602817</c:v>
                </c:pt>
                <c:pt idx="37">
                  <c:v>0.50077239289589515</c:v>
                </c:pt>
                <c:pt idx="38">
                  <c:v>0.50094441832603254</c:v>
                </c:pt>
                <c:pt idx="39">
                  <c:v>0.50370069361239189</c:v>
                </c:pt>
                <c:pt idx="40">
                  <c:v>0.50708830442763497</c:v>
                </c:pt>
                <c:pt idx="41">
                  <c:v>0.51381911680358139</c:v>
                </c:pt>
                <c:pt idx="42">
                  <c:v>0.51434456823036723</c:v>
                </c:pt>
                <c:pt idx="43">
                  <c:v>0.52476631396541573</c:v>
                </c:pt>
                <c:pt idx="44">
                  <c:v>0</c:v>
                </c:pt>
                <c:pt idx="45">
                  <c:v>0</c:v>
                </c:pt>
                <c:pt idx="46">
                  <c:v>0.52873051092852463</c:v>
                </c:pt>
                <c:pt idx="47">
                  <c:v>0</c:v>
                </c:pt>
                <c:pt idx="48">
                  <c:v>0.52955481275160055</c:v>
                </c:pt>
                <c:pt idx="49">
                  <c:v>0.53038390699211901</c:v>
                </c:pt>
                <c:pt idx="50">
                  <c:v>0.5325364131503133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0.55841692789567998</c:v>
                </c:pt>
                <c:pt idx="58">
                  <c:v>0.56097773892672798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0.57036212374376527</c:v>
                </c:pt>
                <c:pt idx="64">
                  <c:v>0</c:v>
                </c:pt>
                <c:pt idx="65">
                  <c:v>0</c:v>
                </c:pt>
                <c:pt idx="66">
                  <c:v>0.57712522683804879</c:v>
                </c:pt>
                <c:pt idx="67">
                  <c:v>0</c:v>
                </c:pt>
                <c:pt idx="68">
                  <c:v>0</c:v>
                </c:pt>
                <c:pt idx="69">
                  <c:v>0.58028083892727922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0.58963115742328853</c:v>
                </c:pt>
                <c:pt idx="74">
                  <c:v>0.59161783769986498</c:v>
                </c:pt>
                <c:pt idx="75">
                  <c:v>0.59285559031833834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0.61061849654624722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0.66126465028683812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0.66594687652936446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7B5-4E54-8103-ADD710F41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0136576"/>
        <c:axId val="570085888"/>
      </c:barChart>
      <c:catAx>
        <c:axId val="610136576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>
                    <a:solidFill>
                      <a:srgbClr val="FFFFFF"/>
                    </a:solidFill>
                  </a:defRPr>
                </a:pPr>
                <a:r>
                  <a:rPr lang="en-US" sz="2000">
                    <a:solidFill>
                      <a:srgbClr val="FFFFFF"/>
                    </a:solidFill>
                  </a:rPr>
                  <a:t>DGRP</a:t>
                </a:r>
                <a:r>
                  <a:rPr lang="en-US" sz="2000" baseline="0">
                    <a:solidFill>
                      <a:srgbClr val="FFFFFF"/>
                    </a:solidFill>
                  </a:rPr>
                  <a:t> Lines</a:t>
                </a:r>
                <a:endParaRPr lang="en-US" sz="2000">
                  <a:solidFill>
                    <a:srgbClr val="FFFFFF"/>
                  </a:solidFill>
                </a:endParaRPr>
              </a:p>
            </c:rich>
          </c:tx>
          <c:layout>
            <c:manualLayout>
              <c:xMode val="edge"/>
              <c:yMode val="edge"/>
              <c:x val="0.477082461032522"/>
              <c:y val="0.94429204843760495"/>
            </c:manualLayout>
          </c:layout>
          <c:overlay val="0"/>
        </c:title>
        <c:majorTickMark val="out"/>
        <c:minorTickMark val="none"/>
        <c:tickLblPos val="nextTo"/>
        <c:crossAx val="570085888"/>
        <c:crosses val="autoZero"/>
        <c:auto val="1"/>
        <c:lblAlgn val="ctr"/>
        <c:lblOffset val="100"/>
        <c:noMultiLvlLbl val="0"/>
      </c:catAx>
      <c:valAx>
        <c:axId val="570085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FFFFFF"/>
                    </a:solidFill>
                  </a:defRPr>
                </a:pPr>
                <a:r>
                  <a:rPr lang="en-US" sz="2000">
                    <a:solidFill>
                      <a:srgbClr val="FFFFFF"/>
                    </a:solidFill>
                  </a:rPr>
                  <a:t>%Ss</a:t>
                </a:r>
              </a:p>
            </c:rich>
          </c:tx>
          <c:layout>
            <c:manualLayout>
              <c:xMode val="edge"/>
              <c:yMode val="edge"/>
              <c:x val="7.5349838536060299E-3"/>
              <c:y val="0.41117811750190703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800" b="1">
                <a:solidFill>
                  <a:schemeClr val="bg1"/>
                </a:solidFill>
              </a:defRPr>
            </a:pPr>
            <a:endParaRPr lang="en-US"/>
          </a:p>
        </c:txPr>
        <c:crossAx val="610136576"/>
        <c:crosses val="autoZero"/>
        <c:crossBetween val="between"/>
      </c:valAx>
      <c:spPr>
        <a:solidFill>
          <a:schemeClr val="tx1"/>
        </a:solidFill>
      </c:spPr>
    </c:plotArea>
    <c:plotVisOnly val="1"/>
    <c:dispBlanksAs val="gap"/>
    <c:showDLblsOverMax val="0"/>
  </c:chart>
  <c:spPr>
    <a:solidFill>
      <a:schemeClr val="tx1"/>
    </a:solidFill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13</xdr:col>
      <xdr:colOff>212725</xdr:colOff>
      <xdr:row>39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21</xdr:col>
      <xdr:colOff>104592</xdr:colOff>
      <xdr:row>39</xdr:row>
      <xdr:rowOff>17376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381000"/>
          <a:ext cx="11077392" cy="70658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21</xdr:col>
      <xdr:colOff>104592</xdr:colOff>
      <xdr:row>41</xdr:row>
      <xdr:rowOff>17376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762000"/>
          <a:ext cx="11077392" cy="70658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21</xdr:col>
      <xdr:colOff>104592</xdr:colOff>
      <xdr:row>41</xdr:row>
      <xdr:rowOff>17376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762000"/>
          <a:ext cx="11077392" cy="70658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</xdr:row>
      <xdr:rowOff>0</xdr:rowOff>
    </xdr:from>
    <xdr:to>
      <xdr:col>22</xdr:col>
      <xdr:colOff>104592</xdr:colOff>
      <xdr:row>40</xdr:row>
      <xdr:rowOff>17376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571500"/>
          <a:ext cx="11077392" cy="70658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11</xdr:row>
      <xdr:rowOff>0</xdr:rowOff>
    </xdr:from>
    <xdr:to>
      <xdr:col>24</xdr:col>
      <xdr:colOff>104592</xdr:colOff>
      <xdr:row>48</xdr:row>
      <xdr:rowOff>17376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2095500"/>
          <a:ext cx="11077392" cy="70658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flystocks.bio.indiana.edu/Reports/28202.html" TargetMode="External"/><Relationship Id="rId21" Type="http://schemas.openxmlformats.org/officeDocument/2006/relationships/hyperlink" Target="http://flystocks.bio.indiana.edu/Reports/28137.html" TargetMode="External"/><Relationship Id="rId42" Type="http://schemas.openxmlformats.org/officeDocument/2006/relationships/hyperlink" Target="http://flystocks.bio.indiana.edu/Reports/28156.html" TargetMode="External"/><Relationship Id="rId63" Type="http://schemas.openxmlformats.org/officeDocument/2006/relationships/hyperlink" Target="http://flystocks.bio.indiana.edu/Reports/55018.html" TargetMode="External"/><Relationship Id="rId84" Type="http://schemas.openxmlformats.org/officeDocument/2006/relationships/hyperlink" Target="http://flystocks.bio.indiana.edu/Reports/25445.html" TargetMode="External"/><Relationship Id="rId138" Type="http://schemas.openxmlformats.org/officeDocument/2006/relationships/hyperlink" Target="http://flystocks.bio.indiana.edu/Reports/55030.html" TargetMode="External"/><Relationship Id="rId159" Type="http://schemas.openxmlformats.org/officeDocument/2006/relationships/hyperlink" Target="http://flystocks.bio.indiana.edu/Reports/25205.html" TargetMode="External"/><Relationship Id="rId170" Type="http://schemas.openxmlformats.org/officeDocument/2006/relationships/hyperlink" Target="http://flystocks.bio.indiana.edu/Reports/28237.html" TargetMode="External"/><Relationship Id="rId191" Type="http://schemas.openxmlformats.org/officeDocument/2006/relationships/hyperlink" Target="http://flystocks.bio.indiana.edu/Reports/28255.html" TargetMode="External"/><Relationship Id="rId107" Type="http://schemas.openxmlformats.org/officeDocument/2006/relationships/hyperlink" Target="http://flystocks.bio.indiana.edu/Reports/28278.html" TargetMode="External"/><Relationship Id="rId11" Type="http://schemas.openxmlformats.org/officeDocument/2006/relationships/hyperlink" Target="http://flystocks.bio.indiana.edu/Reports/55016.html" TargetMode="External"/><Relationship Id="rId32" Type="http://schemas.openxmlformats.org/officeDocument/2006/relationships/hyperlink" Target="http://flystocks.bio.indiana.edu/Reports/28147.html" TargetMode="External"/><Relationship Id="rId53" Type="http://schemas.openxmlformats.org/officeDocument/2006/relationships/hyperlink" Target="http://flystocks.bio.indiana.edu/Reports/25176.html" TargetMode="External"/><Relationship Id="rId74" Type="http://schemas.openxmlformats.org/officeDocument/2006/relationships/hyperlink" Target="http://flystocks.bio.indiana.edu/Reports/28177.html" TargetMode="External"/><Relationship Id="rId128" Type="http://schemas.openxmlformats.org/officeDocument/2006/relationships/hyperlink" Target="http://flystocks.bio.indiana.edu/Reports/28208.html" TargetMode="External"/><Relationship Id="rId149" Type="http://schemas.openxmlformats.org/officeDocument/2006/relationships/hyperlink" Target="http://flystocks.bio.indiana.edu/Reports/28220.html" TargetMode="External"/><Relationship Id="rId5" Type="http://schemas.openxmlformats.org/officeDocument/2006/relationships/hyperlink" Target="http://flystocks.bio.indiana.edu/Reports/55015.html" TargetMode="External"/><Relationship Id="rId95" Type="http://schemas.openxmlformats.org/officeDocument/2006/relationships/hyperlink" Target="http://flystocks.bio.indiana.edu/Reports/28189.html" TargetMode="External"/><Relationship Id="rId160" Type="http://schemas.openxmlformats.org/officeDocument/2006/relationships/hyperlink" Target="http://flystocks.bio.indiana.edu/Reports/28229.html" TargetMode="External"/><Relationship Id="rId181" Type="http://schemas.openxmlformats.org/officeDocument/2006/relationships/hyperlink" Target="http://flystocks.bio.indiana.edu/Reports/28247.html" TargetMode="External"/><Relationship Id="rId22" Type="http://schemas.openxmlformats.org/officeDocument/2006/relationships/hyperlink" Target="http://flystocks.bio.indiana.edu/Reports/55017.html" TargetMode="External"/><Relationship Id="rId43" Type="http://schemas.openxmlformats.org/officeDocument/2006/relationships/hyperlink" Target="http://flystocks.bio.indiana.edu/Reports/28157.html" TargetMode="External"/><Relationship Id="rId64" Type="http://schemas.openxmlformats.org/officeDocument/2006/relationships/hyperlink" Target="http://flystocks.bio.indiana.edu/Reports/29654.html" TargetMode="External"/><Relationship Id="rId118" Type="http://schemas.openxmlformats.org/officeDocument/2006/relationships/hyperlink" Target="http://flystocks.bio.indiana.edu/Reports/28203.html" TargetMode="External"/><Relationship Id="rId139" Type="http://schemas.openxmlformats.org/officeDocument/2006/relationships/hyperlink" Target="http://flystocks.bio.indiana.edu/Reports/55031.html" TargetMode="External"/><Relationship Id="rId85" Type="http://schemas.openxmlformats.org/officeDocument/2006/relationships/hyperlink" Target="http://flystocks.bio.indiana.edu/Reports/28181.html" TargetMode="External"/><Relationship Id="rId150" Type="http://schemas.openxmlformats.org/officeDocument/2006/relationships/hyperlink" Target="http://flystocks.bio.indiana.edu/Reports/28221.html" TargetMode="External"/><Relationship Id="rId171" Type="http://schemas.openxmlformats.org/officeDocument/2006/relationships/hyperlink" Target="http://flystocks.bio.indiana.edu/Reports/28238.html" TargetMode="External"/><Relationship Id="rId192" Type="http://schemas.openxmlformats.org/officeDocument/2006/relationships/hyperlink" Target="http://flystocks.bio.indiana.edu/Reports/28256.html" TargetMode="External"/><Relationship Id="rId12" Type="http://schemas.openxmlformats.org/officeDocument/2006/relationships/hyperlink" Target="http://flystocks.bio.indiana.edu/Reports/29652.html" TargetMode="External"/><Relationship Id="rId33" Type="http://schemas.openxmlformats.org/officeDocument/2006/relationships/hyperlink" Target="http://flystocks.bio.indiana.edu/Reports/28148.html" TargetMode="External"/><Relationship Id="rId108" Type="http://schemas.openxmlformats.org/officeDocument/2006/relationships/hyperlink" Target="http://flystocks.bio.indiana.edu/Reports/28196.html" TargetMode="External"/><Relationship Id="rId129" Type="http://schemas.openxmlformats.org/officeDocument/2006/relationships/hyperlink" Target="http://flystocks.bio.indiana.edu/Reports/55026.html" TargetMode="External"/><Relationship Id="rId54" Type="http://schemas.openxmlformats.org/officeDocument/2006/relationships/hyperlink" Target="http://flystocks.bio.indiana.edu/Reports/25177.html" TargetMode="External"/><Relationship Id="rId75" Type="http://schemas.openxmlformats.org/officeDocument/2006/relationships/hyperlink" Target="http://flystocks.bio.indiana.edu/Reports/55020.html" TargetMode="External"/><Relationship Id="rId96" Type="http://schemas.openxmlformats.org/officeDocument/2006/relationships/hyperlink" Target="http://flystocks.bio.indiana.edu/Reports/28190.html" TargetMode="External"/><Relationship Id="rId140" Type="http://schemas.openxmlformats.org/officeDocument/2006/relationships/hyperlink" Target="http://flystocks.bio.indiana.edu/Reports/55032.html" TargetMode="External"/><Relationship Id="rId161" Type="http://schemas.openxmlformats.org/officeDocument/2006/relationships/hyperlink" Target="http://flystocks.bio.indiana.edu/Reports/28230.html" TargetMode="External"/><Relationship Id="rId182" Type="http://schemas.openxmlformats.org/officeDocument/2006/relationships/hyperlink" Target="http://flystocks.bio.indiana.edu/Reports/28248.html" TargetMode="External"/><Relationship Id="rId6" Type="http://schemas.openxmlformats.org/officeDocument/2006/relationships/hyperlink" Target="http://flystocks.bio.indiana.edu/Reports/28125.html" TargetMode="External"/><Relationship Id="rId23" Type="http://schemas.openxmlformats.org/officeDocument/2006/relationships/hyperlink" Target="http://flystocks.bio.indiana.edu/Reports/28138.html" TargetMode="External"/><Relationship Id="rId119" Type="http://schemas.openxmlformats.org/officeDocument/2006/relationships/hyperlink" Target="http://flystocks.bio.indiana.edu/Reports/28204.html" TargetMode="External"/><Relationship Id="rId44" Type="http://schemas.openxmlformats.org/officeDocument/2006/relationships/hyperlink" Target="http://flystocks.bio.indiana.edu/Reports/29653.html" TargetMode="External"/><Relationship Id="rId65" Type="http://schemas.openxmlformats.org/officeDocument/2006/relationships/hyperlink" Target="http://flystocks.bio.indiana.edu/Reports/29655.html" TargetMode="External"/><Relationship Id="rId86" Type="http://schemas.openxmlformats.org/officeDocument/2006/relationships/hyperlink" Target="http://flystocks.bio.indiana.edu/Reports/28182.html" TargetMode="External"/><Relationship Id="rId130" Type="http://schemas.openxmlformats.org/officeDocument/2006/relationships/hyperlink" Target="http://flystocks.bio.indiana.edu/Reports/25198.html" TargetMode="External"/><Relationship Id="rId151" Type="http://schemas.openxmlformats.org/officeDocument/2006/relationships/hyperlink" Target="http://flystocks.bio.indiana.edu/Reports/25202.html" TargetMode="External"/><Relationship Id="rId172" Type="http://schemas.openxmlformats.org/officeDocument/2006/relationships/hyperlink" Target="http://flystocks.bio.indiana.edu/Reports/28239.html" TargetMode="External"/><Relationship Id="rId193" Type="http://schemas.openxmlformats.org/officeDocument/2006/relationships/hyperlink" Target="http://flystocks.bio.indiana.edu/Reports/28279.html" TargetMode="External"/><Relationship Id="rId13" Type="http://schemas.openxmlformats.org/officeDocument/2006/relationships/hyperlink" Target="http://flystocks.bio.indiana.edu/Reports/28129.html" TargetMode="External"/><Relationship Id="rId109" Type="http://schemas.openxmlformats.org/officeDocument/2006/relationships/hyperlink" Target="http://flystocks.bio.indiana.edu/Reports/25193.html" TargetMode="External"/><Relationship Id="rId34" Type="http://schemas.openxmlformats.org/officeDocument/2006/relationships/hyperlink" Target="http://flystocks.bio.indiana.edu/Reports/28149.html" TargetMode="External"/><Relationship Id="rId55" Type="http://schemas.openxmlformats.org/officeDocument/2006/relationships/hyperlink" Target="http://flystocks.bio.indiana.edu/Reports/37525.html" TargetMode="External"/><Relationship Id="rId76" Type="http://schemas.openxmlformats.org/officeDocument/2006/relationships/hyperlink" Target="http://flystocks.bio.indiana.edu/Reports/55038.html" TargetMode="External"/><Relationship Id="rId97" Type="http://schemas.openxmlformats.org/officeDocument/2006/relationships/hyperlink" Target="http://flystocks.bio.indiana.edu/Reports/28191.html" TargetMode="External"/><Relationship Id="rId120" Type="http://schemas.openxmlformats.org/officeDocument/2006/relationships/hyperlink" Target="http://flystocks.bio.indiana.edu/Reports/55024.html" TargetMode="External"/><Relationship Id="rId141" Type="http://schemas.openxmlformats.org/officeDocument/2006/relationships/hyperlink" Target="http://flystocks.bio.indiana.edu/Reports/25199.html" TargetMode="External"/><Relationship Id="rId7" Type="http://schemas.openxmlformats.org/officeDocument/2006/relationships/hyperlink" Target="http://flystocks.bio.indiana.edu/Reports/29651.html" TargetMode="External"/><Relationship Id="rId162" Type="http://schemas.openxmlformats.org/officeDocument/2006/relationships/hyperlink" Target="http://flystocks.bio.indiana.edu/Reports/25206.html" TargetMode="External"/><Relationship Id="rId183" Type="http://schemas.openxmlformats.org/officeDocument/2006/relationships/hyperlink" Target="http://flystocks.bio.indiana.edu/Reports/28249.html" TargetMode="External"/><Relationship Id="rId2" Type="http://schemas.openxmlformats.org/officeDocument/2006/relationships/hyperlink" Target="http://flystocks.bio.indiana.edu/Reports/28123.html" TargetMode="External"/><Relationship Id="rId29" Type="http://schemas.openxmlformats.org/officeDocument/2006/relationships/hyperlink" Target="http://flystocks.bio.indiana.edu/Reports/28144.html" TargetMode="External"/><Relationship Id="rId24" Type="http://schemas.openxmlformats.org/officeDocument/2006/relationships/hyperlink" Target="http://flystocks.bio.indiana.edu/Reports/28139.html" TargetMode="External"/><Relationship Id="rId40" Type="http://schemas.openxmlformats.org/officeDocument/2006/relationships/hyperlink" Target="http://flystocks.bio.indiana.edu/Reports/28154.html" TargetMode="External"/><Relationship Id="rId45" Type="http://schemas.openxmlformats.org/officeDocument/2006/relationships/hyperlink" Target="http://flystocks.bio.indiana.edu/Reports/28159.html" TargetMode="External"/><Relationship Id="rId66" Type="http://schemas.openxmlformats.org/officeDocument/2006/relationships/hyperlink" Target="http://flystocks.bio.indiana.edu/Reports/25182.html" TargetMode="External"/><Relationship Id="rId87" Type="http://schemas.openxmlformats.org/officeDocument/2006/relationships/hyperlink" Target="http://flystocks.bio.indiana.edu/Reports/28183.html" TargetMode="External"/><Relationship Id="rId110" Type="http://schemas.openxmlformats.org/officeDocument/2006/relationships/hyperlink" Target="http://flystocks.bio.indiana.edu/Reports/25194.html" TargetMode="External"/><Relationship Id="rId115" Type="http://schemas.openxmlformats.org/officeDocument/2006/relationships/hyperlink" Target="http://flystocks.bio.indiana.edu/Reports/28200.html" TargetMode="External"/><Relationship Id="rId131" Type="http://schemas.openxmlformats.org/officeDocument/2006/relationships/hyperlink" Target="http://flystocks.bio.indiana.edu/Reports/55027.html" TargetMode="External"/><Relationship Id="rId136" Type="http://schemas.openxmlformats.org/officeDocument/2006/relationships/hyperlink" Target="http://flystocks.bio.indiana.edu/Reports/28215.html" TargetMode="External"/><Relationship Id="rId157" Type="http://schemas.openxmlformats.org/officeDocument/2006/relationships/hyperlink" Target="http://flystocks.bio.indiana.edu/Reports/28227.html" TargetMode="External"/><Relationship Id="rId178" Type="http://schemas.openxmlformats.org/officeDocument/2006/relationships/hyperlink" Target="http://flystocks.bio.indiana.edu/Reports/28244.html" TargetMode="External"/><Relationship Id="rId61" Type="http://schemas.openxmlformats.org/officeDocument/2006/relationships/hyperlink" Target="http://flystocks.bio.indiana.edu/Reports/28167.html" TargetMode="External"/><Relationship Id="rId82" Type="http://schemas.openxmlformats.org/officeDocument/2006/relationships/hyperlink" Target="http://flystocks.bio.indiana.edu/Reports/28180.html" TargetMode="External"/><Relationship Id="rId152" Type="http://schemas.openxmlformats.org/officeDocument/2006/relationships/hyperlink" Target="http://flystocks.bio.indiana.edu/Reports/25203.html" TargetMode="External"/><Relationship Id="rId173" Type="http://schemas.openxmlformats.org/officeDocument/2006/relationships/hyperlink" Target="http://flystocks.bio.indiana.edu/Reports/28240.html" TargetMode="External"/><Relationship Id="rId194" Type="http://schemas.openxmlformats.org/officeDocument/2006/relationships/hyperlink" Target="http://flystocks.bio.indiana.edu/Reports/28257.html" TargetMode="External"/><Relationship Id="rId199" Type="http://schemas.openxmlformats.org/officeDocument/2006/relationships/hyperlink" Target="http://flystocks.bio.indiana.edu/Reports/28262.html" TargetMode="External"/><Relationship Id="rId19" Type="http://schemas.openxmlformats.org/officeDocument/2006/relationships/hyperlink" Target="http://flystocks.bio.indiana.edu/Reports/28135.html" TargetMode="External"/><Relationship Id="rId14" Type="http://schemas.openxmlformats.org/officeDocument/2006/relationships/hyperlink" Target="http://flystocks.bio.indiana.edu/Reports/28130.html" TargetMode="External"/><Relationship Id="rId30" Type="http://schemas.openxmlformats.org/officeDocument/2006/relationships/hyperlink" Target="http://flystocks.bio.indiana.edu/Reports/28145.html" TargetMode="External"/><Relationship Id="rId35" Type="http://schemas.openxmlformats.org/officeDocument/2006/relationships/hyperlink" Target="http://flystocks.bio.indiana.edu/Reports/28150.html" TargetMode="External"/><Relationship Id="rId56" Type="http://schemas.openxmlformats.org/officeDocument/2006/relationships/hyperlink" Target="http://flystocks.bio.indiana.edu/Reports/25179.html" TargetMode="External"/><Relationship Id="rId77" Type="http://schemas.openxmlformats.org/officeDocument/2006/relationships/hyperlink" Target="http://flystocks.bio.indiana.edu/Reports/28178.html" TargetMode="External"/><Relationship Id="rId100" Type="http://schemas.openxmlformats.org/officeDocument/2006/relationships/hyperlink" Target="http://flystocks.bio.indiana.edu/Reports/25191.html" TargetMode="External"/><Relationship Id="rId105" Type="http://schemas.openxmlformats.org/officeDocument/2006/relationships/hyperlink" Target="http://flystocks.bio.indiana.edu/Reports/29656.html" TargetMode="External"/><Relationship Id="rId126" Type="http://schemas.openxmlformats.org/officeDocument/2006/relationships/hyperlink" Target="http://flystocks.bio.indiana.edu/Reports/29660.html" TargetMode="External"/><Relationship Id="rId147" Type="http://schemas.openxmlformats.org/officeDocument/2006/relationships/hyperlink" Target="http://flystocks.bio.indiana.edu/Reports/25745.html" TargetMode="External"/><Relationship Id="rId168" Type="http://schemas.openxmlformats.org/officeDocument/2006/relationships/hyperlink" Target="http://flystocks.bio.indiana.edu/Reports/28235.html" TargetMode="External"/><Relationship Id="rId8" Type="http://schemas.openxmlformats.org/officeDocument/2006/relationships/hyperlink" Target="http://flystocks.bio.indiana.edu/Reports/28126.html" TargetMode="External"/><Relationship Id="rId51" Type="http://schemas.openxmlformats.org/officeDocument/2006/relationships/hyperlink" Target="http://flystocks.bio.indiana.edu/Reports/28165.html" TargetMode="External"/><Relationship Id="rId72" Type="http://schemas.openxmlformats.org/officeDocument/2006/relationships/hyperlink" Target="http://flystocks.bio.indiana.edu/Reports/55019.html" TargetMode="External"/><Relationship Id="rId93" Type="http://schemas.openxmlformats.org/officeDocument/2006/relationships/hyperlink" Target="http://flystocks.bio.indiana.edu/Reports/25190.html" TargetMode="External"/><Relationship Id="rId98" Type="http://schemas.openxmlformats.org/officeDocument/2006/relationships/hyperlink" Target="http://flystocks.bio.indiana.edu/Reports/28192.html" TargetMode="External"/><Relationship Id="rId121" Type="http://schemas.openxmlformats.org/officeDocument/2006/relationships/hyperlink" Target="http://flystocks.bio.indiana.edu/Reports/28205.html" TargetMode="External"/><Relationship Id="rId142" Type="http://schemas.openxmlformats.org/officeDocument/2006/relationships/hyperlink" Target="http://flystocks.bio.indiana.edu/Reports/28217.html" TargetMode="External"/><Relationship Id="rId163" Type="http://schemas.openxmlformats.org/officeDocument/2006/relationships/hyperlink" Target="http://flystocks.bio.indiana.edu/Reports/28231.html" TargetMode="External"/><Relationship Id="rId184" Type="http://schemas.openxmlformats.org/officeDocument/2006/relationships/hyperlink" Target="http://flystocks.bio.indiana.edu/Reports/25209.html" TargetMode="External"/><Relationship Id="rId189" Type="http://schemas.openxmlformats.org/officeDocument/2006/relationships/hyperlink" Target="http://flystocks.bio.indiana.edu/Reports/28253.html" TargetMode="External"/><Relationship Id="rId3" Type="http://schemas.openxmlformats.org/officeDocument/2006/relationships/hyperlink" Target="http://flystocks.bio.indiana.edu/Reports/28124.html" TargetMode="External"/><Relationship Id="rId25" Type="http://schemas.openxmlformats.org/officeDocument/2006/relationships/hyperlink" Target="http://flystocks.bio.indiana.edu/Reports/28140.html" TargetMode="External"/><Relationship Id="rId46" Type="http://schemas.openxmlformats.org/officeDocument/2006/relationships/hyperlink" Target="http://flystocks.bio.indiana.edu/Reports/28275.html" TargetMode="External"/><Relationship Id="rId67" Type="http://schemas.openxmlformats.org/officeDocument/2006/relationships/hyperlink" Target="http://flystocks.bio.indiana.edu/Reports/28171.html" TargetMode="External"/><Relationship Id="rId116" Type="http://schemas.openxmlformats.org/officeDocument/2006/relationships/hyperlink" Target="http://flystocks.bio.indiana.edu/Reports/25195.html" TargetMode="External"/><Relationship Id="rId137" Type="http://schemas.openxmlformats.org/officeDocument/2006/relationships/hyperlink" Target="http://flystocks.bio.indiana.edu/Reports/55029.html" TargetMode="External"/><Relationship Id="rId158" Type="http://schemas.openxmlformats.org/officeDocument/2006/relationships/hyperlink" Target="http://flystocks.bio.indiana.edu/Reports/25204.html" TargetMode="External"/><Relationship Id="rId20" Type="http://schemas.openxmlformats.org/officeDocument/2006/relationships/hyperlink" Target="http://flystocks.bio.indiana.edu/Reports/28136.html" TargetMode="External"/><Relationship Id="rId41" Type="http://schemas.openxmlformats.org/officeDocument/2006/relationships/hyperlink" Target="http://flystocks.bio.indiana.edu/Reports/28155.html" TargetMode="External"/><Relationship Id="rId62" Type="http://schemas.openxmlformats.org/officeDocument/2006/relationships/hyperlink" Target="http://flystocks.bio.indiana.edu/Reports/28168.html" TargetMode="External"/><Relationship Id="rId83" Type="http://schemas.openxmlformats.org/officeDocument/2006/relationships/hyperlink" Target="http://flystocks.bio.indiana.edu/Reports/25187.html" TargetMode="External"/><Relationship Id="rId88" Type="http://schemas.openxmlformats.org/officeDocument/2006/relationships/hyperlink" Target="http://flystocks.bio.indiana.edu/Reports/28184.html" TargetMode="External"/><Relationship Id="rId111" Type="http://schemas.openxmlformats.org/officeDocument/2006/relationships/hyperlink" Target="http://flystocks.bio.indiana.edu/Reports/29658.html" TargetMode="External"/><Relationship Id="rId132" Type="http://schemas.openxmlformats.org/officeDocument/2006/relationships/hyperlink" Target="http://flystocks.bio.indiana.edu/Reports/28211.html" TargetMode="External"/><Relationship Id="rId153" Type="http://schemas.openxmlformats.org/officeDocument/2006/relationships/hyperlink" Target="http://flystocks.bio.indiana.edu/Reports/28222.html" TargetMode="External"/><Relationship Id="rId174" Type="http://schemas.openxmlformats.org/officeDocument/2006/relationships/hyperlink" Target="http://flystocks.bio.indiana.edu/Reports/28241.html" TargetMode="External"/><Relationship Id="rId179" Type="http://schemas.openxmlformats.org/officeDocument/2006/relationships/hyperlink" Target="http://flystocks.bio.indiana.edu/Reports/28245.html" TargetMode="External"/><Relationship Id="rId195" Type="http://schemas.openxmlformats.org/officeDocument/2006/relationships/hyperlink" Target="http://flystocks.bio.indiana.edu/Reports/28258.html" TargetMode="External"/><Relationship Id="rId190" Type="http://schemas.openxmlformats.org/officeDocument/2006/relationships/hyperlink" Target="http://flystocks.bio.indiana.edu/Reports/28254.html" TargetMode="External"/><Relationship Id="rId15" Type="http://schemas.openxmlformats.org/officeDocument/2006/relationships/hyperlink" Target="http://flystocks.bio.indiana.edu/Reports/28131.html" TargetMode="External"/><Relationship Id="rId36" Type="http://schemas.openxmlformats.org/officeDocument/2006/relationships/hyperlink" Target="http://flystocks.bio.indiana.edu/Reports/28151.html" TargetMode="External"/><Relationship Id="rId57" Type="http://schemas.openxmlformats.org/officeDocument/2006/relationships/hyperlink" Target="http://flystocks.bio.indiana.edu/Reports/28166.html" TargetMode="External"/><Relationship Id="rId106" Type="http://schemas.openxmlformats.org/officeDocument/2006/relationships/hyperlink" Target="http://flystocks.bio.indiana.edu/Reports/29657.html" TargetMode="External"/><Relationship Id="rId127" Type="http://schemas.openxmlformats.org/officeDocument/2006/relationships/hyperlink" Target="http://flystocks.bio.indiana.edu/Reports/28207.html" TargetMode="External"/><Relationship Id="rId10" Type="http://schemas.openxmlformats.org/officeDocument/2006/relationships/hyperlink" Target="http://flystocks.bio.indiana.edu/Reports/28128.html" TargetMode="External"/><Relationship Id="rId31" Type="http://schemas.openxmlformats.org/officeDocument/2006/relationships/hyperlink" Target="http://flystocks.bio.indiana.edu/Reports/28146.html" TargetMode="External"/><Relationship Id="rId52" Type="http://schemas.openxmlformats.org/officeDocument/2006/relationships/hyperlink" Target="http://flystocks.bio.indiana.edu/Reports/25175.html" TargetMode="External"/><Relationship Id="rId73" Type="http://schemas.openxmlformats.org/officeDocument/2006/relationships/hyperlink" Target="http://flystocks.bio.indiana.edu/Reports/28176.html" TargetMode="External"/><Relationship Id="rId78" Type="http://schemas.openxmlformats.org/officeDocument/2006/relationships/hyperlink" Target="http://flystocks.bio.indiana.edu/Reports/25184.html" TargetMode="External"/><Relationship Id="rId94" Type="http://schemas.openxmlformats.org/officeDocument/2006/relationships/hyperlink" Target="http://flystocks.bio.indiana.edu/Reports/28188.html" TargetMode="External"/><Relationship Id="rId99" Type="http://schemas.openxmlformats.org/officeDocument/2006/relationships/hyperlink" Target="http://flystocks.bio.indiana.edu/Reports/55021.html" TargetMode="External"/><Relationship Id="rId101" Type="http://schemas.openxmlformats.org/officeDocument/2006/relationships/hyperlink" Target="http://flystocks.bio.indiana.edu/Reports/28194.html" TargetMode="External"/><Relationship Id="rId122" Type="http://schemas.openxmlformats.org/officeDocument/2006/relationships/hyperlink" Target="http://flystocks.bio.indiana.edu/Reports/28206.html" TargetMode="External"/><Relationship Id="rId143" Type="http://schemas.openxmlformats.org/officeDocument/2006/relationships/hyperlink" Target="http://flystocks.bio.indiana.edu/Reports/28218.html" TargetMode="External"/><Relationship Id="rId148" Type="http://schemas.openxmlformats.org/officeDocument/2006/relationships/hyperlink" Target="http://flystocks.bio.indiana.edu/Reports/28219.html" TargetMode="External"/><Relationship Id="rId164" Type="http://schemas.openxmlformats.org/officeDocument/2006/relationships/hyperlink" Target="http://flystocks.bio.indiana.edu/Reports/28232.html" TargetMode="External"/><Relationship Id="rId169" Type="http://schemas.openxmlformats.org/officeDocument/2006/relationships/hyperlink" Target="http://flystocks.bio.indiana.edu/Reports/28236.html" TargetMode="External"/><Relationship Id="rId185" Type="http://schemas.openxmlformats.org/officeDocument/2006/relationships/hyperlink" Target="http://flystocks.bio.indiana.edu/Reports/28250.html" TargetMode="External"/><Relationship Id="rId4" Type="http://schemas.openxmlformats.org/officeDocument/2006/relationships/hyperlink" Target="http://flystocks.bio.indiana.edu/Reports/55014.html" TargetMode="External"/><Relationship Id="rId9" Type="http://schemas.openxmlformats.org/officeDocument/2006/relationships/hyperlink" Target="http://flystocks.bio.indiana.edu/Reports/28127.html" TargetMode="External"/><Relationship Id="rId180" Type="http://schemas.openxmlformats.org/officeDocument/2006/relationships/hyperlink" Target="http://flystocks.bio.indiana.edu/Reports/28246.html" TargetMode="External"/><Relationship Id="rId26" Type="http://schemas.openxmlformats.org/officeDocument/2006/relationships/hyperlink" Target="http://flystocks.bio.indiana.edu/Reports/28141.html" TargetMode="External"/><Relationship Id="rId47" Type="http://schemas.openxmlformats.org/officeDocument/2006/relationships/hyperlink" Target="http://flystocks.bio.indiana.edu/Reports/28160.html" TargetMode="External"/><Relationship Id="rId68" Type="http://schemas.openxmlformats.org/officeDocument/2006/relationships/hyperlink" Target="http://flystocks.bio.indiana.edu/Reports/25183.html" TargetMode="External"/><Relationship Id="rId89" Type="http://schemas.openxmlformats.org/officeDocument/2006/relationships/hyperlink" Target="http://flystocks.bio.indiana.edu/Reports/28185.html" TargetMode="External"/><Relationship Id="rId112" Type="http://schemas.openxmlformats.org/officeDocument/2006/relationships/hyperlink" Target="http://flystocks.bio.indiana.edu/Reports/28197.html" TargetMode="External"/><Relationship Id="rId133" Type="http://schemas.openxmlformats.org/officeDocument/2006/relationships/hyperlink" Target="http://flystocks.bio.indiana.edu/Reports/55028.html" TargetMode="External"/><Relationship Id="rId154" Type="http://schemas.openxmlformats.org/officeDocument/2006/relationships/hyperlink" Target="http://flystocks.bio.indiana.edu/Reports/28223.html" TargetMode="External"/><Relationship Id="rId175" Type="http://schemas.openxmlformats.org/officeDocument/2006/relationships/hyperlink" Target="http://flystocks.bio.indiana.edu/Reports/28242.html" TargetMode="External"/><Relationship Id="rId196" Type="http://schemas.openxmlformats.org/officeDocument/2006/relationships/hyperlink" Target="http://flystocks.bio.indiana.edu/Reports/28259.html" TargetMode="External"/><Relationship Id="rId200" Type="http://schemas.openxmlformats.org/officeDocument/2006/relationships/hyperlink" Target="http://flystocks.bio.indiana.edu/Reports/28263.html" TargetMode="External"/><Relationship Id="rId16" Type="http://schemas.openxmlformats.org/officeDocument/2006/relationships/hyperlink" Target="http://flystocks.bio.indiana.edu/Reports/28132.html" TargetMode="External"/><Relationship Id="rId37" Type="http://schemas.openxmlformats.org/officeDocument/2006/relationships/hyperlink" Target="http://flystocks.bio.indiana.edu/Reports/28152.html" TargetMode="External"/><Relationship Id="rId58" Type="http://schemas.openxmlformats.org/officeDocument/2006/relationships/hyperlink" Target="http://flystocks.bio.indiana.edu/Reports/28276.html" TargetMode="External"/><Relationship Id="rId79" Type="http://schemas.openxmlformats.org/officeDocument/2006/relationships/hyperlink" Target="http://flystocks.bio.indiana.edu/Reports/25185.html" TargetMode="External"/><Relationship Id="rId102" Type="http://schemas.openxmlformats.org/officeDocument/2006/relationships/hyperlink" Target="http://flystocks.bio.indiana.edu/Reports/55022.html" TargetMode="External"/><Relationship Id="rId123" Type="http://schemas.openxmlformats.org/officeDocument/2006/relationships/hyperlink" Target="http://flystocks.bio.indiana.edu/Reports/29659.html" TargetMode="External"/><Relationship Id="rId144" Type="http://schemas.openxmlformats.org/officeDocument/2006/relationships/hyperlink" Target="http://flystocks.bio.indiana.edu/Reports/25744.html" TargetMode="External"/><Relationship Id="rId90" Type="http://schemas.openxmlformats.org/officeDocument/2006/relationships/hyperlink" Target="http://flystocks.bio.indiana.edu/Reports/25188.html" TargetMode="External"/><Relationship Id="rId165" Type="http://schemas.openxmlformats.org/officeDocument/2006/relationships/hyperlink" Target="http://flystocks.bio.indiana.edu/Reports/28233.html" TargetMode="External"/><Relationship Id="rId186" Type="http://schemas.openxmlformats.org/officeDocument/2006/relationships/hyperlink" Target="http://flystocks.bio.indiana.edu/Reports/28251.html" TargetMode="External"/><Relationship Id="rId27" Type="http://schemas.openxmlformats.org/officeDocument/2006/relationships/hyperlink" Target="http://flystocks.bio.indiana.edu/Reports/28142.html" TargetMode="External"/><Relationship Id="rId48" Type="http://schemas.openxmlformats.org/officeDocument/2006/relationships/hyperlink" Target="http://flystocks.bio.indiana.edu/Reports/28161.html" TargetMode="External"/><Relationship Id="rId69" Type="http://schemas.openxmlformats.org/officeDocument/2006/relationships/hyperlink" Target="http://flystocks.bio.indiana.edu/Reports/28172.html" TargetMode="External"/><Relationship Id="rId113" Type="http://schemas.openxmlformats.org/officeDocument/2006/relationships/hyperlink" Target="http://flystocks.bio.indiana.edu/Reports/28198.html" TargetMode="External"/><Relationship Id="rId134" Type="http://schemas.openxmlformats.org/officeDocument/2006/relationships/hyperlink" Target="http://flystocks.bio.indiana.edu/Reports/28212.html" TargetMode="External"/><Relationship Id="rId80" Type="http://schemas.openxmlformats.org/officeDocument/2006/relationships/hyperlink" Target="http://flystocks.bio.indiana.edu/Reports/28179.html" TargetMode="External"/><Relationship Id="rId155" Type="http://schemas.openxmlformats.org/officeDocument/2006/relationships/hyperlink" Target="http://flystocks.bio.indiana.edu/Reports/28224.html" TargetMode="External"/><Relationship Id="rId176" Type="http://schemas.openxmlformats.org/officeDocument/2006/relationships/hyperlink" Target="http://flystocks.bio.indiana.edu/Reports/25208.html" TargetMode="External"/><Relationship Id="rId197" Type="http://schemas.openxmlformats.org/officeDocument/2006/relationships/hyperlink" Target="http://flystocks.bio.indiana.edu/Reports/28260.html" TargetMode="External"/><Relationship Id="rId201" Type="http://schemas.openxmlformats.org/officeDocument/2006/relationships/hyperlink" Target="http://flystocks.bio.indiana.edu/Reports/28264.html" TargetMode="External"/><Relationship Id="rId17" Type="http://schemas.openxmlformats.org/officeDocument/2006/relationships/hyperlink" Target="http://flystocks.bio.indiana.edu/Reports/28134.html" TargetMode="External"/><Relationship Id="rId38" Type="http://schemas.openxmlformats.org/officeDocument/2006/relationships/hyperlink" Target="http://flystocks.bio.indiana.edu/Reports/28153.html" TargetMode="External"/><Relationship Id="rId59" Type="http://schemas.openxmlformats.org/officeDocument/2006/relationships/hyperlink" Target="http://flystocks.bio.indiana.edu/Reports/25180.html" TargetMode="External"/><Relationship Id="rId103" Type="http://schemas.openxmlformats.org/officeDocument/2006/relationships/hyperlink" Target="http://flystocks.bio.indiana.edu/Reports/55023.html" TargetMode="External"/><Relationship Id="rId124" Type="http://schemas.openxmlformats.org/officeDocument/2006/relationships/hyperlink" Target="http://flystocks.bio.indiana.edu/Reports/25197.html" TargetMode="External"/><Relationship Id="rId70" Type="http://schemas.openxmlformats.org/officeDocument/2006/relationships/hyperlink" Target="http://flystocks.bio.indiana.edu/Reports/28173.html" TargetMode="External"/><Relationship Id="rId91" Type="http://schemas.openxmlformats.org/officeDocument/2006/relationships/hyperlink" Target="http://flystocks.bio.indiana.edu/Reports/28186.html" TargetMode="External"/><Relationship Id="rId145" Type="http://schemas.openxmlformats.org/officeDocument/2006/relationships/hyperlink" Target="http://flystocks.bio.indiana.edu/Reports/25200.html" TargetMode="External"/><Relationship Id="rId166" Type="http://schemas.openxmlformats.org/officeDocument/2006/relationships/hyperlink" Target="http://flystocks.bio.indiana.edu/Reports/25207.html" TargetMode="External"/><Relationship Id="rId187" Type="http://schemas.openxmlformats.org/officeDocument/2006/relationships/hyperlink" Target="http://flystocks.bio.indiana.edu/Reports/28252.html" TargetMode="External"/><Relationship Id="rId1" Type="http://schemas.openxmlformats.org/officeDocument/2006/relationships/hyperlink" Target="http://flystocks.bio.indiana.edu/Reports/28122.html" TargetMode="External"/><Relationship Id="rId28" Type="http://schemas.openxmlformats.org/officeDocument/2006/relationships/hyperlink" Target="http://flystocks.bio.indiana.edu/Reports/28143.html" TargetMode="External"/><Relationship Id="rId49" Type="http://schemas.openxmlformats.org/officeDocument/2006/relationships/hyperlink" Target="http://flystocks.bio.indiana.edu/Reports/28162.html" TargetMode="External"/><Relationship Id="rId114" Type="http://schemas.openxmlformats.org/officeDocument/2006/relationships/hyperlink" Target="http://flystocks.bio.indiana.edu/Reports/28199.html" TargetMode="External"/><Relationship Id="rId60" Type="http://schemas.openxmlformats.org/officeDocument/2006/relationships/hyperlink" Target="http://flystocks.bio.indiana.edu/Reports/25181.html" TargetMode="External"/><Relationship Id="rId81" Type="http://schemas.openxmlformats.org/officeDocument/2006/relationships/hyperlink" Target="http://flystocks.bio.indiana.edu/Reports/25186.html" TargetMode="External"/><Relationship Id="rId135" Type="http://schemas.openxmlformats.org/officeDocument/2006/relationships/hyperlink" Target="http://flystocks.bio.indiana.edu/Reports/28213.html" TargetMode="External"/><Relationship Id="rId156" Type="http://schemas.openxmlformats.org/officeDocument/2006/relationships/hyperlink" Target="http://flystocks.bio.indiana.edu/Reports/28226.html" TargetMode="External"/><Relationship Id="rId177" Type="http://schemas.openxmlformats.org/officeDocument/2006/relationships/hyperlink" Target="http://flystocks.bio.indiana.edu/Reports/28243.html" TargetMode="External"/><Relationship Id="rId198" Type="http://schemas.openxmlformats.org/officeDocument/2006/relationships/hyperlink" Target="http://flystocks.bio.indiana.edu/Reports/28261.html" TargetMode="External"/><Relationship Id="rId202" Type="http://schemas.openxmlformats.org/officeDocument/2006/relationships/hyperlink" Target="http://flystocks.bio.indiana.edu/Reports/28265.html" TargetMode="External"/><Relationship Id="rId18" Type="http://schemas.openxmlformats.org/officeDocument/2006/relationships/hyperlink" Target="http://flystocks.bio.indiana.edu/Reports/28274.html" TargetMode="External"/><Relationship Id="rId39" Type="http://schemas.openxmlformats.org/officeDocument/2006/relationships/hyperlink" Target="http://flystocks.bio.indiana.edu/Reports/25174.html" TargetMode="External"/><Relationship Id="rId50" Type="http://schemas.openxmlformats.org/officeDocument/2006/relationships/hyperlink" Target="http://flystocks.bio.indiana.edu/Reports/28164.html" TargetMode="External"/><Relationship Id="rId104" Type="http://schemas.openxmlformats.org/officeDocument/2006/relationships/hyperlink" Target="http://flystocks.bio.indiana.edu/Reports/25192.html" TargetMode="External"/><Relationship Id="rId125" Type="http://schemas.openxmlformats.org/officeDocument/2006/relationships/hyperlink" Target="http://flystocks.bio.indiana.edu/Reports/55025.html" TargetMode="External"/><Relationship Id="rId146" Type="http://schemas.openxmlformats.org/officeDocument/2006/relationships/hyperlink" Target="http://flystocks.bio.indiana.edu/Reports/25201.html" TargetMode="External"/><Relationship Id="rId167" Type="http://schemas.openxmlformats.org/officeDocument/2006/relationships/hyperlink" Target="http://flystocks.bio.indiana.edu/Reports/28234.html" TargetMode="External"/><Relationship Id="rId188" Type="http://schemas.openxmlformats.org/officeDocument/2006/relationships/hyperlink" Target="http://flystocks.bio.indiana.edu/Reports/25210.html" TargetMode="External"/><Relationship Id="rId71" Type="http://schemas.openxmlformats.org/officeDocument/2006/relationships/hyperlink" Target="http://flystocks.bio.indiana.edu/Reports/28174.html" TargetMode="External"/><Relationship Id="rId92" Type="http://schemas.openxmlformats.org/officeDocument/2006/relationships/hyperlink" Target="http://flystocks.bio.indiana.edu/Reports/25189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16"/>
  <sheetViews>
    <sheetView topLeftCell="J1" workbookViewId="0">
      <selection activeCell="AH1" sqref="N1:AH1048576"/>
    </sheetView>
  </sheetViews>
  <sheetFormatPr defaultRowHeight="15" x14ac:dyDescent="0.25"/>
  <cols>
    <col min="4" max="4" width="9.7109375" bestFit="1" customWidth="1"/>
    <col min="6" max="6" width="9.7109375" bestFit="1" customWidth="1"/>
    <col min="13" max="13" width="39.140625" style="14" customWidth="1"/>
  </cols>
  <sheetData>
    <row r="1" spans="1:34" s="14" customFormat="1" ht="30" x14ac:dyDescent="0.25">
      <c r="N1" s="21" t="s">
        <v>89</v>
      </c>
      <c r="O1" s="21" t="s">
        <v>90</v>
      </c>
      <c r="P1" s="22" t="s">
        <v>91</v>
      </c>
      <c r="Q1" s="22" t="s">
        <v>92</v>
      </c>
      <c r="R1" s="22" t="s">
        <v>93</v>
      </c>
      <c r="S1" s="22" t="s">
        <v>94</v>
      </c>
      <c r="T1" s="22" t="s">
        <v>95</v>
      </c>
      <c r="U1" s="22" t="s">
        <v>96</v>
      </c>
      <c r="V1" s="22" t="s">
        <v>97</v>
      </c>
      <c r="W1" s="22" t="s">
        <v>98</v>
      </c>
      <c r="X1" s="22" t="s">
        <v>99</v>
      </c>
      <c r="Y1" s="22" t="s">
        <v>100</v>
      </c>
      <c r="Z1" s="22" t="s">
        <v>101</v>
      </c>
      <c r="AA1" s="22" t="s">
        <v>102</v>
      </c>
      <c r="AB1" s="22" t="s">
        <v>103</v>
      </c>
      <c r="AC1" s="22" t="s">
        <v>104</v>
      </c>
      <c r="AD1" s="22" t="s">
        <v>105</v>
      </c>
      <c r="AE1" s="22" t="s">
        <v>106</v>
      </c>
      <c r="AF1" s="22" t="s">
        <v>107</v>
      </c>
      <c r="AG1" s="22" t="s">
        <v>108</v>
      </c>
      <c r="AH1" s="22" t="s">
        <v>109</v>
      </c>
    </row>
    <row r="2" spans="1:34" s="14" customFormat="1" x14ac:dyDescent="0.25">
      <c r="A2" s="18">
        <v>28123</v>
      </c>
      <c r="B2" s="18">
        <v>26</v>
      </c>
      <c r="C2" s="18">
        <v>1</v>
      </c>
      <c r="D2" s="1" t="s">
        <v>38</v>
      </c>
      <c r="E2" s="18" t="s">
        <v>21</v>
      </c>
      <c r="F2" s="18"/>
      <c r="G2" s="18"/>
      <c r="H2" s="18"/>
      <c r="I2" s="18"/>
      <c r="J2" s="18"/>
      <c r="K2" s="18"/>
      <c r="L2" s="14">
        <v>1</v>
      </c>
      <c r="N2" s="21">
        <v>28123</v>
      </c>
      <c r="O2" s="21">
        <v>26</v>
      </c>
      <c r="P2" s="25">
        <v>0.58536585365853655</v>
      </c>
      <c r="Q2" s="25">
        <v>0.5934959349593496</v>
      </c>
      <c r="R2" s="25">
        <v>0.7098445595854922</v>
      </c>
      <c r="S2" s="25">
        <v>0.64830508474576276</v>
      </c>
      <c r="T2" s="25">
        <v>0.5714285714285714</v>
      </c>
      <c r="U2" s="25">
        <v>0.67727272727272725</v>
      </c>
      <c r="V2" s="25">
        <v>0.61267605633802813</v>
      </c>
      <c r="W2" s="25"/>
      <c r="X2" s="25"/>
      <c r="Y2" s="25"/>
      <c r="Z2" s="25"/>
      <c r="AA2" s="25"/>
      <c r="AB2" s="25"/>
      <c r="AC2" s="25"/>
      <c r="AD2" s="25"/>
      <c r="AE2" s="25"/>
      <c r="AF2" s="25">
        <f t="shared" ref="AF2:AF65" si="0">AVERAGE(P2:AE2)</f>
        <v>0.62834125542692398</v>
      </c>
      <c r="AG2" s="25">
        <f t="shared" ref="AG2:AG65" si="1">STDEV(P2:AE2)</f>
        <v>5.1609375092880501E-2</v>
      </c>
      <c r="AH2" s="26">
        <f t="shared" ref="AH2:AH65" si="2">COUNT(P2:AE2)</f>
        <v>7</v>
      </c>
    </row>
    <row r="3" spans="1:34" x14ac:dyDescent="0.25">
      <c r="A3" s="18">
        <v>28124</v>
      </c>
      <c r="B3" s="18">
        <v>28</v>
      </c>
      <c r="C3" s="18">
        <v>1</v>
      </c>
      <c r="D3" s="1" t="s">
        <v>39</v>
      </c>
      <c r="E3" s="18" t="s">
        <v>40</v>
      </c>
      <c r="F3" s="18"/>
      <c r="G3" s="18"/>
      <c r="H3" s="18"/>
      <c r="I3" s="18"/>
      <c r="J3" s="18"/>
      <c r="K3" s="18"/>
      <c r="L3" s="14">
        <v>1</v>
      </c>
      <c r="N3" s="21">
        <v>28124</v>
      </c>
      <c r="O3" s="21">
        <v>28</v>
      </c>
      <c r="P3" s="25">
        <v>0.42</v>
      </c>
      <c r="Q3" s="25">
        <v>0.46046511627906977</v>
      </c>
      <c r="R3" s="25">
        <v>0.55214723926380371</v>
      </c>
      <c r="S3" s="25">
        <v>0.5161290322580645</v>
      </c>
      <c r="T3" s="25">
        <v>0.47804878048780491</v>
      </c>
      <c r="U3" s="25">
        <v>0.54135338345864659</v>
      </c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>
        <f t="shared" si="0"/>
        <v>0.49469059195789827</v>
      </c>
      <c r="AG3" s="25">
        <f t="shared" si="1"/>
        <v>5.0922110628391637E-2</v>
      </c>
      <c r="AH3" s="26">
        <f t="shared" si="2"/>
        <v>6</v>
      </c>
    </row>
    <row r="4" spans="1:34" x14ac:dyDescent="0.25">
      <c r="A4" s="18">
        <v>55014</v>
      </c>
      <c r="B4" s="18">
        <v>31</v>
      </c>
      <c r="C4" s="18">
        <v>2</v>
      </c>
      <c r="D4" s="1" t="s">
        <v>84</v>
      </c>
      <c r="E4" s="18" t="s">
        <v>40</v>
      </c>
      <c r="F4" s="1" t="s">
        <v>61</v>
      </c>
      <c r="G4" s="18" t="s">
        <v>3</v>
      </c>
      <c r="H4" s="1"/>
      <c r="I4" s="18"/>
      <c r="J4" s="1"/>
      <c r="K4" s="18"/>
      <c r="L4" s="14">
        <v>1</v>
      </c>
      <c r="M4" s="14" t="s">
        <v>119</v>
      </c>
      <c r="N4" s="21">
        <v>55014</v>
      </c>
      <c r="O4" s="21">
        <v>31</v>
      </c>
      <c r="P4" s="25">
        <f>164/(164+94)</f>
        <v>0.63565891472868219</v>
      </c>
      <c r="Q4" s="25">
        <f>(109)/(109+94)</f>
        <v>0.53694581280788178</v>
      </c>
      <c r="R4" s="25">
        <f>127/(127+53)</f>
        <v>0.7055555555555556</v>
      </c>
      <c r="S4" s="25">
        <f>142/(142+66)</f>
        <v>0.68269230769230771</v>
      </c>
      <c r="T4" s="25">
        <f>122/(122+104)</f>
        <v>0.53982300884955747</v>
      </c>
      <c r="U4" s="25">
        <f>123/(123+63)</f>
        <v>0.66129032258064513</v>
      </c>
      <c r="V4" s="25">
        <f>166/(166+53)</f>
        <v>0.75799086757990863</v>
      </c>
      <c r="W4" s="25"/>
      <c r="X4" s="25"/>
      <c r="Y4" s="25"/>
      <c r="Z4" s="25"/>
      <c r="AA4" s="25"/>
      <c r="AB4" s="25"/>
      <c r="AC4" s="25"/>
      <c r="AD4" s="25"/>
      <c r="AE4" s="25"/>
      <c r="AF4" s="25">
        <f t="shared" si="0"/>
        <v>0.64570811282779128</v>
      </c>
      <c r="AG4" s="25">
        <f t="shared" si="1"/>
        <v>8.2605133899042144E-2</v>
      </c>
      <c r="AH4" s="26">
        <f t="shared" si="2"/>
        <v>7</v>
      </c>
    </row>
    <row r="5" spans="1:34" x14ac:dyDescent="0.25">
      <c r="A5" s="18">
        <v>28125</v>
      </c>
      <c r="B5" s="18">
        <v>38</v>
      </c>
      <c r="C5" s="18">
        <v>1</v>
      </c>
      <c r="D5" s="1" t="s">
        <v>18</v>
      </c>
      <c r="E5" s="18" t="s">
        <v>3</v>
      </c>
      <c r="F5" s="18"/>
      <c r="G5" s="18"/>
      <c r="H5" s="18"/>
      <c r="I5" s="18"/>
      <c r="J5" s="18"/>
      <c r="K5" s="18"/>
      <c r="L5" s="14">
        <v>1</v>
      </c>
      <c r="N5" s="29">
        <v>28125</v>
      </c>
      <c r="O5" s="29">
        <v>38</v>
      </c>
      <c r="P5" s="26">
        <f>69/(69+33)</f>
        <v>0.67647058823529416</v>
      </c>
      <c r="Q5" s="26">
        <f>141/(141+57)</f>
        <v>0.71212121212121215</v>
      </c>
      <c r="R5" s="26">
        <f>132/(132+58)</f>
        <v>0.69473684210526321</v>
      </c>
      <c r="S5" s="26">
        <f>70/(70+42)</f>
        <v>0.625</v>
      </c>
      <c r="T5" s="26">
        <f>64/(64+44)</f>
        <v>0.59259259259259256</v>
      </c>
      <c r="U5" s="26">
        <f>50/75</f>
        <v>0.66666666666666663</v>
      </c>
      <c r="V5" s="26"/>
      <c r="W5" s="26"/>
      <c r="X5" s="26"/>
      <c r="Y5" s="26"/>
      <c r="Z5" s="26"/>
      <c r="AA5" s="26"/>
      <c r="AB5" s="26"/>
      <c r="AC5" s="26"/>
      <c r="AD5" s="26"/>
      <c r="AE5" s="26"/>
      <c r="AF5" s="25">
        <f t="shared" si="0"/>
        <v>0.66126465028683812</v>
      </c>
      <c r="AG5" s="25">
        <f t="shared" si="1"/>
        <v>4.4717236508960707E-2</v>
      </c>
      <c r="AH5" s="26">
        <f t="shared" si="2"/>
        <v>6</v>
      </c>
    </row>
    <row r="6" spans="1:34" x14ac:dyDescent="0.25">
      <c r="A6" s="18">
        <v>28126</v>
      </c>
      <c r="B6" s="18">
        <v>41</v>
      </c>
      <c r="C6" s="18">
        <v>2</v>
      </c>
      <c r="D6" s="1" t="s">
        <v>66</v>
      </c>
      <c r="E6" s="18"/>
      <c r="F6" s="1" t="s">
        <v>0</v>
      </c>
      <c r="G6" s="18" t="s">
        <v>21</v>
      </c>
      <c r="H6" s="18"/>
      <c r="I6" s="18"/>
      <c r="J6" s="18"/>
      <c r="K6" s="18"/>
      <c r="L6" s="14">
        <v>1</v>
      </c>
      <c r="N6" s="29">
        <v>28126</v>
      </c>
      <c r="O6" s="29">
        <v>41</v>
      </c>
      <c r="P6" s="26">
        <v>0.71212121210000001</v>
      </c>
      <c r="Q6" s="26">
        <v>0.67415730340000002</v>
      </c>
      <c r="R6" s="26">
        <v>0.6888888889</v>
      </c>
      <c r="S6" s="26">
        <v>0.71849865950000003</v>
      </c>
      <c r="T6" s="26">
        <v>0.69961977190000002</v>
      </c>
      <c r="U6" s="26">
        <v>0.65582655830000003</v>
      </c>
      <c r="V6" s="26">
        <v>0.64766839379999996</v>
      </c>
      <c r="W6" s="26"/>
      <c r="X6" s="26"/>
      <c r="Y6" s="26"/>
      <c r="Z6" s="26"/>
      <c r="AA6" s="26"/>
      <c r="AB6" s="26"/>
      <c r="AC6" s="26"/>
      <c r="AD6" s="26"/>
      <c r="AE6" s="26"/>
      <c r="AF6" s="25">
        <f t="shared" si="0"/>
        <v>0.68525439827142864</v>
      </c>
      <c r="AG6" s="25">
        <f t="shared" si="1"/>
        <v>2.7228756501310614E-2</v>
      </c>
      <c r="AH6" s="26">
        <f t="shared" si="2"/>
        <v>7</v>
      </c>
    </row>
    <row r="7" spans="1:34" x14ac:dyDescent="0.25">
      <c r="A7" s="3">
        <v>28127</v>
      </c>
      <c r="B7" s="3">
        <v>42</v>
      </c>
      <c r="C7" s="3">
        <v>1</v>
      </c>
      <c r="D7" s="1" t="s">
        <v>34</v>
      </c>
      <c r="E7" s="3" t="s">
        <v>3</v>
      </c>
      <c r="F7" s="18"/>
      <c r="G7" s="3"/>
      <c r="H7" s="3"/>
      <c r="I7" s="3"/>
      <c r="J7" s="3"/>
      <c r="K7" s="3"/>
      <c r="L7" s="14">
        <v>1</v>
      </c>
      <c r="N7" s="29">
        <v>28127</v>
      </c>
      <c r="O7" s="29">
        <v>42</v>
      </c>
      <c r="P7" s="26">
        <f>84/209</f>
        <v>0.40191387559808611</v>
      </c>
      <c r="Q7" s="26">
        <f>150/348</f>
        <v>0.43103448275862066</v>
      </c>
      <c r="R7" s="26">
        <f>136/278</f>
        <v>0.48920863309352519</v>
      </c>
      <c r="S7" s="26">
        <f>36/90</f>
        <v>0.4</v>
      </c>
      <c r="T7" s="26">
        <f>57/120</f>
        <v>0.47499999999999998</v>
      </c>
      <c r="U7" s="26">
        <f>83/154</f>
        <v>0.53896103896103897</v>
      </c>
      <c r="V7" s="26">
        <f>36/89</f>
        <v>0.4044943820224719</v>
      </c>
      <c r="W7" s="26">
        <f>24/56</f>
        <v>0.42857142857142855</v>
      </c>
      <c r="X7" s="26"/>
      <c r="Y7" s="26"/>
      <c r="Z7" s="26"/>
      <c r="AA7" s="26"/>
      <c r="AB7" s="26"/>
      <c r="AC7" s="26"/>
      <c r="AD7" s="26"/>
      <c r="AE7" s="26"/>
      <c r="AF7" s="25">
        <f t="shared" si="0"/>
        <v>0.44614798012564644</v>
      </c>
      <c r="AG7" s="25">
        <f t="shared" si="1"/>
        <v>5.0227468367711449E-2</v>
      </c>
      <c r="AH7" s="26">
        <f t="shared" si="2"/>
        <v>8</v>
      </c>
    </row>
    <row r="8" spans="1:34" x14ac:dyDescent="0.25">
      <c r="A8" s="18">
        <v>28128</v>
      </c>
      <c r="B8" s="18">
        <v>45</v>
      </c>
      <c r="C8" s="18">
        <v>2</v>
      </c>
      <c r="D8" s="1" t="s">
        <v>47</v>
      </c>
      <c r="E8" s="18" t="s">
        <v>40</v>
      </c>
      <c r="F8" s="1" t="s">
        <v>26</v>
      </c>
      <c r="G8" s="18" t="s">
        <v>21</v>
      </c>
      <c r="H8" s="18"/>
      <c r="I8" s="18"/>
      <c r="J8" s="18"/>
      <c r="K8" s="18"/>
      <c r="L8" s="14">
        <v>1</v>
      </c>
      <c r="N8" s="21">
        <v>28128</v>
      </c>
      <c r="O8" s="21">
        <v>45</v>
      </c>
      <c r="P8" s="25">
        <v>0.5787234042553191</v>
      </c>
      <c r="Q8" s="25">
        <v>0.45705521472392641</v>
      </c>
      <c r="R8" s="25">
        <v>0.54121863799283154</v>
      </c>
      <c r="S8" s="25">
        <v>0.47349823321554768</v>
      </c>
      <c r="T8" s="25">
        <v>0.52906976744186052</v>
      </c>
      <c r="U8" s="25">
        <v>0.50602409638554213</v>
      </c>
      <c r="V8" s="25">
        <v>0.46402877697841732</v>
      </c>
      <c r="W8" s="25"/>
      <c r="X8" s="25"/>
      <c r="Y8" s="25"/>
      <c r="Z8" s="25"/>
      <c r="AA8" s="25"/>
      <c r="AB8" s="25"/>
      <c r="AC8" s="25"/>
      <c r="AD8" s="25"/>
      <c r="AE8" s="25"/>
      <c r="AF8" s="25">
        <f t="shared" si="0"/>
        <v>0.50708830442763497</v>
      </c>
      <c r="AG8" s="25">
        <f t="shared" si="1"/>
        <v>4.5215245041687072E-2</v>
      </c>
      <c r="AH8" s="26">
        <f t="shared" si="2"/>
        <v>7</v>
      </c>
    </row>
    <row r="9" spans="1:34" x14ac:dyDescent="0.25">
      <c r="A9" s="3">
        <v>55016</v>
      </c>
      <c r="B9" s="3">
        <v>48</v>
      </c>
      <c r="C9" s="3">
        <v>2</v>
      </c>
      <c r="D9" s="1" t="s">
        <v>23</v>
      </c>
      <c r="E9" s="3" t="s">
        <v>21</v>
      </c>
      <c r="F9" s="1" t="s">
        <v>24</v>
      </c>
      <c r="G9" s="3" t="s">
        <v>21</v>
      </c>
      <c r="H9" s="3"/>
      <c r="I9" s="3"/>
      <c r="J9" s="3"/>
      <c r="K9" s="3"/>
      <c r="L9" s="14">
        <v>1</v>
      </c>
      <c r="N9" s="21">
        <v>55016</v>
      </c>
      <c r="O9" s="21">
        <v>48</v>
      </c>
      <c r="P9" s="25">
        <v>0.56439393940000004</v>
      </c>
      <c r="Q9" s="25">
        <v>0.56923076920000004</v>
      </c>
      <c r="R9" s="25">
        <v>0.65986394559999995</v>
      </c>
      <c r="S9" s="25">
        <f>144/(144+55)</f>
        <v>0.72361809045226133</v>
      </c>
      <c r="T9" s="25">
        <f>81/(81+73)</f>
        <v>0.52597402597402598</v>
      </c>
      <c r="U9" s="25">
        <f>92/(101+92)</f>
        <v>0.47668393782383417</v>
      </c>
      <c r="V9" s="25">
        <v>0.51702786379999999</v>
      </c>
      <c r="W9" s="25">
        <v>0.52610441770000005</v>
      </c>
      <c r="X9" s="25"/>
      <c r="Y9" s="25"/>
      <c r="Z9" s="25"/>
      <c r="AA9" s="25"/>
      <c r="AB9" s="25"/>
      <c r="AC9" s="25"/>
      <c r="AD9" s="25"/>
      <c r="AE9" s="25"/>
      <c r="AF9" s="25">
        <f t="shared" si="0"/>
        <v>0.57036212374376527</v>
      </c>
      <c r="AG9" s="25">
        <f t="shared" si="1"/>
        <v>8.2013988531291521E-2</v>
      </c>
      <c r="AH9" s="26">
        <f t="shared" si="2"/>
        <v>8</v>
      </c>
    </row>
    <row r="10" spans="1:34" x14ac:dyDescent="0.25">
      <c r="A10" s="3">
        <v>29652</v>
      </c>
      <c r="B10" s="3">
        <v>57</v>
      </c>
      <c r="C10" s="3">
        <v>1</v>
      </c>
      <c r="D10" s="1" t="s">
        <v>41</v>
      </c>
      <c r="E10" s="3" t="s">
        <v>40</v>
      </c>
      <c r="F10" s="18"/>
      <c r="G10" s="3"/>
      <c r="H10" s="3"/>
      <c r="I10" s="3"/>
      <c r="J10" s="3"/>
      <c r="K10" s="3"/>
      <c r="L10" s="14">
        <v>1</v>
      </c>
      <c r="N10" s="21">
        <v>29652</v>
      </c>
      <c r="O10" s="21">
        <v>57</v>
      </c>
      <c r="P10" s="25">
        <f>(55/(85+55))</f>
        <v>0.39285714285714285</v>
      </c>
      <c r="Q10" s="25">
        <f>127/(108+127)</f>
        <v>0.54042553191489362</v>
      </c>
      <c r="R10" s="25">
        <f>65/(89+65)</f>
        <v>0.42207792207792205</v>
      </c>
      <c r="S10" s="25">
        <f>35/(57+35)</f>
        <v>0.38043478260869568</v>
      </c>
      <c r="T10" s="25">
        <f>55/(55+79)</f>
        <v>0.41044776119402987</v>
      </c>
      <c r="U10" s="25">
        <f>115/(115+168)</f>
        <v>0.40636042402826855</v>
      </c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>
        <f t="shared" si="0"/>
        <v>0.42543392744682551</v>
      </c>
      <c r="AG10" s="25">
        <f t="shared" si="1"/>
        <v>5.8153048952149955E-2</v>
      </c>
      <c r="AH10" s="26">
        <f t="shared" si="2"/>
        <v>6</v>
      </c>
    </row>
    <row r="11" spans="1:34" x14ac:dyDescent="0.25">
      <c r="A11" s="3">
        <v>28129</v>
      </c>
      <c r="B11" s="3">
        <v>59</v>
      </c>
      <c r="C11" s="3">
        <v>1</v>
      </c>
      <c r="D11" s="1" t="s">
        <v>26</v>
      </c>
      <c r="E11" s="3" t="s">
        <v>21</v>
      </c>
      <c r="F11" s="18"/>
      <c r="G11" s="3"/>
      <c r="H11" s="3"/>
      <c r="I11" s="3"/>
      <c r="J11" s="3"/>
      <c r="K11" s="3"/>
      <c r="L11" s="14">
        <v>1</v>
      </c>
      <c r="N11" s="21">
        <v>28129</v>
      </c>
      <c r="O11" s="21">
        <v>59</v>
      </c>
      <c r="P11" s="25">
        <v>0.59595959600000004</v>
      </c>
      <c r="Q11" s="25">
        <v>0.57142857140000003</v>
      </c>
      <c r="R11" s="25">
        <v>0.65909090910000001</v>
      </c>
      <c r="S11" s="25">
        <v>0.55639097739999999</v>
      </c>
      <c r="T11" s="25">
        <v>0.62539682539999997</v>
      </c>
      <c r="U11" s="25">
        <v>0.56378600820000002</v>
      </c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>
        <f t="shared" si="0"/>
        <v>0.59534214791666662</v>
      </c>
      <c r="AG11" s="25">
        <f t="shared" si="1"/>
        <v>4.0130816621213081E-2</v>
      </c>
      <c r="AH11" s="26">
        <f t="shared" si="2"/>
        <v>6</v>
      </c>
    </row>
    <row r="12" spans="1:34" x14ac:dyDescent="0.25">
      <c r="A12" s="3">
        <v>28130</v>
      </c>
      <c r="B12" s="3">
        <v>69</v>
      </c>
      <c r="C12" s="3">
        <v>1</v>
      </c>
      <c r="D12" s="1" t="s">
        <v>42</v>
      </c>
      <c r="E12" s="3" t="s">
        <v>40</v>
      </c>
      <c r="F12" s="18"/>
      <c r="G12" s="3"/>
      <c r="H12" s="3"/>
      <c r="I12" s="3"/>
      <c r="J12" s="3"/>
      <c r="K12" s="3"/>
      <c r="L12" s="14">
        <v>1</v>
      </c>
      <c r="N12" s="21">
        <v>28130</v>
      </c>
      <c r="O12" s="21">
        <v>69</v>
      </c>
      <c r="P12" s="25">
        <f>230/(230+98)</f>
        <v>0.70121951219512191</v>
      </c>
      <c r="Q12" s="25">
        <f>169/(169+147)</f>
        <v>0.53481012658227844</v>
      </c>
      <c r="R12" s="25">
        <f>200/297</f>
        <v>0.67340067340067344</v>
      </c>
      <c r="S12" s="25">
        <f>144/(144+102)</f>
        <v>0.58536585365853655</v>
      </c>
      <c r="T12" s="25">
        <f>209/(209+93)</f>
        <v>0.69205298013245031</v>
      </c>
      <c r="U12" s="25">
        <f>230/(230+124)</f>
        <v>0.64971751412429379</v>
      </c>
      <c r="V12" s="25">
        <f>240/(240+103)</f>
        <v>0.69970845481049559</v>
      </c>
      <c r="W12" s="25"/>
      <c r="X12" s="25"/>
      <c r="Y12" s="25"/>
      <c r="Z12" s="25"/>
      <c r="AA12" s="25"/>
      <c r="AB12" s="25"/>
      <c r="AC12" s="25"/>
      <c r="AD12" s="25"/>
      <c r="AE12" s="25"/>
      <c r="AF12" s="25">
        <f t="shared" si="0"/>
        <v>0.64803930212912142</v>
      </c>
      <c r="AG12" s="25">
        <f t="shared" si="1"/>
        <v>6.432970130422247E-2</v>
      </c>
      <c r="AH12" s="26">
        <f t="shared" si="2"/>
        <v>7</v>
      </c>
    </row>
    <row r="13" spans="1:34" x14ac:dyDescent="0.25">
      <c r="A13" s="3">
        <v>28131</v>
      </c>
      <c r="B13" s="3">
        <v>73</v>
      </c>
      <c r="C13" s="3">
        <v>1</v>
      </c>
      <c r="D13" s="1" t="s">
        <v>22</v>
      </c>
      <c r="E13" s="3" t="s">
        <v>21</v>
      </c>
      <c r="F13" s="18"/>
      <c r="G13" s="3"/>
      <c r="H13" s="18"/>
      <c r="I13" s="3"/>
      <c r="J13" s="18"/>
      <c r="K13" s="3"/>
      <c r="L13" s="14">
        <v>1</v>
      </c>
      <c r="N13" s="21">
        <v>28131</v>
      </c>
      <c r="O13" s="21">
        <v>73</v>
      </c>
      <c r="P13" s="25">
        <v>0.59485530546623799</v>
      </c>
      <c r="Q13" s="25">
        <v>0.67886178861788615</v>
      </c>
      <c r="R13" s="25">
        <v>0.61694915254237293</v>
      </c>
      <c r="S13" s="25">
        <v>0.65292096219931273</v>
      </c>
      <c r="T13" s="25">
        <v>0.62068965517241381</v>
      </c>
      <c r="U13" s="25">
        <v>0.68235294117647061</v>
      </c>
      <c r="V13" s="25">
        <v>0.65937500000000004</v>
      </c>
      <c r="W13" s="25">
        <v>0.49640287769784175</v>
      </c>
      <c r="X13" s="25"/>
      <c r="Y13" s="25"/>
      <c r="Z13" s="25"/>
      <c r="AA13" s="25"/>
      <c r="AB13" s="25"/>
      <c r="AC13" s="25"/>
      <c r="AD13" s="25"/>
      <c r="AE13" s="25"/>
      <c r="AF13" s="25">
        <f t="shared" si="0"/>
        <v>0.6253009603590669</v>
      </c>
      <c r="AG13" s="25">
        <f t="shared" si="1"/>
        <v>6.056904674241257E-2</v>
      </c>
      <c r="AH13" s="26">
        <f t="shared" si="2"/>
        <v>8</v>
      </c>
    </row>
    <row r="14" spans="1:34" x14ac:dyDescent="0.25">
      <c r="A14" s="3">
        <v>28132</v>
      </c>
      <c r="B14" s="3">
        <v>75</v>
      </c>
      <c r="C14" s="3">
        <v>2</v>
      </c>
      <c r="D14" s="1" t="s">
        <v>31</v>
      </c>
      <c r="E14" s="3" t="s">
        <v>21</v>
      </c>
      <c r="F14" s="1" t="s">
        <v>30</v>
      </c>
      <c r="G14" s="3" t="s">
        <v>21</v>
      </c>
      <c r="H14" s="3"/>
      <c r="I14" s="3"/>
      <c r="J14" s="3"/>
      <c r="K14" s="3"/>
      <c r="L14" s="14">
        <v>1</v>
      </c>
      <c r="N14" s="21">
        <v>28132</v>
      </c>
      <c r="O14" s="21">
        <v>75</v>
      </c>
      <c r="P14" s="25">
        <f>55/(150+55)</f>
        <v>0.26829268292682928</v>
      </c>
      <c r="Q14" s="25">
        <f>118/(118+82)</f>
        <v>0.59</v>
      </c>
      <c r="R14" s="25">
        <f>100/(180)</f>
        <v>0.55555555555555558</v>
      </c>
      <c r="S14" s="25">
        <f>81/(81+57)</f>
        <v>0.58695652173913049</v>
      </c>
      <c r="T14" s="25">
        <f>77/(77+88)</f>
        <v>0.46666666666666667</v>
      </c>
      <c r="U14" s="25">
        <f>83/(118+83)</f>
        <v>0.41293532338308458</v>
      </c>
      <c r="V14" s="25">
        <f>145/(145+87)</f>
        <v>0.625</v>
      </c>
      <c r="W14" s="25"/>
      <c r="X14" s="25"/>
      <c r="Y14" s="25"/>
      <c r="Z14" s="25"/>
      <c r="AA14" s="25"/>
      <c r="AB14" s="25"/>
      <c r="AC14" s="25"/>
      <c r="AD14" s="25"/>
      <c r="AE14" s="25"/>
      <c r="AF14" s="25">
        <f t="shared" si="0"/>
        <v>0.50077239289589515</v>
      </c>
      <c r="AG14" s="25">
        <f t="shared" si="1"/>
        <v>0.12698315511733649</v>
      </c>
      <c r="AH14" s="26">
        <f t="shared" si="2"/>
        <v>7</v>
      </c>
    </row>
    <row r="15" spans="1:34" x14ac:dyDescent="0.25">
      <c r="A15" s="3">
        <v>28134</v>
      </c>
      <c r="B15" s="3">
        <v>83</v>
      </c>
      <c r="C15" s="3">
        <v>1</v>
      </c>
      <c r="D15" s="1" t="s">
        <v>25</v>
      </c>
      <c r="E15" s="3" t="s">
        <v>40</v>
      </c>
      <c r="F15" s="18"/>
      <c r="G15" s="3"/>
      <c r="H15" s="3"/>
      <c r="I15" s="3"/>
      <c r="J15" s="3"/>
      <c r="K15" s="3"/>
      <c r="L15" s="14">
        <v>1</v>
      </c>
      <c r="N15" s="21">
        <v>28134</v>
      </c>
      <c r="O15" s="21">
        <v>83</v>
      </c>
      <c r="P15" s="25">
        <v>0.48717948717948723</v>
      </c>
      <c r="Q15" s="25">
        <v>0.57553956834532372</v>
      </c>
      <c r="R15" s="25">
        <v>0.47151898734177222</v>
      </c>
      <c r="S15" s="25">
        <v>0.52479338842975209</v>
      </c>
      <c r="T15" s="25">
        <v>0.45081967213114749</v>
      </c>
      <c r="U15" s="25">
        <f>102/201</f>
        <v>0.5074626865671642</v>
      </c>
      <c r="V15" s="25">
        <f>148/291</f>
        <v>0.50859106529209619</v>
      </c>
      <c r="W15" s="25"/>
      <c r="X15" s="25"/>
      <c r="Y15" s="25"/>
      <c r="Z15" s="25"/>
      <c r="AA15" s="25"/>
      <c r="AB15" s="25"/>
      <c r="AC15" s="25"/>
      <c r="AD15" s="25"/>
      <c r="AE15" s="25"/>
      <c r="AF15" s="25">
        <f t="shared" si="0"/>
        <v>0.50370069361239189</v>
      </c>
      <c r="AG15" s="25">
        <f t="shared" si="1"/>
        <v>4.0308826446773208E-2</v>
      </c>
      <c r="AH15" s="26">
        <f t="shared" si="2"/>
        <v>7</v>
      </c>
    </row>
    <row r="16" spans="1:34" x14ac:dyDescent="0.25">
      <c r="A16" s="3">
        <v>28274</v>
      </c>
      <c r="B16" s="3">
        <v>85</v>
      </c>
      <c r="C16" s="3">
        <v>2</v>
      </c>
      <c r="D16" s="1" t="s">
        <v>29</v>
      </c>
      <c r="E16" s="3" t="s">
        <v>21</v>
      </c>
      <c r="F16" s="1" t="s">
        <v>8</v>
      </c>
      <c r="G16" s="3" t="s">
        <v>3</v>
      </c>
      <c r="H16" s="3"/>
      <c r="I16" s="3"/>
      <c r="J16" s="3"/>
      <c r="K16" s="3"/>
      <c r="L16" s="14">
        <v>1</v>
      </c>
      <c r="N16" s="21">
        <v>28274</v>
      </c>
      <c r="O16" s="21">
        <v>85</v>
      </c>
      <c r="P16" s="25">
        <v>0.70048309178743962</v>
      </c>
      <c r="Q16" s="25">
        <v>0.76855895196506552</v>
      </c>
      <c r="R16" s="25">
        <v>0.73333333333333328</v>
      </c>
      <c r="S16" s="25">
        <v>0.73958333333333337</v>
      </c>
      <c r="T16" s="25">
        <v>0.69506726457399104</v>
      </c>
      <c r="U16" s="25">
        <v>0.72670807453416153</v>
      </c>
      <c r="V16" s="25">
        <v>0.72868217054263562</v>
      </c>
      <c r="W16" s="25">
        <v>0.67027027027027031</v>
      </c>
      <c r="X16" s="25">
        <v>0.70204081632653059</v>
      </c>
      <c r="Y16" s="25">
        <v>0.63090128755364805</v>
      </c>
      <c r="Z16" s="25">
        <v>0.7814569536423841</v>
      </c>
      <c r="AA16" s="25">
        <v>0.7752808988764045</v>
      </c>
      <c r="AB16" s="25">
        <v>0.6899696048632219</v>
      </c>
      <c r="AC16" s="25">
        <v>0.7168141592920354</v>
      </c>
      <c r="AD16" s="25">
        <v>0.74904942965779464</v>
      </c>
      <c r="AE16" s="25"/>
      <c r="AF16" s="25">
        <f t="shared" si="0"/>
        <v>0.72054664270348334</v>
      </c>
      <c r="AG16" s="25">
        <f t="shared" si="1"/>
        <v>4.0848711275964941E-2</v>
      </c>
      <c r="AH16" s="26">
        <f t="shared" si="2"/>
        <v>15</v>
      </c>
    </row>
    <row r="17" spans="1:34" x14ac:dyDescent="0.25">
      <c r="A17" s="3">
        <v>28135</v>
      </c>
      <c r="B17" s="3">
        <v>88</v>
      </c>
      <c r="C17" s="3">
        <v>1</v>
      </c>
      <c r="D17" s="1" t="s">
        <v>34</v>
      </c>
      <c r="E17" s="3" t="s">
        <v>3</v>
      </c>
      <c r="F17" s="18"/>
      <c r="G17" s="3"/>
      <c r="H17" s="3"/>
      <c r="I17" s="3"/>
      <c r="J17" s="3"/>
      <c r="K17" s="3"/>
      <c r="L17" s="14">
        <v>1</v>
      </c>
      <c r="N17" s="29">
        <v>28135</v>
      </c>
      <c r="O17" s="29">
        <v>88</v>
      </c>
      <c r="P17" s="26">
        <f>170/292</f>
        <v>0.5821917808219178</v>
      </c>
      <c r="Q17" s="26">
        <f>161/260</f>
        <v>0.61923076923076925</v>
      </c>
      <c r="R17" s="26">
        <f>32/60</f>
        <v>0.53333333333333333</v>
      </c>
      <c r="S17" s="26">
        <f>164/254</f>
        <v>0.64566929133858264</v>
      </c>
      <c r="T17" s="26">
        <f>48/72</f>
        <v>0.66666666666666663</v>
      </c>
      <c r="U17" s="26">
        <f>84/145</f>
        <v>0.57931034482758625</v>
      </c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5">
        <f t="shared" si="0"/>
        <v>0.60440036436980915</v>
      </c>
      <c r="AG17" s="25">
        <f t="shared" si="1"/>
        <v>4.8935489795014421E-2</v>
      </c>
      <c r="AH17" s="26">
        <f t="shared" si="2"/>
        <v>6</v>
      </c>
    </row>
    <row r="18" spans="1:34" x14ac:dyDescent="0.25">
      <c r="A18" s="3">
        <v>28136</v>
      </c>
      <c r="B18" s="3">
        <v>91</v>
      </c>
      <c r="C18" s="3">
        <v>1</v>
      </c>
      <c r="D18" s="1" t="s">
        <v>43</v>
      </c>
      <c r="E18" s="3" t="s">
        <v>40</v>
      </c>
      <c r="F18" s="18"/>
      <c r="G18" s="3"/>
      <c r="H18" s="3"/>
      <c r="I18" s="3"/>
      <c r="J18" s="3"/>
      <c r="K18" s="3"/>
      <c r="L18" s="14">
        <v>1</v>
      </c>
      <c r="N18" s="21">
        <v>28136</v>
      </c>
      <c r="O18" s="21">
        <v>91</v>
      </c>
      <c r="P18" s="25">
        <v>0.5401785714285714</v>
      </c>
      <c r="Q18" s="25">
        <v>0.45955882352941174</v>
      </c>
      <c r="R18" s="25">
        <v>0.5286624203821656</v>
      </c>
      <c r="S18" s="25">
        <v>0.47079037800687284</v>
      </c>
      <c r="T18" s="25">
        <v>0.54109589041095896</v>
      </c>
      <c r="U18" s="25">
        <v>0.52188552188552184</v>
      </c>
      <c r="V18" s="25">
        <v>0.53456221198156684</v>
      </c>
      <c r="W18" s="25"/>
      <c r="X18" s="25"/>
      <c r="Y18" s="25"/>
      <c r="Z18" s="25"/>
      <c r="AA18" s="25"/>
      <c r="AB18" s="25"/>
      <c r="AC18" s="25"/>
      <c r="AD18" s="25"/>
      <c r="AE18" s="25"/>
      <c r="AF18" s="25">
        <f t="shared" si="0"/>
        <v>0.51381911680358139</v>
      </c>
      <c r="AG18" s="25">
        <f t="shared" si="1"/>
        <v>3.403469201864532E-2</v>
      </c>
      <c r="AH18" s="26">
        <f t="shared" si="2"/>
        <v>7</v>
      </c>
    </row>
    <row r="19" spans="1:34" x14ac:dyDescent="0.25">
      <c r="A19" s="3">
        <v>28137</v>
      </c>
      <c r="B19" s="3">
        <v>93</v>
      </c>
      <c r="C19" s="3">
        <v>3</v>
      </c>
      <c r="D19" s="1" t="s">
        <v>68</v>
      </c>
      <c r="E19" s="3" t="s">
        <v>3</v>
      </c>
      <c r="F19" s="1" t="s">
        <v>61</v>
      </c>
      <c r="G19" s="3" t="s">
        <v>3</v>
      </c>
      <c r="H19" s="18"/>
      <c r="I19" s="3"/>
      <c r="J19" s="18"/>
      <c r="K19" s="3"/>
      <c r="L19" s="14">
        <v>1</v>
      </c>
      <c r="N19" s="21">
        <v>28137</v>
      </c>
      <c r="O19" s="21">
        <v>93</v>
      </c>
      <c r="P19" s="25">
        <v>0.48358208899999999</v>
      </c>
      <c r="Q19" s="25">
        <v>0.42528735600000001</v>
      </c>
      <c r="R19" s="25">
        <v>0.46875</v>
      </c>
      <c r="S19" s="26">
        <f>153/(153+112)</f>
        <v>0.57735849056603772</v>
      </c>
      <c r="T19" s="26">
        <f>134/(111+134)</f>
        <v>0.54693877551020409</v>
      </c>
      <c r="U19" s="26">
        <f>116/(116+45)</f>
        <v>0.72049689440993792</v>
      </c>
      <c r="V19" s="26">
        <f>205/(205+136)</f>
        <v>0.60117302052785926</v>
      </c>
      <c r="W19" s="26">
        <f>177/(177+93)</f>
        <v>0.65555555555555556</v>
      </c>
      <c r="X19" s="26">
        <f>129/(129+107)</f>
        <v>0.54661016949152541</v>
      </c>
      <c r="Y19" s="25"/>
      <c r="Z19" s="25"/>
      <c r="AA19" s="25"/>
      <c r="AB19" s="25"/>
      <c r="AC19" s="25"/>
      <c r="AD19" s="25"/>
      <c r="AE19" s="25"/>
      <c r="AF19" s="25">
        <f t="shared" si="0"/>
        <v>0.55841692789567998</v>
      </c>
      <c r="AG19" s="25">
        <f t="shared" si="1"/>
        <v>9.3225356189042222E-2</v>
      </c>
      <c r="AH19" s="26">
        <f t="shared" si="2"/>
        <v>9</v>
      </c>
    </row>
    <row r="20" spans="1:34" x14ac:dyDescent="0.25">
      <c r="A20" s="3">
        <v>55017</v>
      </c>
      <c r="B20" s="3">
        <v>100</v>
      </c>
      <c r="C20" s="3">
        <v>2</v>
      </c>
      <c r="D20" s="1" t="s">
        <v>29</v>
      </c>
      <c r="E20" s="3" t="s">
        <v>21</v>
      </c>
      <c r="F20" s="1" t="s">
        <v>18</v>
      </c>
      <c r="G20" s="3" t="s">
        <v>3</v>
      </c>
      <c r="H20" s="18"/>
      <c r="I20" s="3"/>
      <c r="J20" s="18"/>
      <c r="K20" s="3"/>
      <c r="L20" s="14">
        <v>1</v>
      </c>
      <c r="N20" s="21">
        <v>55017</v>
      </c>
      <c r="O20" s="21">
        <v>100</v>
      </c>
      <c r="P20" s="25">
        <v>0.60924369747899154</v>
      </c>
      <c r="Q20" s="25">
        <v>0.59340659340659341</v>
      </c>
      <c r="R20" s="25">
        <v>0.69607843137254899</v>
      </c>
      <c r="S20" s="25">
        <v>0.6</v>
      </c>
      <c r="T20" s="25">
        <v>0.62995594713656389</v>
      </c>
      <c r="U20" s="25">
        <v>0.63522012578616349</v>
      </c>
      <c r="V20" s="25">
        <v>0.60162601626016265</v>
      </c>
      <c r="W20" s="25">
        <v>0.5957446808510638</v>
      </c>
      <c r="X20" s="25"/>
      <c r="Y20" s="25"/>
      <c r="Z20" s="25"/>
      <c r="AA20" s="25"/>
      <c r="AB20" s="25"/>
      <c r="AC20" s="25"/>
      <c r="AD20" s="25"/>
      <c r="AE20" s="25"/>
      <c r="AF20" s="25">
        <f t="shared" si="0"/>
        <v>0.62015943653651107</v>
      </c>
      <c r="AG20" s="25">
        <f t="shared" si="1"/>
        <v>3.4366363488614847E-2</v>
      </c>
      <c r="AH20" s="26">
        <f t="shared" si="2"/>
        <v>8</v>
      </c>
    </row>
    <row r="21" spans="1:34" x14ac:dyDescent="0.25">
      <c r="A21" s="3">
        <v>28138</v>
      </c>
      <c r="B21" s="3">
        <v>101</v>
      </c>
      <c r="C21" s="3">
        <v>1</v>
      </c>
      <c r="D21" s="1" t="s">
        <v>30</v>
      </c>
      <c r="E21" s="3" t="s">
        <v>21</v>
      </c>
      <c r="F21" s="1"/>
      <c r="G21" s="3"/>
      <c r="H21" s="1"/>
      <c r="I21" s="3"/>
      <c r="J21" s="1"/>
      <c r="K21" s="3"/>
      <c r="L21" s="14">
        <v>1</v>
      </c>
      <c r="N21" s="21">
        <v>28138</v>
      </c>
      <c r="O21" s="21">
        <v>101</v>
      </c>
      <c r="P21" s="28">
        <v>0.65991902834008098</v>
      </c>
      <c r="Q21" s="25">
        <v>0.65829145728643212</v>
      </c>
      <c r="R21" s="25">
        <v>0.6371308016877637</v>
      </c>
      <c r="S21" s="25">
        <v>0.68220338983050843</v>
      </c>
      <c r="T21" s="25">
        <v>0.68949771689497719</v>
      </c>
      <c r="U21" s="25">
        <v>0.65436241610738255</v>
      </c>
      <c r="V21" s="25">
        <v>0.68821292775665399</v>
      </c>
      <c r="W21" s="25"/>
      <c r="X21" s="25"/>
      <c r="Y21" s="25"/>
      <c r="Z21" s="25"/>
      <c r="AA21" s="25"/>
      <c r="AB21" s="25"/>
      <c r="AC21" s="25"/>
      <c r="AD21" s="25"/>
      <c r="AE21" s="25"/>
      <c r="AF21" s="25">
        <f t="shared" si="0"/>
        <v>0.66708824827197133</v>
      </c>
      <c r="AG21" s="25">
        <f t="shared" si="1"/>
        <v>1.9853969073515606E-2</v>
      </c>
      <c r="AH21" s="26">
        <f t="shared" si="2"/>
        <v>7</v>
      </c>
    </row>
    <row r="22" spans="1:34" x14ac:dyDescent="0.25">
      <c r="A22" s="3">
        <v>28139</v>
      </c>
      <c r="B22" s="3">
        <v>105</v>
      </c>
      <c r="C22" s="3">
        <v>1</v>
      </c>
      <c r="D22" s="1" t="s">
        <v>76</v>
      </c>
      <c r="E22" s="3" t="s">
        <v>40</v>
      </c>
      <c r="F22" s="18"/>
      <c r="G22" s="3"/>
      <c r="H22" s="3"/>
      <c r="I22" s="3"/>
      <c r="J22" s="3"/>
      <c r="K22" s="3"/>
      <c r="L22" s="14">
        <v>1</v>
      </c>
      <c r="M22" s="14" t="s">
        <v>119</v>
      </c>
      <c r="N22" s="21">
        <v>28139</v>
      </c>
      <c r="O22" s="21">
        <v>105</v>
      </c>
      <c r="P22" s="25">
        <v>0.38815789473684209</v>
      </c>
      <c r="Q22" s="25">
        <v>0.43085106382978722</v>
      </c>
      <c r="R22" s="25">
        <v>0.42780748663101598</v>
      </c>
      <c r="S22" s="25">
        <v>0.46099290780141838</v>
      </c>
      <c r="T22" s="25">
        <v>0.41803278688524592</v>
      </c>
      <c r="U22" s="25">
        <f>79/187</f>
        <v>0.42245989304812837</v>
      </c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>
        <f t="shared" si="0"/>
        <v>0.42471700548873964</v>
      </c>
      <c r="AG22" s="25">
        <f t="shared" si="1"/>
        <v>2.3449779307701459E-2</v>
      </c>
      <c r="AH22" s="26">
        <f t="shared" si="2"/>
        <v>6</v>
      </c>
    </row>
    <row r="23" spans="1:34" x14ac:dyDescent="0.25">
      <c r="A23" s="3">
        <v>28140</v>
      </c>
      <c r="B23" s="3">
        <v>109</v>
      </c>
      <c r="C23" s="3">
        <v>1</v>
      </c>
      <c r="D23" s="1" t="s">
        <v>44</v>
      </c>
      <c r="E23" s="3" t="s">
        <v>40</v>
      </c>
      <c r="F23" s="18"/>
      <c r="G23" s="3"/>
      <c r="H23" s="3"/>
      <c r="I23" s="3"/>
      <c r="J23" s="3"/>
      <c r="K23" s="3"/>
      <c r="L23" s="14">
        <v>1</v>
      </c>
      <c r="N23" s="21">
        <v>28140</v>
      </c>
      <c r="O23" s="21">
        <v>109</v>
      </c>
      <c r="P23" s="25">
        <v>0.38745387453874541</v>
      </c>
      <c r="Q23" s="25">
        <v>0.40397350993377479</v>
      </c>
      <c r="R23" s="25">
        <v>0.40944881889763779</v>
      </c>
      <c r="S23" s="25">
        <v>0.43333333333333329</v>
      </c>
      <c r="T23" s="25">
        <v>0.39013452914798208</v>
      </c>
      <c r="U23" s="25">
        <v>0.44444444444444442</v>
      </c>
      <c r="V23" s="25">
        <v>0.37012987012987009</v>
      </c>
      <c r="W23" s="25"/>
      <c r="X23" s="25"/>
      <c r="Y23" s="25"/>
      <c r="Z23" s="25"/>
      <c r="AA23" s="25"/>
      <c r="AB23" s="25"/>
      <c r="AC23" s="25"/>
      <c r="AD23" s="25"/>
      <c r="AE23" s="25"/>
      <c r="AF23" s="25">
        <f t="shared" si="0"/>
        <v>0.40555976863225535</v>
      </c>
      <c r="AG23" s="25">
        <f t="shared" si="1"/>
        <v>2.6210904091653293E-2</v>
      </c>
      <c r="AH23" s="26">
        <f t="shared" si="2"/>
        <v>7</v>
      </c>
    </row>
    <row r="24" spans="1:34" x14ac:dyDescent="0.25">
      <c r="A24" s="3">
        <v>28141</v>
      </c>
      <c r="B24" s="3">
        <v>129</v>
      </c>
      <c r="C24" s="3">
        <v>2</v>
      </c>
      <c r="D24" s="1" t="s">
        <v>63</v>
      </c>
      <c r="E24" s="3" t="s">
        <v>3</v>
      </c>
      <c r="F24" s="1" t="s">
        <v>52</v>
      </c>
      <c r="G24" s="3" t="s">
        <v>40</v>
      </c>
      <c r="H24" s="18"/>
      <c r="I24" s="3"/>
      <c r="J24" s="18"/>
      <c r="K24" s="3"/>
      <c r="L24" s="14">
        <v>1</v>
      </c>
      <c r="N24" s="23">
        <v>28141</v>
      </c>
      <c r="O24" s="23">
        <v>129</v>
      </c>
      <c r="P24" s="24">
        <v>0.56321839080459768</v>
      </c>
      <c r="Q24" s="24">
        <v>0.59322033898305082</v>
      </c>
      <c r="R24" s="24">
        <v>0.5662650602409639</v>
      </c>
      <c r="S24" s="24">
        <v>0.57423459667620413</v>
      </c>
      <c r="T24" s="24">
        <f>99/(99+71)</f>
        <v>0.58235294117647063</v>
      </c>
      <c r="U24" s="24">
        <f>125/(125+87)</f>
        <v>0.589622641509434</v>
      </c>
      <c r="V24" s="24">
        <f>189/(189+149)</f>
        <v>0.55917159763313606</v>
      </c>
      <c r="W24" s="24">
        <f>133/(133+75)</f>
        <v>0.63942307692307687</v>
      </c>
      <c r="X24" s="24">
        <f>165/(165+89)</f>
        <v>0.64960629921259838</v>
      </c>
      <c r="Y24" s="24">
        <f>103/(103+74)</f>
        <v>0.58192090395480223</v>
      </c>
      <c r="Z24" s="24">
        <f>109/(109+69)</f>
        <v>0.61235955056179781</v>
      </c>
      <c r="AA24" s="24">
        <f>122/(122+103)</f>
        <v>0.54222222222222227</v>
      </c>
      <c r="AB24" s="24">
        <f>81/(81+60)</f>
        <v>0.57446808510638303</v>
      </c>
      <c r="AC24" s="24"/>
      <c r="AD24" s="24"/>
      <c r="AE24" s="24"/>
      <c r="AF24" s="24">
        <f t="shared" si="0"/>
        <v>0.58677582346190282</v>
      </c>
      <c r="AG24" s="24">
        <f t="shared" si="1"/>
        <v>3.0954430024731777E-2</v>
      </c>
      <c r="AH24" s="24">
        <f t="shared" si="2"/>
        <v>13</v>
      </c>
    </row>
    <row r="25" spans="1:34" x14ac:dyDescent="0.25">
      <c r="A25" s="18">
        <v>28142</v>
      </c>
      <c r="B25" s="18">
        <v>136</v>
      </c>
      <c r="C25" s="18">
        <v>1</v>
      </c>
      <c r="D25" s="1" t="s">
        <v>28</v>
      </c>
      <c r="E25" s="18" t="s">
        <v>21</v>
      </c>
      <c r="F25" s="18"/>
      <c r="G25" s="18"/>
      <c r="H25" s="18"/>
      <c r="I25" s="18"/>
      <c r="J25" s="18"/>
      <c r="K25" s="18"/>
      <c r="L25" s="14">
        <v>1</v>
      </c>
      <c r="N25" s="23">
        <v>28142</v>
      </c>
      <c r="O25" s="23">
        <v>136</v>
      </c>
      <c r="P25" s="24">
        <v>0.63265306099999996</v>
      </c>
      <c r="Q25" s="24">
        <v>0.67415730299999999</v>
      </c>
      <c r="R25" s="24">
        <v>0.62857142799999999</v>
      </c>
      <c r="S25" s="24">
        <v>0.57798165099999999</v>
      </c>
      <c r="T25" s="24">
        <v>0.70720720699999995</v>
      </c>
      <c r="U25" s="24">
        <v>0.60169491500000005</v>
      </c>
      <c r="V25" s="24">
        <v>0.65151515100000001</v>
      </c>
      <c r="W25" s="24"/>
      <c r="X25" s="24"/>
      <c r="Y25" s="24"/>
      <c r="Z25" s="24"/>
      <c r="AA25" s="24"/>
      <c r="AB25" s="24"/>
      <c r="AC25" s="24"/>
      <c r="AD25" s="24"/>
      <c r="AE25" s="24"/>
      <c r="AF25" s="24">
        <f t="shared" si="0"/>
        <v>0.6391115308571429</v>
      </c>
      <c r="AG25" s="24">
        <f t="shared" si="1"/>
        <v>4.3414183553639692E-2</v>
      </c>
      <c r="AH25" s="24">
        <f t="shared" si="2"/>
        <v>7</v>
      </c>
    </row>
    <row r="26" spans="1:34" x14ac:dyDescent="0.25">
      <c r="A26" s="3">
        <v>28143</v>
      </c>
      <c r="B26" s="3">
        <v>138</v>
      </c>
      <c r="C26" s="3">
        <v>1</v>
      </c>
      <c r="D26" s="1" t="s">
        <v>43</v>
      </c>
      <c r="E26" s="3" t="s">
        <v>40</v>
      </c>
      <c r="F26" s="18"/>
      <c r="G26" s="3"/>
      <c r="H26" s="18"/>
      <c r="I26" s="3"/>
      <c r="J26" s="18"/>
      <c r="K26" s="3"/>
      <c r="L26" s="14">
        <v>1</v>
      </c>
      <c r="N26" s="23">
        <v>28143</v>
      </c>
      <c r="O26" s="23">
        <v>138</v>
      </c>
      <c r="P26" s="24">
        <v>0.64351851851851849</v>
      </c>
      <c r="Q26" s="24">
        <v>0.67169811320754713</v>
      </c>
      <c r="R26" s="24">
        <v>0.71272727272727276</v>
      </c>
      <c r="S26" s="24">
        <v>0.66486486486486485</v>
      </c>
      <c r="T26" s="24">
        <v>0.7230215827338129</v>
      </c>
      <c r="U26" s="24">
        <v>0.70034843205574915</v>
      </c>
      <c r="V26" s="24">
        <v>0.74538745387453875</v>
      </c>
      <c r="W26" s="24">
        <v>0.70220588235294112</v>
      </c>
      <c r="X26" s="24"/>
      <c r="Y26" s="24"/>
      <c r="Z26" s="24"/>
      <c r="AA26" s="24"/>
      <c r="AB26" s="24"/>
      <c r="AC26" s="24"/>
      <c r="AD26" s="24"/>
      <c r="AE26" s="24"/>
      <c r="AF26" s="24">
        <f t="shared" si="0"/>
        <v>0.69547151504190563</v>
      </c>
      <c r="AG26" s="24">
        <f t="shared" si="1"/>
        <v>3.3420609323556442E-2</v>
      </c>
      <c r="AH26" s="24">
        <f t="shared" si="2"/>
        <v>8</v>
      </c>
    </row>
    <row r="27" spans="1:34" x14ac:dyDescent="0.25">
      <c r="A27" s="3">
        <v>28145</v>
      </c>
      <c r="B27" s="3">
        <v>149</v>
      </c>
      <c r="C27" s="3">
        <v>1</v>
      </c>
      <c r="D27" s="1" t="s">
        <v>43</v>
      </c>
      <c r="E27" s="3" t="s">
        <v>40</v>
      </c>
      <c r="F27" s="18"/>
      <c r="G27" s="3"/>
      <c r="H27" s="3"/>
      <c r="I27" s="3"/>
      <c r="J27" s="3"/>
      <c r="K27" s="3"/>
      <c r="L27" s="14">
        <v>1</v>
      </c>
      <c r="N27" s="23">
        <v>28145</v>
      </c>
      <c r="O27" s="23">
        <v>149</v>
      </c>
      <c r="P27" s="24">
        <f>147/216</f>
        <v>0.68055555555555558</v>
      </c>
      <c r="Q27" s="24">
        <f>104/167</f>
        <v>0.6227544910179641</v>
      </c>
      <c r="R27" s="24">
        <f>1/(176/117)</f>
        <v>0.66477272727272729</v>
      </c>
      <c r="S27" s="24">
        <f>99/157</f>
        <v>0.63057324840764328</v>
      </c>
      <c r="T27" s="24">
        <f>85/148</f>
        <v>0.57432432432432434</v>
      </c>
      <c r="U27" s="24">
        <f>115/175</f>
        <v>0.65714285714285714</v>
      </c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>
        <f t="shared" si="0"/>
        <v>0.63835386728684529</v>
      </c>
      <c r="AG27" s="24">
        <f t="shared" si="1"/>
        <v>3.8041098137680508E-2</v>
      </c>
      <c r="AH27" s="24">
        <f t="shared" si="2"/>
        <v>6</v>
      </c>
    </row>
    <row r="28" spans="1:34" x14ac:dyDescent="0.25">
      <c r="A28" s="3">
        <v>28146</v>
      </c>
      <c r="B28" s="3">
        <v>153</v>
      </c>
      <c r="C28" s="3">
        <v>1</v>
      </c>
      <c r="D28" s="1" t="s">
        <v>45</v>
      </c>
      <c r="E28" s="3" t="s">
        <v>40</v>
      </c>
      <c r="F28" s="3"/>
      <c r="G28" s="3"/>
      <c r="H28" s="3"/>
      <c r="I28" s="3"/>
      <c r="J28" s="3"/>
      <c r="K28" s="3"/>
      <c r="L28" s="14">
        <v>1</v>
      </c>
      <c r="N28" s="23">
        <v>28146</v>
      </c>
      <c r="O28" s="23">
        <v>153</v>
      </c>
      <c r="P28" s="24">
        <v>0.42452830188679247</v>
      </c>
      <c r="Q28" s="24">
        <v>0.38983050847457629</v>
      </c>
      <c r="R28" s="24">
        <v>0.48823529411764705</v>
      </c>
      <c r="S28" s="24">
        <v>0.49375000000000002</v>
      </c>
      <c r="T28" s="24">
        <f>134/(134+114)</f>
        <v>0.54032258064516125</v>
      </c>
      <c r="U28" s="24">
        <f>132/(132+140)</f>
        <v>0.48529411764705882</v>
      </c>
      <c r="V28" s="24">
        <f>54/(54+47)</f>
        <v>0.53465346534653468</v>
      </c>
      <c r="W28" s="24"/>
      <c r="X28" s="24"/>
      <c r="Y28" s="24"/>
      <c r="Z28" s="24"/>
      <c r="AA28" s="24"/>
      <c r="AB28" s="24"/>
      <c r="AC28" s="24"/>
      <c r="AD28" s="24"/>
      <c r="AE28" s="24"/>
      <c r="AF28" s="24">
        <f t="shared" si="0"/>
        <v>0.47951632401682437</v>
      </c>
      <c r="AG28" s="24">
        <f t="shared" si="1"/>
        <v>5.4949574091860541E-2</v>
      </c>
      <c r="AH28" s="24">
        <f t="shared" si="2"/>
        <v>7</v>
      </c>
    </row>
    <row r="29" spans="1:34" x14ac:dyDescent="0.25">
      <c r="A29" s="3">
        <v>28147</v>
      </c>
      <c r="B29" s="3">
        <v>158</v>
      </c>
      <c r="C29" s="3">
        <v>2</v>
      </c>
      <c r="D29" s="1" t="s">
        <v>59</v>
      </c>
      <c r="E29" s="3" t="s">
        <v>3</v>
      </c>
      <c r="F29" s="1" t="s">
        <v>60</v>
      </c>
      <c r="G29" s="3" t="s">
        <v>3</v>
      </c>
      <c r="H29" s="3"/>
      <c r="I29" s="3"/>
      <c r="J29" s="3"/>
      <c r="K29" s="3"/>
      <c r="L29" s="14">
        <v>1</v>
      </c>
      <c r="N29" s="23">
        <v>28147</v>
      </c>
      <c r="O29" s="23">
        <v>158</v>
      </c>
      <c r="P29" s="24">
        <v>0.37572254335260108</v>
      </c>
      <c r="Q29" s="24">
        <v>0.30434782608695649</v>
      </c>
      <c r="R29" s="24">
        <v>0.33600000000000002</v>
      </c>
      <c r="S29" s="24">
        <v>0.40259740259740262</v>
      </c>
      <c r="T29" s="24">
        <v>0.36111111110999999</v>
      </c>
      <c r="U29" s="24">
        <v>0.28333333300000002</v>
      </c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>
        <f t="shared" si="0"/>
        <v>0.34385203602449338</v>
      </c>
      <c r="AG29" s="24">
        <f t="shared" si="1"/>
        <v>4.4831626096382519E-2</v>
      </c>
      <c r="AH29" s="24">
        <f t="shared" si="2"/>
        <v>6</v>
      </c>
    </row>
    <row r="30" spans="1:34" x14ac:dyDescent="0.25">
      <c r="A30" s="18">
        <v>28148</v>
      </c>
      <c r="B30" s="18">
        <v>161</v>
      </c>
      <c r="C30" s="18">
        <v>1</v>
      </c>
      <c r="D30" s="1" t="s">
        <v>46</v>
      </c>
      <c r="E30" s="18" t="s">
        <v>40</v>
      </c>
      <c r="F30" s="18"/>
      <c r="G30" s="18"/>
      <c r="H30" s="18"/>
      <c r="I30" s="18"/>
      <c r="J30" s="18"/>
      <c r="K30" s="18"/>
      <c r="L30" s="14">
        <v>1</v>
      </c>
      <c r="N30" s="23">
        <v>28148</v>
      </c>
      <c r="O30" s="23">
        <v>161</v>
      </c>
      <c r="P30" s="24">
        <f>142/(118+142)</f>
        <v>0.5461538461538461</v>
      </c>
      <c r="Q30" s="24">
        <f>106/(106+150)</f>
        <v>0.4140625</v>
      </c>
      <c r="R30" s="27">
        <v>0.4277456647398844</v>
      </c>
      <c r="S30" s="24">
        <f>111/(111+144)</f>
        <v>0.43529411764705883</v>
      </c>
      <c r="T30" s="24">
        <f>79/(133+79)</f>
        <v>0.37264150943396224</v>
      </c>
      <c r="U30" s="24">
        <f>148/(148+155)</f>
        <v>0.48844884488448848</v>
      </c>
      <c r="V30" s="24">
        <f>115/(115+126)</f>
        <v>0.47717842323651455</v>
      </c>
      <c r="W30" s="27">
        <v>0.38872403560830859</v>
      </c>
      <c r="X30" s="24">
        <f>140/(140+148)</f>
        <v>0.4861111111111111</v>
      </c>
      <c r="Y30" s="24">
        <f>145/(145+133)</f>
        <v>0.52158273381294962</v>
      </c>
      <c r="Z30" s="24"/>
      <c r="AA30" s="24"/>
      <c r="AB30" s="24"/>
      <c r="AC30" s="24"/>
      <c r="AD30" s="24"/>
      <c r="AE30" s="24"/>
      <c r="AF30" s="24">
        <f t="shared" si="0"/>
        <v>0.45579427866281241</v>
      </c>
      <c r="AG30" s="24">
        <f t="shared" si="1"/>
        <v>5.70545627360622E-2</v>
      </c>
      <c r="AH30" s="24">
        <f t="shared" si="2"/>
        <v>10</v>
      </c>
    </row>
    <row r="31" spans="1:34" x14ac:dyDescent="0.25">
      <c r="A31" s="3">
        <v>28149</v>
      </c>
      <c r="B31" s="3">
        <v>176</v>
      </c>
      <c r="C31" s="3">
        <v>2</v>
      </c>
      <c r="D31" s="1" t="s">
        <v>0</v>
      </c>
      <c r="E31" s="3" t="s">
        <v>21</v>
      </c>
      <c r="F31" s="1" t="s">
        <v>4</v>
      </c>
      <c r="G31" s="3" t="s">
        <v>3</v>
      </c>
      <c r="H31" s="1"/>
      <c r="I31" s="3"/>
      <c r="J31" s="1"/>
      <c r="K31" s="3"/>
      <c r="L31" s="14">
        <v>1</v>
      </c>
      <c r="M31" s="14" t="s">
        <v>119</v>
      </c>
      <c r="N31" s="23">
        <v>28149</v>
      </c>
      <c r="O31" s="23">
        <v>176</v>
      </c>
      <c r="P31" s="24">
        <v>0.70142180089999995</v>
      </c>
      <c r="Q31" s="24">
        <v>0.60909090909999997</v>
      </c>
      <c r="R31" s="24">
        <v>0.71259842520000005</v>
      </c>
      <c r="S31" s="24">
        <v>0.72384937240000002</v>
      </c>
      <c r="T31" s="24">
        <v>0.67500000000000004</v>
      </c>
      <c r="U31" s="24">
        <v>0.69270833330000003</v>
      </c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>
        <f t="shared" si="0"/>
        <v>0.68577814014999994</v>
      </c>
      <c r="AG31" s="24">
        <f t="shared" si="1"/>
        <v>4.1130518657471915E-2</v>
      </c>
      <c r="AH31" s="24">
        <f t="shared" si="2"/>
        <v>6</v>
      </c>
    </row>
    <row r="32" spans="1:34" x14ac:dyDescent="0.25">
      <c r="A32" s="3">
        <v>28151</v>
      </c>
      <c r="B32" s="3">
        <v>181</v>
      </c>
      <c r="C32" s="3">
        <v>1</v>
      </c>
      <c r="D32" s="1" t="s">
        <v>16</v>
      </c>
      <c r="E32" s="3" t="s">
        <v>3</v>
      </c>
      <c r="F32" s="3"/>
      <c r="G32" s="3"/>
      <c r="H32" s="3"/>
      <c r="I32" s="3"/>
      <c r="J32" s="3"/>
      <c r="K32" s="3"/>
      <c r="L32" s="14">
        <v>1</v>
      </c>
      <c r="N32" s="23">
        <v>28151</v>
      </c>
      <c r="O32" s="23">
        <v>181</v>
      </c>
      <c r="P32" s="24">
        <f>111/(47+111)</f>
        <v>0.70253164556962022</v>
      </c>
      <c r="Q32" s="24">
        <f>115/(115+48)</f>
        <v>0.70552147239263807</v>
      </c>
      <c r="R32" s="24">
        <f>115/(115+52)</f>
        <v>0.68862275449101795</v>
      </c>
      <c r="S32" s="24">
        <f>149/(149+64)</f>
        <v>0.69953051643192488</v>
      </c>
      <c r="T32" s="24">
        <f>73/(73+28)</f>
        <v>0.72277227722772275</v>
      </c>
      <c r="U32" s="24">
        <f>71/(71+33)</f>
        <v>0.68269230769230771</v>
      </c>
      <c r="V32" s="24">
        <f>99/(99+56)</f>
        <v>0.6387096774193548</v>
      </c>
      <c r="W32" s="24"/>
      <c r="X32" s="24"/>
      <c r="Y32" s="24"/>
      <c r="Z32" s="24"/>
      <c r="AA32" s="24"/>
      <c r="AB32" s="24"/>
      <c r="AC32" s="24"/>
      <c r="AD32" s="24"/>
      <c r="AE32" s="24"/>
      <c r="AF32" s="24">
        <f t="shared" si="0"/>
        <v>0.69148295017494088</v>
      </c>
      <c r="AG32" s="24">
        <f t="shared" si="1"/>
        <v>2.6562547311333461E-2</v>
      </c>
      <c r="AH32" s="24">
        <f t="shared" si="2"/>
        <v>7</v>
      </c>
    </row>
    <row r="33" spans="1:34" x14ac:dyDescent="0.25">
      <c r="A33" s="3">
        <v>28153</v>
      </c>
      <c r="B33" s="3">
        <v>195</v>
      </c>
      <c r="C33" s="3">
        <v>1</v>
      </c>
      <c r="D33" s="1" t="s">
        <v>35</v>
      </c>
      <c r="E33" s="3" t="s">
        <v>3</v>
      </c>
      <c r="F33" s="18"/>
      <c r="G33" s="3"/>
      <c r="H33" s="3"/>
      <c r="I33" s="3"/>
      <c r="J33" s="3"/>
      <c r="K33" s="3"/>
      <c r="L33" s="14">
        <v>1</v>
      </c>
      <c r="N33" s="23">
        <v>28153</v>
      </c>
      <c r="O33" s="23">
        <v>195</v>
      </c>
      <c r="P33" s="24">
        <f>146/207</f>
        <v>0.70531400966183577</v>
      </c>
      <c r="Q33" s="24">
        <f>111/159</f>
        <v>0.69811320754716977</v>
      </c>
      <c r="R33" s="24">
        <f>153/181</f>
        <v>0.84530386740331487</v>
      </c>
      <c r="S33" s="24">
        <f>123/161</f>
        <v>0.7639751552795031</v>
      </c>
      <c r="T33" s="24">
        <f>201/267</f>
        <v>0.7528089887640449</v>
      </c>
      <c r="U33" s="24">
        <f>116/156</f>
        <v>0.74358974358974361</v>
      </c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>
        <f t="shared" si="0"/>
        <v>0.7515174953742686</v>
      </c>
      <c r="AG33" s="24">
        <f t="shared" si="1"/>
        <v>5.2919512700924667E-2</v>
      </c>
      <c r="AH33" s="24">
        <f t="shared" si="2"/>
        <v>6</v>
      </c>
    </row>
    <row r="34" spans="1:34" x14ac:dyDescent="0.25">
      <c r="A34" s="3">
        <v>25174</v>
      </c>
      <c r="B34" s="3">
        <v>208</v>
      </c>
      <c r="C34" s="3">
        <v>2</v>
      </c>
      <c r="D34" s="1" t="s">
        <v>34</v>
      </c>
      <c r="E34" s="3" t="s">
        <v>3</v>
      </c>
      <c r="F34" s="1" t="s">
        <v>67</v>
      </c>
      <c r="G34" s="3" t="s">
        <v>21</v>
      </c>
      <c r="H34" s="3"/>
      <c r="I34" s="3"/>
      <c r="J34" s="3"/>
      <c r="K34" s="3"/>
      <c r="L34" s="14">
        <v>1</v>
      </c>
      <c r="N34" s="21">
        <v>25174</v>
      </c>
      <c r="O34" s="21">
        <v>208</v>
      </c>
      <c r="P34" s="25">
        <f>106/(106+81)</f>
        <v>0.5668449197860963</v>
      </c>
      <c r="Q34" s="28">
        <v>0.59845559845559848</v>
      </c>
      <c r="R34" s="28">
        <v>0.64615384615384619</v>
      </c>
      <c r="S34" s="28">
        <v>0.62898550724637681</v>
      </c>
      <c r="T34" s="28">
        <v>0.53144654088050314</v>
      </c>
      <c r="U34" s="28">
        <v>0.67289719626168221</v>
      </c>
      <c r="V34" s="28">
        <v>0.69</v>
      </c>
      <c r="W34" s="26">
        <f>99/147</f>
        <v>0.67346938775510201</v>
      </c>
      <c r="X34" s="26">
        <f>101/168</f>
        <v>0.60119047619047616</v>
      </c>
      <c r="Y34" s="26">
        <f>107/169</f>
        <v>0.63313609467455623</v>
      </c>
      <c r="Z34" s="26">
        <f>42/85</f>
        <v>0.49411764705882355</v>
      </c>
      <c r="AA34" s="26">
        <f>76/105</f>
        <v>0.72380952380952379</v>
      </c>
      <c r="AB34" s="26">
        <f>111/157</f>
        <v>0.70700636942675155</v>
      </c>
      <c r="AC34" s="25"/>
      <c r="AD34" s="25"/>
      <c r="AE34" s="25"/>
      <c r="AF34" s="25">
        <f t="shared" si="0"/>
        <v>0.62827023905379498</v>
      </c>
      <c r="AG34" s="25">
        <f t="shared" si="1"/>
        <v>6.8485569723598705E-2</v>
      </c>
      <c r="AH34" s="26">
        <f t="shared" si="2"/>
        <v>13</v>
      </c>
    </row>
    <row r="35" spans="1:34" x14ac:dyDescent="0.25">
      <c r="A35" s="18">
        <v>28154</v>
      </c>
      <c r="B35" s="18">
        <v>217</v>
      </c>
      <c r="C35" s="18">
        <v>1</v>
      </c>
      <c r="D35" s="1" t="s">
        <v>0</v>
      </c>
      <c r="E35" s="18" t="s">
        <v>21</v>
      </c>
      <c r="F35" s="18"/>
      <c r="G35" s="18"/>
      <c r="H35" s="18"/>
      <c r="I35" s="18"/>
      <c r="J35" s="18"/>
      <c r="K35" s="18"/>
      <c r="L35" s="14">
        <v>1</v>
      </c>
      <c r="N35" s="23">
        <v>28154</v>
      </c>
      <c r="O35" s="23">
        <v>217</v>
      </c>
      <c r="P35" s="24">
        <f>126/(126+65)</f>
        <v>0.65968586387434558</v>
      </c>
      <c r="Q35" s="24">
        <f>146/(146+60)</f>
        <v>0.70873786407766992</v>
      </c>
      <c r="R35" s="27">
        <v>0.62745098039215685</v>
      </c>
      <c r="S35" s="24">
        <f>166/(166+61)</f>
        <v>0.7312775330396476</v>
      </c>
      <c r="T35" s="27">
        <v>0.65594855305466238</v>
      </c>
      <c r="U35" s="24">
        <f>135/(135+59)</f>
        <v>0.69587628865979378</v>
      </c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>
        <f t="shared" si="0"/>
        <v>0.67982951384971269</v>
      </c>
      <c r="AG35" s="24">
        <f t="shared" si="1"/>
        <v>3.8625556470463264E-2</v>
      </c>
      <c r="AH35" s="24">
        <f t="shared" si="2"/>
        <v>6</v>
      </c>
    </row>
    <row r="36" spans="1:34" x14ac:dyDescent="0.25">
      <c r="A36" s="18">
        <v>28155</v>
      </c>
      <c r="B36" s="18">
        <v>223</v>
      </c>
      <c r="C36" s="18">
        <v>1</v>
      </c>
      <c r="D36" s="1" t="s">
        <v>19</v>
      </c>
      <c r="E36" s="18" t="s">
        <v>3</v>
      </c>
      <c r="F36" s="18"/>
      <c r="G36" s="18"/>
      <c r="H36" s="18"/>
      <c r="I36" s="18"/>
      <c r="J36" s="18"/>
      <c r="K36" s="18"/>
      <c r="L36" s="14">
        <v>1</v>
      </c>
      <c r="N36" s="31">
        <v>28155</v>
      </c>
      <c r="O36" s="31">
        <v>223</v>
      </c>
      <c r="P36" s="30">
        <f>119/(119+62)</f>
        <v>0.65745856353591159</v>
      </c>
      <c r="Q36" s="30">
        <f>146/(146+84)</f>
        <v>0.63478260869565217</v>
      </c>
      <c r="R36" s="30">
        <f>160/(160+78)</f>
        <v>0.67226890756302526</v>
      </c>
      <c r="S36" s="30">
        <f>209/(209+85)</f>
        <v>0.71088435374149661</v>
      </c>
      <c r="T36" s="30">
        <f>140/(140+48)</f>
        <v>0.74468085106382975</v>
      </c>
      <c r="U36" s="30">
        <f>88/(88+41)</f>
        <v>0.68217054263565891</v>
      </c>
      <c r="V36" s="30">
        <f>88/(88+53)</f>
        <v>0.62411347517730498</v>
      </c>
      <c r="W36" s="30">
        <f>141/(141+62)</f>
        <v>0.69458128078817738</v>
      </c>
      <c r="X36" s="30">
        <f>60/(60+46)</f>
        <v>0.56603773584905659</v>
      </c>
      <c r="Y36" s="30"/>
      <c r="Z36" s="30"/>
      <c r="AA36" s="30"/>
      <c r="AB36" s="30"/>
      <c r="AC36" s="30"/>
      <c r="AD36" s="30"/>
      <c r="AE36" s="30"/>
      <c r="AF36" s="24">
        <f t="shared" si="0"/>
        <v>0.66521981322779045</v>
      </c>
      <c r="AG36" s="24">
        <f t="shared" si="1"/>
        <v>5.2573633419717505E-2</v>
      </c>
      <c r="AH36" s="24">
        <f t="shared" si="2"/>
        <v>9</v>
      </c>
    </row>
    <row r="37" spans="1:34" x14ac:dyDescent="0.25">
      <c r="A37" s="3">
        <v>28156</v>
      </c>
      <c r="B37" s="3">
        <v>227</v>
      </c>
      <c r="C37" s="3">
        <v>1</v>
      </c>
      <c r="D37" s="1" t="s">
        <v>11</v>
      </c>
      <c r="E37" s="3" t="s">
        <v>3</v>
      </c>
      <c r="F37" s="18"/>
      <c r="G37" s="3"/>
      <c r="H37" s="18"/>
      <c r="I37" s="3"/>
      <c r="J37" s="18"/>
      <c r="K37" s="3"/>
      <c r="L37" s="14">
        <v>1</v>
      </c>
      <c r="N37" s="29">
        <v>28156</v>
      </c>
      <c r="O37" s="29">
        <v>227</v>
      </c>
      <c r="P37" s="26">
        <f>135/(135+90)</f>
        <v>0.6</v>
      </c>
      <c r="Q37" s="26">
        <f>59/(59+40)</f>
        <v>0.59595959595959591</v>
      </c>
      <c r="R37" s="26">
        <f>103/(103+63)</f>
        <v>0.62048192771084343</v>
      </c>
      <c r="S37" s="26">
        <f>84/(84+42)</f>
        <v>0.66666666666666663</v>
      </c>
      <c r="T37" s="26">
        <f>111/(111+47)</f>
        <v>0.70253164556962022</v>
      </c>
      <c r="U37" s="26">
        <f>108/(108+59)</f>
        <v>0.6467065868263473</v>
      </c>
      <c r="V37" s="26">
        <f>155/(155+94)</f>
        <v>0.6224899598393574</v>
      </c>
      <c r="W37" s="26"/>
      <c r="X37" s="26"/>
      <c r="Y37" s="26"/>
      <c r="Z37" s="26"/>
      <c r="AA37" s="26"/>
      <c r="AB37" s="26"/>
      <c r="AC37" s="26"/>
      <c r="AD37" s="26"/>
      <c r="AE37" s="26"/>
      <c r="AF37" s="25">
        <f t="shared" si="0"/>
        <v>0.6364051975103473</v>
      </c>
      <c r="AG37" s="25">
        <f t="shared" si="1"/>
        <v>3.8303506631011938E-2</v>
      </c>
      <c r="AH37" s="26">
        <f t="shared" si="2"/>
        <v>7</v>
      </c>
    </row>
    <row r="38" spans="1:34" x14ac:dyDescent="0.25">
      <c r="A38" s="18">
        <v>28157</v>
      </c>
      <c r="B38" s="18">
        <v>228</v>
      </c>
      <c r="C38" s="18">
        <v>1</v>
      </c>
      <c r="D38" s="1" t="s">
        <v>31</v>
      </c>
      <c r="E38" s="18" t="s">
        <v>21</v>
      </c>
      <c r="F38" s="18"/>
      <c r="G38" s="18"/>
      <c r="H38" s="18"/>
      <c r="I38" s="18"/>
      <c r="J38" s="18"/>
      <c r="K38" s="18"/>
      <c r="L38" s="14">
        <v>1</v>
      </c>
      <c r="N38" s="23">
        <v>28157</v>
      </c>
      <c r="O38" s="23">
        <v>228</v>
      </c>
      <c r="P38" s="24">
        <f>118/(118+49)</f>
        <v>0.70658682634730541</v>
      </c>
      <c r="Q38" s="27">
        <v>0.65702479338842978</v>
      </c>
      <c r="R38" s="27">
        <v>0.65625</v>
      </c>
      <c r="S38" s="24">
        <f>218/(218+96)</f>
        <v>0.69426751592356684</v>
      </c>
      <c r="T38" s="24">
        <f>92/(92+33)</f>
        <v>0.73599999999999999</v>
      </c>
      <c r="U38" s="24">
        <f>79/(79+38)</f>
        <v>0.67521367521367526</v>
      </c>
      <c r="V38" s="24">
        <f>89/(89+33)</f>
        <v>0.72950819672131151</v>
      </c>
      <c r="W38" s="24">
        <f>87/(87+32)</f>
        <v>0.73109243697478987</v>
      </c>
      <c r="X38" s="24"/>
      <c r="Y38" s="24"/>
      <c r="Z38" s="24"/>
      <c r="AA38" s="24"/>
      <c r="AB38" s="24"/>
      <c r="AC38" s="24"/>
      <c r="AD38" s="24"/>
      <c r="AE38" s="24"/>
      <c r="AF38" s="24">
        <f t="shared" si="0"/>
        <v>0.69824293057113485</v>
      </c>
      <c r="AG38" s="24">
        <f t="shared" si="1"/>
        <v>3.2864038969427876E-2</v>
      </c>
      <c r="AH38" s="24">
        <f t="shared" si="2"/>
        <v>8</v>
      </c>
    </row>
    <row r="39" spans="1:34" x14ac:dyDescent="0.25">
      <c r="A39" s="3">
        <v>29653</v>
      </c>
      <c r="B39" s="3">
        <v>229</v>
      </c>
      <c r="C39" s="3">
        <v>2</v>
      </c>
      <c r="D39" s="1">
        <v>41894</v>
      </c>
      <c r="E39" s="3" t="s">
        <v>40</v>
      </c>
      <c r="F39" s="1" t="s">
        <v>26</v>
      </c>
      <c r="G39" s="3" t="s">
        <v>21</v>
      </c>
      <c r="H39" s="3"/>
      <c r="I39" s="3"/>
      <c r="J39" s="3"/>
      <c r="K39" s="3"/>
      <c r="L39" s="14">
        <v>1</v>
      </c>
      <c r="N39" s="21">
        <v>29653</v>
      </c>
      <c r="O39" s="21">
        <v>229</v>
      </c>
      <c r="P39" s="25">
        <v>0.84615384615384603</v>
      </c>
      <c r="Q39" s="25">
        <v>0.75577557755775582</v>
      </c>
      <c r="R39" s="25">
        <v>0.90612244897959182</v>
      </c>
      <c r="S39" s="25">
        <v>0.79729729729729726</v>
      </c>
      <c r="T39" s="25">
        <v>0.84331797235023043</v>
      </c>
      <c r="U39" s="25">
        <v>0.85283018867924532</v>
      </c>
      <c r="V39" s="25">
        <v>0.88557213930348255</v>
      </c>
      <c r="W39" s="25">
        <v>0.76442307692307687</v>
      </c>
      <c r="X39" s="25"/>
      <c r="Y39" s="25"/>
      <c r="Z39" s="25"/>
      <c r="AA39" s="25"/>
      <c r="AB39" s="25"/>
      <c r="AC39" s="25"/>
      <c r="AD39" s="25"/>
      <c r="AE39" s="25"/>
      <c r="AF39" s="25">
        <f t="shared" si="0"/>
        <v>0.83143656840556579</v>
      </c>
      <c r="AG39" s="25">
        <f t="shared" si="1"/>
        <v>5.4386155295182065E-2</v>
      </c>
      <c r="AH39" s="26">
        <f t="shared" si="2"/>
        <v>8</v>
      </c>
    </row>
    <row r="40" spans="1:34" x14ac:dyDescent="0.25">
      <c r="A40" s="3">
        <v>28159</v>
      </c>
      <c r="B40" s="3">
        <v>233</v>
      </c>
      <c r="C40" s="3">
        <v>1</v>
      </c>
      <c r="D40" s="1" t="s">
        <v>45</v>
      </c>
      <c r="E40" s="3" t="s">
        <v>40</v>
      </c>
      <c r="F40" s="18"/>
      <c r="G40" s="3"/>
      <c r="H40" s="3"/>
      <c r="I40" s="3"/>
      <c r="J40" s="3"/>
      <c r="K40" s="3"/>
      <c r="L40" s="14">
        <v>1</v>
      </c>
      <c r="N40" s="23">
        <v>28159</v>
      </c>
      <c r="O40" s="23">
        <v>233</v>
      </c>
      <c r="P40" s="24">
        <v>0.46835443037974678</v>
      </c>
      <c r="Q40" s="24">
        <v>0.50306748466257667</v>
      </c>
      <c r="R40" s="24">
        <v>0.60563380281690138</v>
      </c>
      <c r="S40" s="24">
        <v>0.51851851851851849</v>
      </c>
      <c r="T40" s="24">
        <v>0.53431372549019607</v>
      </c>
      <c r="U40" s="24">
        <v>0.42574257425742568</v>
      </c>
      <c r="V40" s="24">
        <v>0.45098039215686281</v>
      </c>
      <c r="W40" s="24"/>
      <c r="X40" s="24"/>
      <c r="Y40" s="24"/>
      <c r="Z40" s="24"/>
      <c r="AA40" s="24"/>
      <c r="AB40" s="24"/>
      <c r="AC40" s="24"/>
      <c r="AD40" s="24"/>
      <c r="AE40" s="24"/>
      <c r="AF40" s="24">
        <f t="shared" si="0"/>
        <v>0.50094441832603254</v>
      </c>
      <c r="AG40" s="24">
        <f t="shared" si="1"/>
        <v>6.0000781759670607E-2</v>
      </c>
      <c r="AH40" s="24">
        <f t="shared" si="2"/>
        <v>7</v>
      </c>
    </row>
    <row r="41" spans="1:34" x14ac:dyDescent="0.25">
      <c r="A41" s="3">
        <v>28275</v>
      </c>
      <c r="B41" s="3">
        <v>235</v>
      </c>
      <c r="C41" s="3">
        <v>1</v>
      </c>
      <c r="D41" s="1" t="s">
        <v>32</v>
      </c>
      <c r="E41" s="3" t="s">
        <v>21</v>
      </c>
      <c r="F41" s="18"/>
      <c r="G41" s="3"/>
      <c r="H41" s="3"/>
      <c r="I41" s="3"/>
      <c r="J41" s="3"/>
      <c r="K41" s="3"/>
      <c r="L41" s="14">
        <v>1</v>
      </c>
      <c r="N41" s="21">
        <v>28275</v>
      </c>
      <c r="O41" s="21">
        <v>235</v>
      </c>
      <c r="P41" s="25">
        <f>128/210</f>
        <v>0.60952380952380958</v>
      </c>
      <c r="Q41" s="25">
        <f>177/284</f>
        <v>0.62323943661971826</v>
      </c>
      <c r="R41" s="25">
        <f>176/324</f>
        <v>0.54320987654320985</v>
      </c>
      <c r="S41" s="25">
        <f>101/(153)</f>
        <v>0.66013071895424835</v>
      </c>
      <c r="T41" s="25">
        <f>135/266</f>
        <v>0.50751879699248126</v>
      </c>
      <c r="U41" s="25">
        <f>141/268</f>
        <v>0.52611940298507465</v>
      </c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>
        <f t="shared" si="0"/>
        <v>0.57829034026975701</v>
      </c>
      <c r="AG41" s="25">
        <f t="shared" si="1"/>
        <v>6.108167551372843E-2</v>
      </c>
      <c r="AH41" s="26">
        <f t="shared" si="2"/>
        <v>6</v>
      </c>
    </row>
    <row r="42" spans="1:34" x14ac:dyDescent="0.25">
      <c r="A42" s="3">
        <v>28160</v>
      </c>
      <c r="B42" s="3">
        <v>237</v>
      </c>
      <c r="C42" s="3">
        <v>2</v>
      </c>
      <c r="D42" s="1" t="s">
        <v>38</v>
      </c>
      <c r="E42" s="3" t="s">
        <v>21</v>
      </c>
      <c r="F42" s="1" t="s">
        <v>0</v>
      </c>
      <c r="G42" s="3" t="s">
        <v>21</v>
      </c>
      <c r="H42" s="3"/>
      <c r="I42" s="3"/>
      <c r="J42" s="3"/>
      <c r="K42" s="3"/>
      <c r="L42" s="14">
        <v>1</v>
      </c>
      <c r="N42" s="23">
        <v>28160</v>
      </c>
      <c r="O42" s="23">
        <v>237</v>
      </c>
      <c r="P42" s="24">
        <f>162/(162+72)</f>
        <v>0.69230769230769229</v>
      </c>
      <c r="Q42" s="27">
        <v>0.68881118881118886</v>
      </c>
      <c r="R42" s="24">
        <f>88/(88+78)</f>
        <v>0.53012048192771088</v>
      </c>
      <c r="S42" s="27">
        <v>0.67032967032967028</v>
      </c>
      <c r="T42" s="27">
        <v>0.66942148760330578</v>
      </c>
      <c r="U42" s="24">
        <f>114/(114+62)</f>
        <v>0.64772727272727271</v>
      </c>
      <c r="V42" s="27">
        <v>0.64435146443514646</v>
      </c>
      <c r="W42" s="24"/>
      <c r="X42" s="24"/>
      <c r="Y42" s="24"/>
      <c r="Z42" s="24"/>
      <c r="AA42" s="24"/>
      <c r="AB42" s="24"/>
      <c r="AC42" s="24"/>
      <c r="AD42" s="24"/>
      <c r="AE42" s="24"/>
      <c r="AF42" s="24">
        <f t="shared" si="0"/>
        <v>0.64900989402028386</v>
      </c>
      <c r="AG42" s="24">
        <f t="shared" si="1"/>
        <v>5.5509829173683245E-2</v>
      </c>
      <c r="AH42" s="24">
        <f t="shared" si="2"/>
        <v>7</v>
      </c>
    </row>
    <row r="43" spans="1:34" x14ac:dyDescent="0.25">
      <c r="A43" s="3">
        <v>28161</v>
      </c>
      <c r="B43" s="3">
        <v>239</v>
      </c>
      <c r="C43" s="3">
        <v>2</v>
      </c>
      <c r="D43" s="1" t="s">
        <v>8</v>
      </c>
      <c r="E43" s="3" t="s">
        <v>3</v>
      </c>
      <c r="F43" s="1" t="s">
        <v>35</v>
      </c>
      <c r="G43" s="3" t="s">
        <v>3</v>
      </c>
      <c r="H43" s="3"/>
      <c r="I43" s="3"/>
      <c r="J43" s="3"/>
      <c r="K43" s="3"/>
      <c r="L43" s="14">
        <v>1</v>
      </c>
      <c r="N43" s="23">
        <v>28161</v>
      </c>
      <c r="O43" s="23">
        <v>239</v>
      </c>
      <c r="P43" s="24">
        <v>0.469072164948454</v>
      </c>
      <c r="Q43" s="24">
        <v>0.43421052631578899</v>
      </c>
      <c r="R43" s="24">
        <f>164/289</f>
        <v>0.56747404844290661</v>
      </c>
      <c r="S43" s="24">
        <f>160/265</f>
        <v>0.60377358490566035</v>
      </c>
      <c r="T43" s="24">
        <f>31/63</f>
        <v>0.49206349206349204</v>
      </c>
      <c r="U43" s="24">
        <f>100/156</f>
        <v>0.64102564102564108</v>
      </c>
      <c r="V43" s="24">
        <f>50/90</f>
        <v>0.55555555555555558</v>
      </c>
      <c r="W43" s="24"/>
      <c r="X43" s="24"/>
      <c r="Y43" s="24"/>
      <c r="Z43" s="24"/>
      <c r="AA43" s="24"/>
      <c r="AB43" s="24"/>
      <c r="AC43" s="24"/>
      <c r="AD43" s="24"/>
      <c r="AE43" s="24"/>
      <c r="AF43" s="24">
        <f t="shared" si="0"/>
        <v>0.53759643046535699</v>
      </c>
      <c r="AG43" s="24">
        <f t="shared" si="1"/>
        <v>7.499965357466637E-2</v>
      </c>
      <c r="AH43" s="24">
        <f t="shared" si="2"/>
        <v>7</v>
      </c>
    </row>
    <row r="44" spans="1:34" x14ac:dyDescent="0.25">
      <c r="A44" s="3">
        <v>28162</v>
      </c>
      <c r="B44" s="3">
        <v>256</v>
      </c>
      <c r="C44" s="3">
        <v>2</v>
      </c>
      <c r="D44" s="1" t="s">
        <v>63</v>
      </c>
      <c r="E44" s="3" t="s">
        <v>3</v>
      </c>
      <c r="F44" s="1" t="s">
        <v>49</v>
      </c>
      <c r="G44" s="3" t="s">
        <v>40</v>
      </c>
      <c r="H44" s="18"/>
      <c r="I44" s="3"/>
      <c r="J44" s="18"/>
      <c r="K44" s="3"/>
      <c r="L44" s="14">
        <v>1</v>
      </c>
      <c r="N44" s="23">
        <v>28162</v>
      </c>
      <c r="O44" s="23">
        <v>256</v>
      </c>
      <c r="P44" s="24">
        <f>107/(66+107)</f>
        <v>0.61849710982658956</v>
      </c>
      <c r="Q44" s="24">
        <f>141/(141+55)</f>
        <v>0.71938775510204078</v>
      </c>
      <c r="R44" s="24">
        <f>86/(86+34)</f>
        <v>0.71666666666666667</v>
      </c>
      <c r="S44" s="24">
        <f>117/(117+36)</f>
        <v>0.76470588235294112</v>
      </c>
      <c r="T44" s="24">
        <f>100/140</f>
        <v>0.7142857142857143</v>
      </c>
      <c r="U44" s="24">
        <f>137/(137+51)</f>
        <v>0.72872340425531912</v>
      </c>
      <c r="V44" s="24">
        <f>124/(124+37)</f>
        <v>0.77018633540372672</v>
      </c>
      <c r="W44" s="24">
        <f>130/(130+56)</f>
        <v>0.69892473118279574</v>
      </c>
      <c r="X44" s="24">
        <f>74/(74+27)</f>
        <v>0.73267326732673266</v>
      </c>
      <c r="Y44" s="24">
        <f>171/(171+57)</f>
        <v>0.75</v>
      </c>
      <c r="Z44" s="24">
        <f>117/(117+46)</f>
        <v>0.71779141104294475</v>
      </c>
      <c r="AA44" s="24"/>
      <c r="AB44" s="24"/>
      <c r="AC44" s="24"/>
      <c r="AD44" s="24"/>
      <c r="AE44" s="24"/>
      <c r="AF44" s="24">
        <f t="shared" si="0"/>
        <v>0.72107657067686104</v>
      </c>
      <c r="AG44" s="24">
        <f t="shared" si="1"/>
        <v>4.0542897240708656E-2</v>
      </c>
      <c r="AH44" s="24">
        <f t="shared" si="2"/>
        <v>11</v>
      </c>
    </row>
    <row r="45" spans="1:34" x14ac:dyDescent="0.25">
      <c r="A45" s="3">
        <v>28164</v>
      </c>
      <c r="B45" s="3">
        <v>280</v>
      </c>
      <c r="C45" s="3">
        <v>1</v>
      </c>
      <c r="D45" s="1" t="s">
        <v>23</v>
      </c>
      <c r="E45" s="3" t="s">
        <v>33</v>
      </c>
      <c r="F45" s="18"/>
      <c r="G45" s="3"/>
      <c r="H45" s="3"/>
      <c r="I45" s="3"/>
      <c r="J45" s="3"/>
      <c r="K45" s="3"/>
      <c r="L45" s="14">
        <v>1</v>
      </c>
      <c r="N45" s="23">
        <v>28164</v>
      </c>
      <c r="O45" s="23">
        <v>280</v>
      </c>
      <c r="P45" s="24">
        <f>142/(142+50)</f>
        <v>0.73958333333333337</v>
      </c>
      <c r="Q45" s="27">
        <v>0.7078651685393258</v>
      </c>
      <c r="R45" s="24">
        <f>154/(154+59)</f>
        <v>0.72300469483568075</v>
      </c>
      <c r="S45" s="27">
        <v>0.6681715575620768</v>
      </c>
      <c r="T45" s="24">
        <f>156/(156+64)</f>
        <v>0.70909090909090911</v>
      </c>
      <c r="U45" s="24">
        <v>0.70645161290322578</v>
      </c>
      <c r="V45" s="24">
        <v>0.72330097087378642</v>
      </c>
      <c r="W45" s="24"/>
      <c r="X45" s="24"/>
      <c r="Y45" s="24"/>
      <c r="Z45" s="24"/>
      <c r="AA45" s="24"/>
      <c r="AB45" s="24"/>
      <c r="AC45" s="24"/>
      <c r="AD45" s="24"/>
      <c r="AE45" s="24"/>
      <c r="AF45" s="24">
        <f t="shared" si="0"/>
        <v>0.71106689244833388</v>
      </c>
      <c r="AG45" s="24">
        <f t="shared" si="1"/>
        <v>2.2289150230583449E-2</v>
      </c>
      <c r="AH45" s="24">
        <f t="shared" si="2"/>
        <v>7</v>
      </c>
    </row>
    <row r="46" spans="1:34" x14ac:dyDescent="0.25">
      <c r="A46" s="3">
        <v>28165</v>
      </c>
      <c r="B46" s="3">
        <v>287</v>
      </c>
      <c r="C46" s="3">
        <v>1</v>
      </c>
      <c r="D46" s="1" t="s">
        <v>11</v>
      </c>
      <c r="E46" s="3" t="s">
        <v>3</v>
      </c>
      <c r="F46" s="18"/>
      <c r="G46" s="3"/>
      <c r="H46" s="3"/>
      <c r="I46" s="3"/>
      <c r="J46" s="3"/>
      <c r="K46" s="3"/>
      <c r="L46" s="14">
        <v>1</v>
      </c>
      <c r="N46" s="29">
        <v>28165</v>
      </c>
      <c r="O46" s="29">
        <v>287</v>
      </c>
      <c r="P46" s="26">
        <f>134/(134+53)</f>
        <v>0.71657754010695185</v>
      </c>
      <c r="Q46" s="26">
        <f>152/(152+69)</f>
        <v>0.68778280542986425</v>
      </c>
      <c r="R46" s="26">
        <f>122/(122+38)</f>
        <v>0.76249999999999996</v>
      </c>
      <c r="S46" s="26">
        <f>155/(155+52)</f>
        <v>0.74879227053140096</v>
      </c>
      <c r="T46" s="26">
        <f>86/(86+37)</f>
        <v>0.69918699186991873</v>
      </c>
      <c r="U46" s="26">
        <f>130/(130+46)</f>
        <v>0.73863636363636365</v>
      </c>
      <c r="V46" s="26">
        <f>90/(90+26)</f>
        <v>0.77586206896551724</v>
      </c>
      <c r="W46" s="26">
        <f>130/(130+41)</f>
        <v>0.76023391812865493</v>
      </c>
      <c r="X46" s="26">
        <f>139/(139+60)</f>
        <v>0.69849246231155782</v>
      </c>
      <c r="Y46" s="26"/>
      <c r="Z46" s="26"/>
      <c r="AA46" s="26"/>
      <c r="AB46" s="26"/>
      <c r="AC46" s="26"/>
      <c r="AD46" s="26"/>
      <c r="AE46" s="26"/>
      <c r="AF46" s="25">
        <f t="shared" si="0"/>
        <v>0.73200715788669202</v>
      </c>
      <c r="AG46" s="25">
        <f t="shared" si="1"/>
        <v>3.2345338897050109E-2</v>
      </c>
      <c r="AH46" s="26">
        <f t="shared" si="2"/>
        <v>9</v>
      </c>
    </row>
    <row r="47" spans="1:34" x14ac:dyDescent="0.25">
      <c r="A47" s="3">
        <v>25175</v>
      </c>
      <c r="B47" s="3">
        <v>301</v>
      </c>
      <c r="C47" s="3">
        <v>1</v>
      </c>
      <c r="D47" s="1" t="s">
        <v>37</v>
      </c>
      <c r="E47" s="3" t="s">
        <v>21</v>
      </c>
      <c r="F47" s="3"/>
      <c r="G47" s="3"/>
      <c r="H47" s="3"/>
      <c r="I47" s="3"/>
      <c r="J47" s="3"/>
      <c r="K47" s="3"/>
      <c r="L47" s="14">
        <v>1</v>
      </c>
      <c r="N47" s="21">
        <v>25175</v>
      </c>
      <c r="O47" s="21">
        <v>301</v>
      </c>
      <c r="P47" s="25">
        <v>0.67543859649122806</v>
      </c>
      <c r="Q47" s="25">
        <v>0.6913183279742765</v>
      </c>
      <c r="R47" s="25">
        <v>0.68604651162790697</v>
      </c>
      <c r="S47" s="25">
        <v>0.63722397476340698</v>
      </c>
      <c r="T47" s="25">
        <v>0.68150684931506844</v>
      </c>
      <c r="U47" s="25">
        <v>0.66666666666666663</v>
      </c>
      <c r="V47" s="25">
        <v>0.75423728813559321</v>
      </c>
      <c r="W47" s="25">
        <v>0.70967741935483875</v>
      </c>
      <c r="X47" s="25"/>
      <c r="Y47" s="25"/>
      <c r="Z47" s="25"/>
      <c r="AA47" s="25"/>
      <c r="AB47" s="25"/>
      <c r="AC47" s="25"/>
      <c r="AD47" s="25"/>
      <c r="AE47" s="25"/>
      <c r="AF47" s="25">
        <f t="shared" si="0"/>
        <v>0.68776445429112332</v>
      </c>
      <c r="AG47" s="25">
        <f t="shared" si="1"/>
        <v>3.4027170081790736E-2</v>
      </c>
      <c r="AH47" s="26">
        <f t="shared" si="2"/>
        <v>8</v>
      </c>
    </row>
    <row r="48" spans="1:34" x14ac:dyDescent="0.25">
      <c r="A48" s="3">
        <v>25177</v>
      </c>
      <c r="B48" s="3">
        <v>304</v>
      </c>
      <c r="C48" s="3">
        <v>3</v>
      </c>
      <c r="D48" s="1" t="s">
        <v>67</v>
      </c>
      <c r="E48" s="3" t="s">
        <v>21</v>
      </c>
      <c r="F48" s="1" t="s">
        <v>76</v>
      </c>
      <c r="G48" s="3" t="s">
        <v>3</v>
      </c>
      <c r="H48" s="1" t="s">
        <v>75</v>
      </c>
      <c r="I48" s="3" t="s">
        <v>21</v>
      </c>
      <c r="J48" s="1"/>
      <c r="K48" s="3"/>
      <c r="L48" s="14">
        <v>1</v>
      </c>
      <c r="M48" s="14" t="s">
        <v>119</v>
      </c>
      <c r="N48" s="21">
        <v>25177</v>
      </c>
      <c r="O48" s="21">
        <v>304</v>
      </c>
      <c r="P48" s="25">
        <v>0.65693430656934304</v>
      </c>
      <c r="Q48" s="25">
        <v>0.56818181818181823</v>
      </c>
      <c r="R48" s="25">
        <v>0.68965517241379315</v>
      </c>
      <c r="S48" s="25">
        <v>0.63576158940397354</v>
      </c>
      <c r="T48" s="25">
        <v>0.5892857142857143</v>
      </c>
      <c r="U48" s="25">
        <v>0.64393939393939392</v>
      </c>
      <c r="V48" s="25">
        <v>0.62</v>
      </c>
      <c r="W48" s="25"/>
      <c r="X48" s="25"/>
      <c r="Y48" s="25"/>
      <c r="Z48" s="25"/>
      <c r="AA48" s="25"/>
      <c r="AB48" s="25"/>
      <c r="AC48" s="25"/>
      <c r="AD48" s="25"/>
      <c r="AE48" s="25"/>
      <c r="AF48" s="25">
        <f t="shared" si="0"/>
        <v>0.62910828497057658</v>
      </c>
      <c r="AG48" s="25">
        <f t="shared" si="1"/>
        <v>4.0998523665742533E-2</v>
      </c>
      <c r="AH48" s="26">
        <f t="shared" si="2"/>
        <v>7</v>
      </c>
    </row>
    <row r="49" spans="1:34" x14ac:dyDescent="0.25">
      <c r="A49" s="3">
        <v>37525</v>
      </c>
      <c r="B49" s="3">
        <v>306</v>
      </c>
      <c r="C49" s="3">
        <v>1</v>
      </c>
      <c r="D49" s="1" t="s">
        <v>20</v>
      </c>
      <c r="E49" s="3" t="s">
        <v>21</v>
      </c>
      <c r="F49" s="18"/>
      <c r="G49" s="3"/>
      <c r="H49" s="18"/>
      <c r="I49" s="3"/>
      <c r="J49" s="18"/>
      <c r="K49" s="3"/>
      <c r="L49" s="14">
        <v>1</v>
      </c>
      <c r="N49" s="21">
        <v>37525</v>
      </c>
      <c r="O49" s="21">
        <v>306</v>
      </c>
      <c r="P49" s="25">
        <f>136/(136+67)</f>
        <v>0.66995073891625612</v>
      </c>
      <c r="Q49" s="28">
        <v>0.66216216216216217</v>
      </c>
      <c r="R49" s="25">
        <f>144/(144+80)</f>
        <v>0.6428571428571429</v>
      </c>
      <c r="S49" s="25">
        <f>134/(134+76)</f>
        <v>0.63809523809523805</v>
      </c>
      <c r="T49" s="25">
        <f>177/(177+91)</f>
        <v>0.66044776119402981</v>
      </c>
      <c r="U49" s="25">
        <f>179/(179+63)</f>
        <v>0.73966942148760328</v>
      </c>
      <c r="V49" s="25">
        <f>209/(209+84)</f>
        <v>0.71331058020477811</v>
      </c>
      <c r="W49" s="28">
        <v>0.64473684210526316</v>
      </c>
      <c r="X49" s="25"/>
      <c r="Y49" s="25"/>
      <c r="Z49" s="25"/>
      <c r="AA49" s="25"/>
      <c r="AB49" s="25"/>
      <c r="AC49" s="25"/>
      <c r="AD49" s="25"/>
      <c r="AE49" s="25"/>
      <c r="AF49" s="25">
        <f t="shared" si="0"/>
        <v>0.67140373587780922</v>
      </c>
      <c r="AG49" s="25">
        <f t="shared" si="1"/>
        <v>3.6369975687369709E-2</v>
      </c>
      <c r="AH49" s="26">
        <f t="shared" si="2"/>
        <v>8</v>
      </c>
    </row>
    <row r="50" spans="1:34" x14ac:dyDescent="0.25">
      <c r="A50" s="3">
        <v>25179</v>
      </c>
      <c r="B50" s="3">
        <v>307</v>
      </c>
      <c r="C50" s="3">
        <v>1</v>
      </c>
      <c r="D50" s="1" t="s">
        <v>36</v>
      </c>
      <c r="E50" s="3" t="s">
        <v>3</v>
      </c>
      <c r="F50" s="18"/>
      <c r="G50" s="3"/>
      <c r="H50" s="18"/>
      <c r="I50" s="3"/>
      <c r="J50" s="18"/>
      <c r="K50" s="3"/>
      <c r="L50" s="14">
        <v>1</v>
      </c>
      <c r="N50" s="29">
        <v>25179</v>
      </c>
      <c r="O50" s="29">
        <v>307</v>
      </c>
      <c r="P50" s="26">
        <f>186/(186+75)</f>
        <v>0.71264367816091956</v>
      </c>
      <c r="Q50" s="26">
        <f>140/(140+45)</f>
        <v>0.7567567567567568</v>
      </c>
      <c r="R50" s="26">
        <f>149/(149+63)</f>
        <v>0.70283018867924529</v>
      </c>
      <c r="S50" s="26">
        <f>87/(87+40)</f>
        <v>0.68503937007874016</v>
      </c>
      <c r="T50" s="26">
        <f>72/(72+29)</f>
        <v>0.71287128712871284</v>
      </c>
      <c r="U50" s="26">
        <f>127/(127+48)</f>
        <v>0.72571428571428576</v>
      </c>
      <c r="V50" s="26">
        <f>142/(142+65)</f>
        <v>0.68599033816425126</v>
      </c>
      <c r="W50" s="26"/>
      <c r="X50" s="26"/>
      <c r="Y50" s="26"/>
      <c r="Z50" s="26"/>
      <c r="AA50" s="26"/>
      <c r="AB50" s="26"/>
      <c r="AC50" s="26"/>
      <c r="AD50" s="26"/>
      <c r="AE50" s="26"/>
      <c r="AF50" s="25">
        <f t="shared" si="0"/>
        <v>0.71169227209755892</v>
      </c>
      <c r="AG50" s="25">
        <f t="shared" si="1"/>
        <v>2.4762952872715099E-2</v>
      </c>
      <c r="AH50" s="26">
        <f t="shared" si="2"/>
        <v>7</v>
      </c>
    </row>
    <row r="51" spans="1:34" x14ac:dyDescent="0.25">
      <c r="A51" s="3">
        <v>28166</v>
      </c>
      <c r="B51" s="3">
        <v>309</v>
      </c>
      <c r="C51" s="3">
        <v>1</v>
      </c>
      <c r="D51" s="1" t="s">
        <v>23</v>
      </c>
      <c r="E51" s="3" t="s">
        <v>21</v>
      </c>
      <c r="F51" s="18"/>
      <c r="G51" s="3"/>
      <c r="H51" s="18"/>
      <c r="I51" s="3"/>
      <c r="J51" s="18"/>
      <c r="K51" s="3"/>
      <c r="L51" s="14">
        <v>1</v>
      </c>
      <c r="N51" s="23">
        <v>28166</v>
      </c>
      <c r="O51" s="23">
        <v>309</v>
      </c>
      <c r="P51" s="27">
        <v>0.70567375886524819</v>
      </c>
      <c r="Q51" s="24">
        <f>153/(153+80)</f>
        <v>0.6566523605150214</v>
      </c>
      <c r="R51" s="24">
        <f>162/(162+69)</f>
        <v>0.70129870129870131</v>
      </c>
      <c r="S51" s="24">
        <f>174/(174+85)</f>
        <v>0.6718146718146718</v>
      </c>
      <c r="T51" s="24">
        <f>185/(185+81)</f>
        <v>0.69548872180451127</v>
      </c>
      <c r="U51" s="27">
        <v>0.69837587006960555</v>
      </c>
      <c r="V51" s="24">
        <f>152/(152+45)</f>
        <v>0.77157360406091369</v>
      </c>
      <c r="W51" s="24">
        <f>121/(27+121)</f>
        <v>0.81756756756756754</v>
      </c>
      <c r="X51" s="24"/>
      <c r="Y51" s="24"/>
      <c r="Z51" s="24"/>
      <c r="AA51" s="24"/>
      <c r="AB51" s="24"/>
      <c r="AC51" s="24"/>
      <c r="AD51" s="24"/>
      <c r="AE51" s="24"/>
      <c r="AF51" s="24">
        <f t="shared" si="0"/>
        <v>0.71480565699953003</v>
      </c>
      <c r="AG51" s="24">
        <f t="shared" si="1"/>
        <v>5.3347314935869056E-2</v>
      </c>
      <c r="AH51" s="24">
        <f t="shared" si="2"/>
        <v>8</v>
      </c>
    </row>
    <row r="52" spans="1:34" x14ac:dyDescent="0.25">
      <c r="A52" s="3">
        <v>28276</v>
      </c>
      <c r="B52" s="3">
        <v>310</v>
      </c>
      <c r="C52" s="3">
        <v>1</v>
      </c>
      <c r="D52" s="1" t="s">
        <v>47</v>
      </c>
      <c r="E52" s="3" t="s">
        <v>40</v>
      </c>
      <c r="F52" s="3"/>
      <c r="G52" s="3"/>
      <c r="H52" s="3"/>
      <c r="I52" s="3"/>
      <c r="J52" s="3"/>
      <c r="K52" s="3"/>
      <c r="L52" s="14">
        <v>1</v>
      </c>
      <c r="N52" s="21">
        <v>28276</v>
      </c>
      <c r="O52" s="21">
        <v>310</v>
      </c>
      <c r="P52" s="25">
        <v>0.47435897435897428</v>
      </c>
      <c r="Q52" s="25">
        <v>0.57249070631970256</v>
      </c>
      <c r="R52" s="25">
        <v>0.60700389105058361</v>
      </c>
      <c r="S52" s="25">
        <v>0.54646840148698883</v>
      </c>
      <c r="T52" s="25">
        <v>0.60655737704918034</v>
      </c>
      <c r="U52" s="25">
        <v>0.5787234042553191</v>
      </c>
      <c r="V52" s="25">
        <v>0.54128440366972475</v>
      </c>
      <c r="W52" s="25"/>
      <c r="X52" s="25"/>
      <c r="Y52" s="25"/>
      <c r="Z52" s="25"/>
      <c r="AA52" s="25"/>
      <c r="AB52" s="25"/>
      <c r="AC52" s="25"/>
      <c r="AD52" s="25"/>
      <c r="AE52" s="25"/>
      <c r="AF52" s="25">
        <f t="shared" si="0"/>
        <v>0.56098387974149622</v>
      </c>
      <c r="AG52" s="25">
        <f t="shared" si="1"/>
        <v>4.6087824828635077E-2</v>
      </c>
      <c r="AH52" s="26">
        <f t="shared" si="2"/>
        <v>7</v>
      </c>
    </row>
    <row r="53" spans="1:34" x14ac:dyDescent="0.25">
      <c r="A53" s="3">
        <v>25180</v>
      </c>
      <c r="B53" s="3">
        <v>313</v>
      </c>
      <c r="C53" s="3">
        <v>1</v>
      </c>
      <c r="D53" s="1" t="s">
        <v>45</v>
      </c>
      <c r="E53" s="3" t="s">
        <v>40</v>
      </c>
      <c r="F53" s="3"/>
      <c r="G53" s="3"/>
      <c r="H53" s="3"/>
      <c r="I53" s="3"/>
      <c r="J53" s="3"/>
      <c r="K53" s="3"/>
      <c r="L53" s="14">
        <v>1</v>
      </c>
      <c r="N53" s="21">
        <v>25180</v>
      </c>
      <c r="O53" s="21">
        <v>313</v>
      </c>
      <c r="P53" s="25">
        <v>0.63405797100000005</v>
      </c>
      <c r="Q53" s="25">
        <v>0.61204013300000004</v>
      </c>
      <c r="R53" s="25">
        <v>0.61872909700000001</v>
      </c>
      <c r="S53" s="25">
        <f>151/227</f>
        <v>0.66519823788546251</v>
      </c>
      <c r="T53" s="25">
        <f>92/126</f>
        <v>0.73015873015873012</v>
      </c>
      <c r="U53" s="25">
        <f>194/273</f>
        <v>0.71062271062271065</v>
      </c>
      <c r="V53" s="25">
        <f>143/207</f>
        <v>0.6908212560386473</v>
      </c>
      <c r="W53" s="25"/>
      <c r="X53" s="25"/>
      <c r="Y53" s="25"/>
      <c r="Z53" s="25"/>
      <c r="AA53" s="25"/>
      <c r="AB53" s="25"/>
      <c r="AC53" s="25"/>
      <c r="AD53" s="25"/>
      <c r="AE53" s="25"/>
      <c r="AF53" s="25">
        <f t="shared" si="0"/>
        <v>0.66594687652936446</v>
      </c>
      <c r="AG53" s="25">
        <f t="shared" si="1"/>
        <v>4.6351457207821987E-2</v>
      </c>
      <c r="AH53" s="26">
        <f t="shared" si="2"/>
        <v>7</v>
      </c>
    </row>
    <row r="54" spans="1:34" x14ac:dyDescent="0.25">
      <c r="A54" s="18">
        <v>28167</v>
      </c>
      <c r="B54" s="18">
        <v>317</v>
      </c>
      <c r="C54" s="18">
        <v>1</v>
      </c>
      <c r="D54" s="1" t="s">
        <v>23</v>
      </c>
      <c r="E54" s="18" t="s">
        <v>21</v>
      </c>
      <c r="F54" s="1"/>
      <c r="G54" s="18"/>
      <c r="H54" s="1"/>
      <c r="I54" s="18"/>
      <c r="J54" s="1"/>
      <c r="K54" s="18"/>
      <c r="L54" s="14">
        <v>1</v>
      </c>
      <c r="N54" s="23">
        <v>28167</v>
      </c>
      <c r="O54" s="23">
        <v>317</v>
      </c>
      <c r="P54" s="24">
        <f>195/(195+58)</f>
        <v>0.77075098814229248</v>
      </c>
      <c r="Q54" s="24">
        <f>118/(118+96)</f>
        <v>0.55140186915887845</v>
      </c>
      <c r="R54" s="27">
        <v>0.55313351498637597</v>
      </c>
      <c r="S54" s="24">
        <f>214/(214+69)</f>
        <v>0.75618374558303891</v>
      </c>
      <c r="T54" s="24">
        <f>177/(177+56)</f>
        <v>0.75965665236051505</v>
      </c>
      <c r="U54" s="24">
        <f>109/(109+77)</f>
        <v>0.58602150537634412</v>
      </c>
      <c r="V54" s="27">
        <v>0.71985815602836878</v>
      </c>
      <c r="W54" s="24"/>
      <c r="X54" s="24"/>
      <c r="Y54" s="24"/>
      <c r="Z54" s="24"/>
      <c r="AA54" s="24"/>
      <c r="AB54" s="24"/>
      <c r="AC54" s="24"/>
      <c r="AD54" s="24"/>
      <c r="AE54" s="24"/>
      <c r="AF54" s="24">
        <f t="shared" si="0"/>
        <v>0.67100091880511614</v>
      </c>
      <c r="AG54" s="24">
        <f t="shared" si="1"/>
        <v>0.10236472154176331</v>
      </c>
      <c r="AH54" s="24">
        <f t="shared" si="2"/>
        <v>7</v>
      </c>
    </row>
    <row r="55" spans="1:34" x14ac:dyDescent="0.25">
      <c r="A55" s="18">
        <v>28168</v>
      </c>
      <c r="B55" s="18">
        <v>318</v>
      </c>
      <c r="C55" s="18">
        <v>1</v>
      </c>
      <c r="D55" s="1" t="s">
        <v>18</v>
      </c>
      <c r="E55" s="18" t="s">
        <v>3</v>
      </c>
      <c r="F55" s="1"/>
      <c r="G55" s="18"/>
      <c r="H55" s="1"/>
      <c r="I55" s="18"/>
      <c r="J55" s="1"/>
      <c r="K55" s="18"/>
      <c r="L55" s="14">
        <v>1</v>
      </c>
      <c r="N55" s="23">
        <v>28168</v>
      </c>
      <c r="O55" s="23">
        <v>318</v>
      </c>
      <c r="P55" s="24">
        <f>(187-95)/187</f>
        <v>0.49197860962566847</v>
      </c>
      <c r="Q55" s="24">
        <f>(167-64)/167</f>
        <v>0.61676646706586824</v>
      </c>
      <c r="R55" s="24">
        <f>177/289</f>
        <v>0.61245674740484424</v>
      </c>
      <c r="S55" s="24">
        <f>83/143</f>
        <v>0.58041958041958042</v>
      </c>
      <c r="T55" s="24">
        <f>113/191</f>
        <v>0.59162303664921467</v>
      </c>
      <c r="U55" s="24">
        <f>193/294</f>
        <v>0.65646258503401356</v>
      </c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>
        <f t="shared" si="0"/>
        <v>0.59161783769986498</v>
      </c>
      <c r="AG55" s="24">
        <f t="shared" si="1"/>
        <v>5.5362318842109064E-2</v>
      </c>
      <c r="AH55" s="24">
        <f t="shared" si="2"/>
        <v>6</v>
      </c>
    </row>
    <row r="56" spans="1:34" x14ac:dyDescent="0.25">
      <c r="A56" s="3">
        <v>55018</v>
      </c>
      <c r="B56" s="3">
        <v>319</v>
      </c>
      <c r="C56" s="3">
        <v>1</v>
      </c>
      <c r="D56" s="1" t="s">
        <v>11</v>
      </c>
      <c r="E56" s="3" t="s">
        <v>3</v>
      </c>
      <c r="F56" s="3"/>
      <c r="G56" s="3"/>
      <c r="H56" s="3"/>
      <c r="I56" s="3"/>
      <c r="J56" s="3"/>
      <c r="K56" s="3"/>
      <c r="L56" s="14">
        <v>1</v>
      </c>
      <c r="N56" s="29">
        <v>55018</v>
      </c>
      <c r="O56" s="29">
        <v>319</v>
      </c>
      <c r="P56" s="26">
        <f>104/(104+54)</f>
        <v>0.65822784810126578</v>
      </c>
      <c r="Q56" s="26">
        <f>92/(92+59)</f>
        <v>0.60927152317880795</v>
      </c>
      <c r="R56" s="26">
        <f>62/(62+33)</f>
        <v>0.65263157894736845</v>
      </c>
      <c r="S56" s="26">
        <f>101/(101+70)</f>
        <v>0.59064327485380119</v>
      </c>
      <c r="T56" s="26">
        <f>52/(52+32)</f>
        <v>0.61904761904761907</v>
      </c>
      <c r="U56" s="26">
        <f>103/(103+48)</f>
        <v>0.68211920529801329</v>
      </c>
      <c r="V56" s="26">
        <f>89/(89+41)</f>
        <v>0.68461538461538463</v>
      </c>
      <c r="W56" s="26"/>
      <c r="X56" s="26"/>
      <c r="Y56" s="26"/>
      <c r="Z56" s="26"/>
      <c r="AA56" s="26"/>
      <c r="AB56" s="26"/>
      <c r="AC56" s="26"/>
      <c r="AD56" s="26"/>
      <c r="AE56" s="26"/>
      <c r="AF56" s="25">
        <f t="shared" si="0"/>
        <v>0.64236520486318016</v>
      </c>
      <c r="AG56" s="25">
        <f t="shared" si="1"/>
        <v>3.6598132344399945E-2</v>
      </c>
      <c r="AH56" s="26">
        <f t="shared" si="2"/>
        <v>7</v>
      </c>
    </row>
    <row r="57" spans="1:34" x14ac:dyDescent="0.25">
      <c r="A57" s="3">
        <v>29654</v>
      </c>
      <c r="B57" s="3">
        <v>320</v>
      </c>
      <c r="C57" s="3">
        <v>1</v>
      </c>
      <c r="D57" s="1" t="s">
        <v>20</v>
      </c>
      <c r="E57" s="3" t="s">
        <v>21</v>
      </c>
      <c r="F57" s="3"/>
      <c r="G57" s="3"/>
      <c r="H57" s="3"/>
      <c r="I57" s="3"/>
      <c r="J57" s="3"/>
      <c r="K57" s="3"/>
      <c r="L57" s="14">
        <v>1</v>
      </c>
      <c r="N57" s="21">
        <v>29654</v>
      </c>
      <c r="O57" s="21">
        <v>320</v>
      </c>
      <c r="P57" s="25">
        <f>101/(101+38)</f>
        <v>0.72661870503597126</v>
      </c>
      <c r="Q57" s="25">
        <f>90/(90+49)</f>
        <v>0.64748201438848918</v>
      </c>
      <c r="R57" s="28">
        <v>0.70118343195266275</v>
      </c>
      <c r="S57" s="25">
        <f>192/(192+89)</f>
        <v>0.68327402135231319</v>
      </c>
      <c r="T57" s="25">
        <f>179/(179+73)</f>
        <v>0.71031746031746035</v>
      </c>
      <c r="U57" s="28">
        <v>0.68421052631578949</v>
      </c>
      <c r="V57" s="25">
        <f>199/(275)</f>
        <v>0.72363636363636363</v>
      </c>
      <c r="W57" s="25">
        <f>183/(183+82)</f>
        <v>0.69056603773584901</v>
      </c>
      <c r="X57" s="25"/>
      <c r="Y57" s="25"/>
      <c r="Z57" s="25"/>
      <c r="AA57" s="25"/>
      <c r="AB57" s="25"/>
      <c r="AC57" s="25"/>
      <c r="AD57" s="25"/>
      <c r="AE57" s="25"/>
      <c r="AF57" s="25">
        <f t="shared" si="0"/>
        <v>0.69591107009186237</v>
      </c>
      <c r="AG57" s="25">
        <f t="shared" si="1"/>
        <v>2.5683605548013477E-2</v>
      </c>
      <c r="AH57" s="26">
        <f t="shared" si="2"/>
        <v>8</v>
      </c>
    </row>
    <row r="58" spans="1:34" x14ac:dyDescent="0.25">
      <c r="A58" s="3">
        <v>29655</v>
      </c>
      <c r="B58" s="3">
        <v>321</v>
      </c>
      <c r="C58" s="3">
        <v>1</v>
      </c>
      <c r="D58" s="1" t="s">
        <v>20</v>
      </c>
      <c r="E58" s="3" t="s">
        <v>21</v>
      </c>
      <c r="F58" s="3"/>
      <c r="G58" s="3"/>
      <c r="H58" s="3"/>
      <c r="I58" s="3"/>
      <c r="J58" s="3"/>
      <c r="K58" s="3"/>
      <c r="L58" s="14">
        <v>1</v>
      </c>
      <c r="N58" s="21">
        <v>29655</v>
      </c>
      <c r="O58" s="21">
        <v>321</v>
      </c>
      <c r="P58" s="25">
        <f>119/(119+75)</f>
        <v>0.61340206185567014</v>
      </c>
      <c r="Q58" s="25">
        <f>76/(76+30)</f>
        <v>0.71698113207547165</v>
      </c>
      <c r="R58" s="25">
        <f>101/(101+59)</f>
        <v>0.63124999999999998</v>
      </c>
      <c r="S58" s="25">
        <f>193/(193+80)</f>
        <v>0.706959706959707</v>
      </c>
      <c r="T58" s="25">
        <f>118/(118+70)</f>
        <v>0.62765957446808507</v>
      </c>
      <c r="U58" s="25">
        <f>102/(102+53)</f>
        <v>0.65806451612903227</v>
      </c>
      <c r="V58" s="25">
        <f>70/(113)</f>
        <v>0.61946902654867253</v>
      </c>
      <c r="W58" s="25">
        <f>141/(141+68)</f>
        <v>0.67464114832535882</v>
      </c>
      <c r="X58" s="25"/>
      <c r="Y58" s="25"/>
      <c r="Z58" s="25"/>
      <c r="AA58" s="25"/>
      <c r="AB58" s="25"/>
      <c r="AC58" s="25"/>
      <c r="AD58" s="25"/>
      <c r="AE58" s="25"/>
      <c r="AF58" s="25">
        <f t="shared" si="0"/>
        <v>0.65605339579524968</v>
      </c>
      <c r="AG58" s="25">
        <f t="shared" si="1"/>
        <v>4.0057388486043274E-2</v>
      </c>
      <c r="AH58" s="26">
        <f t="shared" si="2"/>
        <v>8</v>
      </c>
    </row>
    <row r="59" spans="1:34" x14ac:dyDescent="0.25">
      <c r="A59" s="3">
        <v>25182</v>
      </c>
      <c r="B59" s="3">
        <v>324</v>
      </c>
      <c r="C59" s="3">
        <v>1</v>
      </c>
      <c r="D59" s="1" t="s">
        <v>22</v>
      </c>
      <c r="E59" s="3" t="s">
        <v>21</v>
      </c>
      <c r="F59" s="3"/>
      <c r="G59" s="3"/>
      <c r="H59" s="3"/>
      <c r="I59" s="3"/>
      <c r="J59" s="3"/>
      <c r="K59" s="3"/>
      <c r="L59" s="14">
        <v>1</v>
      </c>
      <c r="N59" s="29">
        <v>25182</v>
      </c>
      <c r="O59" s="29">
        <v>324</v>
      </c>
      <c r="P59" s="26">
        <f>97/186</f>
        <v>0.521505376344086</v>
      </c>
      <c r="Q59" s="26">
        <f>191/315</f>
        <v>0.6063492063492063</v>
      </c>
      <c r="R59" s="26">
        <f>185/299</f>
        <v>0.61872909698996659</v>
      </c>
      <c r="S59" s="26">
        <f>94/158</f>
        <v>0.59493670886075944</v>
      </c>
      <c r="T59" s="26">
        <f>143/237</f>
        <v>0.6033755274261603</v>
      </c>
      <c r="U59" s="26">
        <f>204/308</f>
        <v>0.66233766233766234</v>
      </c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5">
        <f t="shared" si="0"/>
        <v>0.60120559638464022</v>
      </c>
      <c r="AG59" s="25">
        <f t="shared" si="1"/>
        <v>4.575323357019017E-2</v>
      </c>
      <c r="AH59" s="26">
        <f t="shared" si="2"/>
        <v>6</v>
      </c>
    </row>
    <row r="60" spans="1:34" x14ac:dyDescent="0.25">
      <c r="A60" s="3">
        <v>28171</v>
      </c>
      <c r="B60" s="3">
        <v>332</v>
      </c>
      <c r="C60" s="3">
        <v>1</v>
      </c>
      <c r="D60" s="1" t="s">
        <v>45</v>
      </c>
      <c r="E60" s="3" t="s">
        <v>40</v>
      </c>
      <c r="F60" s="18"/>
      <c r="G60" s="3"/>
      <c r="H60" s="18"/>
      <c r="I60" s="3"/>
      <c r="J60" s="18"/>
      <c r="K60" s="3"/>
      <c r="L60" s="14">
        <v>1</v>
      </c>
      <c r="N60" s="23">
        <v>28171</v>
      </c>
      <c r="O60" s="23">
        <v>332</v>
      </c>
      <c r="P60" s="24">
        <f>111/282</f>
        <v>0.39361702127659576</v>
      </c>
      <c r="Q60" s="24">
        <f>44/113</f>
        <v>0.38938053097345132</v>
      </c>
      <c r="R60" s="24">
        <f>21/51</f>
        <v>0.41176470588235292</v>
      </c>
      <c r="S60" s="24">
        <f>115/207</f>
        <v>0.55555555555555558</v>
      </c>
      <c r="T60" s="24">
        <f>129/298</f>
        <v>0.43288590604026844</v>
      </c>
      <c r="U60" s="24">
        <f>136/300</f>
        <v>0.45333333333333331</v>
      </c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>
        <f t="shared" si="0"/>
        <v>0.43942284217692618</v>
      </c>
      <c r="AG60" s="24">
        <f t="shared" si="1"/>
        <v>6.1790645015533087E-2</v>
      </c>
      <c r="AH60" s="24">
        <f t="shared" si="2"/>
        <v>6</v>
      </c>
    </row>
    <row r="61" spans="1:34" x14ac:dyDescent="0.25">
      <c r="A61" s="18">
        <v>25183</v>
      </c>
      <c r="B61" s="18">
        <v>335</v>
      </c>
      <c r="C61" s="18">
        <v>1</v>
      </c>
      <c r="D61" s="1" t="s">
        <v>0</v>
      </c>
      <c r="E61" s="18" t="s">
        <v>3</v>
      </c>
      <c r="F61" s="18"/>
      <c r="G61" s="18"/>
      <c r="H61" s="18"/>
      <c r="I61" s="18"/>
      <c r="J61" s="18"/>
      <c r="K61" s="18"/>
      <c r="L61" s="14">
        <v>1</v>
      </c>
      <c r="N61" s="29">
        <v>25183</v>
      </c>
      <c r="O61" s="29">
        <v>335</v>
      </c>
      <c r="P61" s="26">
        <f>81/(67+81)</f>
        <v>0.54729729729729726</v>
      </c>
      <c r="Q61" s="26">
        <f>82/(82+79)</f>
        <v>0.50931677018633537</v>
      </c>
      <c r="R61" s="26">
        <f>95/(95+91)</f>
        <v>0.510752688172043</v>
      </c>
      <c r="S61" s="26">
        <f>112/(112+72)</f>
        <v>0.60869565217391308</v>
      </c>
      <c r="T61" s="26">
        <f>60/(126)</f>
        <v>0.47619047619047616</v>
      </c>
      <c r="U61" s="26">
        <f>72/(63+72)</f>
        <v>0.53333333333333333</v>
      </c>
      <c r="V61" s="26">
        <f>45/(45+38)</f>
        <v>0.54216867469879515</v>
      </c>
      <c r="W61" s="26"/>
      <c r="X61" s="26"/>
      <c r="Y61" s="26"/>
      <c r="Z61" s="26"/>
      <c r="AA61" s="26"/>
      <c r="AB61" s="26"/>
      <c r="AC61" s="26"/>
      <c r="AD61" s="26"/>
      <c r="AE61" s="26"/>
      <c r="AF61" s="25">
        <f t="shared" si="0"/>
        <v>0.5325364131503133</v>
      </c>
      <c r="AG61" s="25">
        <f t="shared" si="1"/>
        <v>4.1432829252008245E-2</v>
      </c>
      <c r="AH61" s="26">
        <f t="shared" si="2"/>
        <v>7</v>
      </c>
    </row>
    <row r="62" spans="1:34" x14ac:dyDescent="0.25">
      <c r="A62" s="3">
        <v>28172</v>
      </c>
      <c r="B62" s="3">
        <v>336</v>
      </c>
      <c r="C62" s="3">
        <v>1</v>
      </c>
      <c r="D62" s="1" t="s">
        <v>25</v>
      </c>
      <c r="E62" s="3" t="s">
        <v>40</v>
      </c>
      <c r="F62" s="18"/>
      <c r="G62" s="3"/>
      <c r="H62" s="18"/>
      <c r="I62" s="3"/>
      <c r="J62" s="18"/>
      <c r="K62" s="3"/>
      <c r="L62" s="14">
        <v>1</v>
      </c>
      <c r="N62" s="23">
        <v>28172</v>
      </c>
      <c r="O62" s="23">
        <v>336</v>
      </c>
      <c r="P62" s="24">
        <v>0.74293785310734461</v>
      </c>
      <c r="Q62" s="24">
        <v>0.6558441558441559</v>
      </c>
      <c r="R62" s="24">
        <v>0.68307692307692314</v>
      </c>
      <c r="S62" s="24">
        <v>0.62093023255813962</v>
      </c>
      <c r="T62" s="24">
        <v>0.74212034383954162</v>
      </c>
      <c r="U62" s="24">
        <v>0.61618798955613574</v>
      </c>
      <c r="V62" s="24">
        <v>0.6835106382978724</v>
      </c>
      <c r="W62" s="24">
        <v>0.58252427184466016</v>
      </c>
      <c r="X62" s="24">
        <v>0.71267605633802811</v>
      </c>
      <c r="Y62" s="24"/>
      <c r="Z62" s="24"/>
      <c r="AA62" s="24"/>
      <c r="AB62" s="24"/>
      <c r="AC62" s="24"/>
      <c r="AD62" s="24"/>
      <c r="AE62" s="24"/>
      <c r="AF62" s="24">
        <f t="shared" si="0"/>
        <v>0.6710898293847557</v>
      </c>
      <c r="AG62" s="24">
        <f t="shared" si="1"/>
        <v>5.6834561879715771E-2</v>
      </c>
      <c r="AH62" s="24">
        <f t="shared" si="2"/>
        <v>9</v>
      </c>
    </row>
    <row r="63" spans="1:34" x14ac:dyDescent="0.25">
      <c r="A63" s="3">
        <v>28173</v>
      </c>
      <c r="B63" s="3">
        <v>338</v>
      </c>
      <c r="C63" s="3">
        <v>1</v>
      </c>
      <c r="D63" s="1" t="s">
        <v>18</v>
      </c>
      <c r="E63" s="3" t="s">
        <v>3</v>
      </c>
      <c r="F63" s="18"/>
      <c r="G63" s="3"/>
      <c r="H63" s="18"/>
      <c r="I63" s="3"/>
      <c r="J63" s="18"/>
      <c r="K63" s="3"/>
      <c r="L63" s="14">
        <v>1</v>
      </c>
      <c r="N63" s="23">
        <v>28173</v>
      </c>
      <c r="O63" s="23">
        <v>338</v>
      </c>
      <c r="P63" s="24">
        <v>0.76384839650145775</v>
      </c>
      <c r="Q63" s="24">
        <v>0.72727272727272729</v>
      </c>
      <c r="R63" s="24">
        <v>0.75103734439834025</v>
      </c>
      <c r="S63" s="24">
        <v>0.76487252124645888</v>
      </c>
      <c r="T63" s="24">
        <v>0.80891719745222934</v>
      </c>
      <c r="U63" s="24">
        <v>0.72202166064981954</v>
      </c>
      <c r="V63" s="24">
        <v>0.72363636363636363</v>
      </c>
      <c r="W63" s="24">
        <v>0.79335793357933582</v>
      </c>
      <c r="X63" s="24"/>
      <c r="Y63" s="24"/>
      <c r="Z63" s="24"/>
      <c r="AA63" s="24"/>
      <c r="AB63" s="24"/>
      <c r="AC63" s="24"/>
      <c r="AD63" s="24"/>
      <c r="AE63" s="24"/>
      <c r="AF63" s="24">
        <f t="shared" si="0"/>
        <v>0.7568705180920916</v>
      </c>
      <c r="AG63" s="24">
        <f t="shared" si="1"/>
        <v>3.2473985604043742E-2</v>
      </c>
      <c r="AH63" s="24">
        <f t="shared" si="2"/>
        <v>8</v>
      </c>
    </row>
    <row r="64" spans="1:34" x14ac:dyDescent="0.25">
      <c r="A64" s="3">
        <v>28174</v>
      </c>
      <c r="B64" s="3">
        <v>340</v>
      </c>
      <c r="C64" s="3">
        <v>1</v>
      </c>
      <c r="D64" s="1" t="s">
        <v>23</v>
      </c>
      <c r="E64" s="3" t="s">
        <v>21</v>
      </c>
      <c r="F64" s="3"/>
      <c r="G64" s="3"/>
      <c r="H64" s="3"/>
      <c r="I64" s="3"/>
      <c r="J64" s="3"/>
      <c r="K64" s="3"/>
      <c r="L64" s="14">
        <v>1</v>
      </c>
      <c r="N64" s="23">
        <v>28174</v>
      </c>
      <c r="O64" s="23">
        <v>340</v>
      </c>
      <c r="P64" s="24">
        <f>164/(164+78)</f>
        <v>0.6776859504132231</v>
      </c>
      <c r="Q64" s="24">
        <f>150/(150+73)</f>
        <v>0.67264573991031396</v>
      </c>
      <c r="R64" s="24">
        <v>0.66402116402116407</v>
      </c>
      <c r="S64" s="24">
        <v>0.72727272727272729</v>
      </c>
      <c r="T64" s="24">
        <v>0.6954022988505747</v>
      </c>
      <c r="U64" s="24">
        <f>152/(152+82)</f>
        <v>0.6495726495726496</v>
      </c>
      <c r="V64" s="27">
        <v>0.66390041493775931</v>
      </c>
      <c r="W64" s="24"/>
      <c r="X64" s="24"/>
      <c r="Y64" s="24"/>
      <c r="Z64" s="24"/>
      <c r="AA64" s="24"/>
      <c r="AB64" s="24"/>
      <c r="AC64" s="24"/>
      <c r="AD64" s="24"/>
      <c r="AE64" s="24"/>
      <c r="AF64" s="24">
        <f t="shared" si="0"/>
        <v>0.67864299213977319</v>
      </c>
      <c r="AG64" s="24">
        <f t="shared" si="1"/>
        <v>2.5686685009798055E-2</v>
      </c>
      <c r="AH64" s="24">
        <f t="shared" si="2"/>
        <v>7</v>
      </c>
    </row>
    <row r="65" spans="1:34" ht="15.75" x14ac:dyDescent="0.25">
      <c r="A65" s="3">
        <v>55019</v>
      </c>
      <c r="B65" s="3">
        <v>348</v>
      </c>
      <c r="C65" s="3">
        <v>1</v>
      </c>
      <c r="D65" s="1" t="s">
        <v>19</v>
      </c>
      <c r="E65" s="3" t="s">
        <v>3</v>
      </c>
      <c r="F65" s="18"/>
      <c r="G65" s="3"/>
      <c r="H65" s="3"/>
      <c r="I65" s="3"/>
      <c r="J65" s="3"/>
      <c r="K65" s="3"/>
      <c r="L65" s="14">
        <v>1</v>
      </c>
      <c r="N65" s="31">
        <v>55019</v>
      </c>
      <c r="O65" s="31">
        <v>348</v>
      </c>
      <c r="P65" s="32">
        <f>106/(200)</f>
        <v>0.53</v>
      </c>
      <c r="Q65" s="32">
        <f>137/(224)</f>
        <v>0.6116071428571429</v>
      </c>
      <c r="R65" s="32">
        <f>144/(235)</f>
        <v>0.61276595744680851</v>
      </c>
      <c r="S65" s="32">
        <f>76/126</f>
        <v>0.60317460317460314</v>
      </c>
      <c r="T65" s="32">
        <f>161/242</f>
        <v>0.66528925619834711</v>
      </c>
      <c r="U65" s="32">
        <f>107/(107+47)</f>
        <v>0.69480519480519476</v>
      </c>
      <c r="V65" s="32">
        <f>171/240</f>
        <v>0.71250000000000002</v>
      </c>
      <c r="W65" s="32">
        <f>189/286</f>
        <v>0.66083916083916083</v>
      </c>
      <c r="X65" s="32">
        <f>100/146</f>
        <v>0.68493150684931503</v>
      </c>
      <c r="Y65" s="32">
        <f>204/(204+79)</f>
        <v>0.72084805653710249</v>
      </c>
      <c r="Z65" s="30"/>
      <c r="AA65" s="30"/>
      <c r="AB65" s="30"/>
      <c r="AC65" s="30"/>
      <c r="AD65" s="30"/>
      <c r="AE65" s="30"/>
      <c r="AF65" s="24">
        <f t="shared" si="0"/>
        <v>0.64967608787076747</v>
      </c>
      <c r="AG65" s="24">
        <f t="shared" si="1"/>
        <v>5.9588044598636203E-2</v>
      </c>
      <c r="AH65" s="24">
        <f t="shared" si="2"/>
        <v>10</v>
      </c>
    </row>
    <row r="66" spans="1:34" x14ac:dyDescent="0.25">
      <c r="A66" s="3">
        <v>28176</v>
      </c>
      <c r="B66" s="3">
        <v>350</v>
      </c>
      <c r="C66" s="3">
        <v>1</v>
      </c>
      <c r="D66" s="1" t="s">
        <v>8</v>
      </c>
      <c r="E66" s="3" t="s">
        <v>3</v>
      </c>
      <c r="F66" s="1"/>
      <c r="G66" s="3"/>
      <c r="H66" s="1"/>
      <c r="I66" s="3"/>
      <c r="J66" s="1"/>
      <c r="K66" s="3"/>
      <c r="L66" s="14">
        <v>1</v>
      </c>
      <c r="N66" s="23">
        <v>28176</v>
      </c>
      <c r="O66" s="23">
        <v>350</v>
      </c>
      <c r="P66" s="24">
        <v>0.48648648648648651</v>
      </c>
      <c r="Q66" s="24">
        <v>0.61290322580645162</v>
      </c>
      <c r="R66" s="24">
        <v>0.61631419939577037</v>
      </c>
      <c r="S66" s="24">
        <v>0.63583815028901736</v>
      </c>
      <c r="T66" s="24">
        <v>0.65284974093264247</v>
      </c>
      <c r="U66" s="24">
        <v>0.57731958762886593</v>
      </c>
      <c r="V66" s="24">
        <v>0.51470588235294112</v>
      </c>
      <c r="W66" s="24">
        <v>0.65909090909090906</v>
      </c>
      <c r="X66" s="24"/>
      <c r="Y66" s="24"/>
      <c r="Z66" s="24"/>
      <c r="AA66" s="24"/>
      <c r="AB66" s="24"/>
      <c r="AC66" s="24"/>
      <c r="AD66" s="24"/>
      <c r="AE66" s="24"/>
      <c r="AF66" s="24">
        <f t="shared" ref="AF66:AF129" si="3">AVERAGE(P66:AE66)</f>
        <v>0.59443852274788556</v>
      </c>
      <c r="AG66" s="24">
        <f t="shared" ref="AG66:AG129" si="4">STDEV(P66:AE66)</f>
        <v>6.3728458696705917E-2</v>
      </c>
      <c r="AH66" s="24">
        <f t="shared" ref="AH66:AH129" si="5">COUNT(P66:AE66)</f>
        <v>8</v>
      </c>
    </row>
    <row r="67" spans="1:34" x14ac:dyDescent="0.25">
      <c r="A67" s="3">
        <v>28177</v>
      </c>
      <c r="B67" s="3">
        <v>352</v>
      </c>
      <c r="C67" s="3">
        <v>1</v>
      </c>
      <c r="D67" s="1" t="s">
        <v>48</v>
      </c>
      <c r="E67" s="3" t="s">
        <v>40</v>
      </c>
      <c r="F67" s="18"/>
      <c r="G67" s="3"/>
      <c r="H67" s="18"/>
      <c r="I67" s="3"/>
      <c r="J67" s="3"/>
      <c r="K67" s="3"/>
      <c r="L67" s="14">
        <v>1</v>
      </c>
      <c r="N67" s="23">
        <v>28177</v>
      </c>
      <c r="O67" s="23">
        <v>352</v>
      </c>
      <c r="P67" s="24">
        <v>0.57874015748031493</v>
      </c>
      <c r="Q67" s="24">
        <v>0.57370517928286857</v>
      </c>
      <c r="R67" s="24">
        <v>0.46735395189003442</v>
      </c>
      <c r="S67" s="24">
        <v>0.52463768115942033</v>
      </c>
      <c r="T67" s="24">
        <v>0.53003533568904593</v>
      </c>
      <c r="U67" s="24">
        <v>0.49056603773584911</v>
      </c>
      <c r="V67" s="24">
        <v>0.5337620578778135</v>
      </c>
      <c r="W67" s="24">
        <v>0.67006802721088432</v>
      </c>
      <c r="X67" s="24">
        <v>0.64436619718309862</v>
      </c>
      <c r="Y67" s="24">
        <v>0.52684563758389258</v>
      </c>
      <c r="Z67" s="24">
        <v>0.56145251396648044</v>
      </c>
      <c r="AA67" s="24">
        <v>0.5814606741573034</v>
      </c>
      <c r="AB67" s="24">
        <v>0.59177215189873422</v>
      </c>
      <c r="AC67" s="24">
        <v>0.60660660660660659</v>
      </c>
      <c r="AD67" s="24"/>
      <c r="AE67" s="24"/>
      <c r="AF67" s="24">
        <f t="shared" si="3"/>
        <v>0.56295515783731043</v>
      </c>
      <c r="AG67" s="24">
        <f t="shared" si="4"/>
        <v>5.5907951149068748E-2</v>
      </c>
      <c r="AH67" s="24">
        <f t="shared" si="5"/>
        <v>14</v>
      </c>
    </row>
    <row r="68" spans="1:34" x14ac:dyDescent="0.25">
      <c r="A68" s="3">
        <v>55020</v>
      </c>
      <c r="B68" s="3">
        <v>354</v>
      </c>
      <c r="C68" s="3">
        <v>1</v>
      </c>
      <c r="D68" s="1" t="s">
        <v>13</v>
      </c>
      <c r="E68" s="3" t="s">
        <v>3</v>
      </c>
      <c r="F68" s="18"/>
      <c r="G68" s="3"/>
      <c r="H68" s="18"/>
      <c r="I68" s="3"/>
      <c r="J68" s="18"/>
      <c r="K68" s="3"/>
      <c r="L68" s="14">
        <v>1</v>
      </c>
      <c r="N68" s="29">
        <v>55020</v>
      </c>
      <c r="O68" s="29">
        <v>354</v>
      </c>
      <c r="P68" s="26">
        <f>208/(208+43)</f>
        <v>0.82868525896414347</v>
      </c>
      <c r="Q68" s="26">
        <f>169/(169+53)</f>
        <v>0.76126126126126126</v>
      </c>
      <c r="R68" s="26">
        <f>100/135</f>
        <v>0.7407407407407407</v>
      </c>
      <c r="S68" s="26">
        <f>190/(190+64)</f>
        <v>0.74803149606299213</v>
      </c>
      <c r="T68" s="26">
        <f>151/(151+49)</f>
        <v>0.755</v>
      </c>
      <c r="U68" s="26">
        <f>210/(210+55)</f>
        <v>0.79245283018867929</v>
      </c>
      <c r="V68" s="26">
        <f>20/(29)</f>
        <v>0.68965517241379315</v>
      </c>
      <c r="W68" s="26">
        <f>55/(55+28)</f>
        <v>0.66265060240963858</v>
      </c>
      <c r="X68" s="26">
        <f>146/(146+48)</f>
        <v>0.75257731958762886</v>
      </c>
      <c r="Y68" s="26">
        <f>172/(172+60)</f>
        <v>0.74137931034482762</v>
      </c>
      <c r="Z68" s="26">
        <f>133/(133+45)</f>
        <v>0.7471910112359551</v>
      </c>
      <c r="AA68" s="26"/>
      <c r="AB68" s="26"/>
      <c r="AC68" s="26"/>
      <c r="AD68" s="26"/>
      <c r="AE68" s="26"/>
      <c r="AF68" s="24">
        <f t="shared" si="3"/>
        <v>0.74723863665542367</v>
      </c>
      <c r="AG68" s="24">
        <f t="shared" si="4"/>
        <v>4.4171739858875202E-2</v>
      </c>
      <c r="AH68" s="24">
        <f t="shared" si="5"/>
        <v>11</v>
      </c>
    </row>
    <row r="69" spans="1:34" x14ac:dyDescent="0.25">
      <c r="A69" s="3">
        <v>55038</v>
      </c>
      <c r="B69" s="3">
        <v>355</v>
      </c>
      <c r="C69" s="3">
        <v>1</v>
      </c>
      <c r="D69" s="1" t="s">
        <v>2</v>
      </c>
      <c r="E69" s="3" t="s">
        <v>3</v>
      </c>
      <c r="F69" s="18"/>
      <c r="G69" s="3"/>
      <c r="H69" s="3"/>
      <c r="I69" s="3"/>
      <c r="J69" s="3"/>
      <c r="K69" s="3"/>
      <c r="L69" s="14">
        <v>1</v>
      </c>
      <c r="N69" s="31">
        <v>55038</v>
      </c>
      <c r="O69" s="31">
        <v>355</v>
      </c>
      <c r="P69" s="30">
        <f>182/(182+58)</f>
        <v>0.7583333333333333</v>
      </c>
      <c r="Q69" s="30">
        <f>150/190</f>
        <v>0.78947368421052633</v>
      </c>
      <c r="R69" s="30">
        <f>100/140</f>
        <v>0.7142857142857143</v>
      </c>
      <c r="S69" s="30">
        <f>106/(106+61)</f>
        <v>0.6347305389221557</v>
      </c>
      <c r="T69" s="30">
        <f>69/(69+27)</f>
        <v>0.71875</v>
      </c>
      <c r="U69" s="30">
        <f>44/(44+20)</f>
        <v>0.6875</v>
      </c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24">
        <f t="shared" si="3"/>
        <v>0.7171788784586216</v>
      </c>
      <c r="AG69" s="24">
        <f t="shared" si="4"/>
        <v>5.4054845176822949E-2</v>
      </c>
      <c r="AH69" s="24">
        <f t="shared" si="5"/>
        <v>6</v>
      </c>
    </row>
    <row r="70" spans="1:34" x14ac:dyDescent="0.25">
      <c r="A70" s="3">
        <v>28178</v>
      </c>
      <c r="B70" s="3">
        <v>356</v>
      </c>
      <c r="C70" s="3">
        <v>2</v>
      </c>
      <c r="D70" s="1" t="s">
        <v>5</v>
      </c>
      <c r="E70" s="3" t="s">
        <v>3</v>
      </c>
      <c r="F70" s="1" t="s">
        <v>61</v>
      </c>
      <c r="G70" s="3" t="s">
        <v>3</v>
      </c>
      <c r="H70" s="3"/>
      <c r="I70" s="3"/>
      <c r="J70" s="3"/>
      <c r="K70" s="3"/>
      <c r="L70" s="14">
        <v>1</v>
      </c>
      <c r="N70" s="23">
        <v>28178</v>
      </c>
      <c r="O70" s="23">
        <v>356</v>
      </c>
      <c r="P70" s="24">
        <f>139/(139+81)</f>
        <v>0.63181818181818183</v>
      </c>
      <c r="Q70" s="24">
        <f>147/(147+83)</f>
        <v>0.63913043478260867</v>
      </c>
      <c r="R70" s="24">
        <f>122/(122+55)</f>
        <v>0.68926553672316382</v>
      </c>
      <c r="S70" s="24">
        <f>111/(111+62)</f>
        <v>0.64161849710982655</v>
      </c>
      <c r="T70" s="24">
        <f>223/(223+80)</f>
        <v>0.735973597359736</v>
      </c>
      <c r="U70" s="24">
        <f>157/(157+72)</f>
        <v>0.68558951965065507</v>
      </c>
      <c r="V70" s="24">
        <f>172/(172+78)</f>
        <v>0.68799999999999994</v>
      </c>
      <c r="W70" s="24">
        <f>144/(144+75)</f>
        <v>0.65753424657534243</v>
      </c>
      <c r="X70" s="24"/>
      <c r="Y70" s="24"/>
      <c r="Z70" s="24"/>
      <c r="AA70" s="24"/>
      <c r="AB70" s="24"/>
      <c r="AC70" s="24"/>
      <c r="AD70" s="24"/>
      <c r="AE70" s="24"/>
      <c r="AF70" s="24">
        <f t="shared" si="3"/>
        <v>0.67111625175243927</v>
      </c>
      <c r="AG70" s="24">
        <f t="shared" si="4"/>
        <v>3.5157660096211484E-2</v>
      </c>
      <c r="AH70" s="24">
        <f t="shared" si="5"/>
        <v>8</v>
      </c>
    </row>
    <row r="71" spans="1:34" x14ac:dyDescent="0.25">
      <c r="A71" s="3">
        <v>25184</v>
      </c>
      <c r="B71" s="3">
        <v>357</v>
      </c>
      <c r="C71" s="3">
        <v>3</v>
      </c>
      <c r="D71" s="1" t="s">
        <v>68</v>
      </c>
      <c r="E71" s="3" t="s">
        <v>3</v>
      </c>
      <c r="F71" s="1" t="s">
        <v>73</v>
      </c>
      <c r="G71" s="3" t="s">
        <v>3</v>
      </c>
      <c r="H71" s="1" t="s">
        <v>74</v>
      </c>
      <c r="I71" s="3" t="s">
        <v>21</v>
      </c>
      <c r="J71" s="3"/>
      <c r="K71" s="3"/>
      <c r="L71" s="14">
        <v>1</v>
      </c>
      <c r="N71" s="21">
        <v>25184</v>
      </c>
      <c r="O71" s="21">
        <v>357</v>
      </c>
      <c r="P71" s="25">
        <f>1-60/187</f>
        <v>0.67914438502673802</v>
      </c>
      <c r="Q71" s="25">
        <f>1-19/54</f>
        <v>0.64814814814814814</v>
      </c>
      <c r="R71" s="25">
        <f>1-38/137</f>
        <v>0.72262773722627738</v>
      </c>
      <c r="S71" s="25">
        <f>1-24/81</f>
        <v>0.70370370370370372</v>
      </c>
      <c r="T71" s="25">
        <f>1-38/120</f>
        <v>0.68333333333333335</v>
      </c>
      <c r="U71" s="25">
        <f>1-15/52</f>
        <v>0.71153846153846156</v>
      </c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>
        <f t="shared" si="3"/>
        <v>0.6914159614961104</v>
      </c>
      <c r="AG71" s="25">
        <f t="shared" si="4"/>
        <v>2.6900195909027889E-2</v>
      </c>
      <c r="AH71" s="26">
        <f t="shared" si="5"/>
        <v>6</v>
      </c>
    </row>
    <row r="72" spans="1:34" x14ac:dyDescent="0.25">
      <c r="A72" s="3">
        <v>25185</v>
      </c>
      <c r="B72" s="3">
        <v>358</v>
      </c>
      <c r="C72" s="3">
        <v>1</v>
      </c>
      <c r="D72" s="1" t="s">
        <v>9</v>
      </c>
      <c r="E72" s="3" t="s">
        <v>3</v>
      </c>
      <c r="F72" s="3"/>
      <c r="G72" s="3"/>
      <c r="H72" s="3"/>
      <c r="I72" s="3"/>
      <c r="J72" s="3"/>
      <c r="K72" s="3"/>
      <c r="L72" s="14">
        <v>1</v>
      </c>
      <c r="N72" s="29">
        <v>25185</v>
      </c>
      <c r="O72" s="29">
        <v>358</v>
      </c>
      <c r="P72" s="26">
        <f>116/163</f>
        <v>0.71165644171779141</v>
      </c>
      <c r="Q72" s="26">
        <f>44/60</f>
        <v>0.73333333333333328</v>
      </c>
      <c r="R72" s="26">
        <f>66/87</f>
        <v>0.75862068965517238</v>
      </c>
      <c r="S72" s="26">
        <f>98/152</f>
        <v>0.64473684210526316</v>
      </c>
      <c r="T72" s="26">
        <f>153/238</f>
        <v>0.6428571428571429</v>
      </c>
      <c r="U72" s="26">
        <f>151/223</f>
        <v>0.67713004484304928</v>
      </c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5">
        <f t="shared" si="3"/>
        <v>0.6947224157519587</v>
      </c>
      <c r="AG72" s="25">
        <f t="shared" si="4"/>
        <v>4.7662583268507162E-2</v>
      </c>
      <c r="AH72" s="26">
        <f t="shared" si="5"/>
        <v>6</v>
      </c>
    </row>
    <row r="73" spans="1:34" x14ac:dyDescent="0.25">
      <c r="A73" s="3">
        <v>28179</v>
      </c>
      <c r="B73" s="3">
        <v>359</v>
      </c>
      <c r="C73" s="3">
        <v>2</v>
      </c>
      <c r="D73" s="1" t="s">
        <v>39</v>
      </c>
      <c r="E73" s="3" t="s">
        <v>40</v>
      </c>
      <c r="F73" s="1" t="s">
        <v>65</v>
      </c>
      <c r="G73" s="3" t="s">
        <v>21</v>
      </c>
      <c r="H73" s="3"/>
      <c r="I73" s="3"/>
      <c r="J73" s="3"/>
      <c r="K73" s="3"/>
      <c r="L73" s="14">
        <v>1</v>
      </c>
      <c r="N73" s="23">
        <v>28179</v>
      </c>
      <c r="O73" s="23">
        <v>359</v>
      </c>
      <c r="P73" s="24">
        <v>0.58306188925081437</v>
      </c>
      <c r="Q73" s="24">
        <v>0.45622119815668211</v>
      </c>
      <c r="R73" s="24">
        <v>0.54746835443037978</v>
      </c>
      <c r="S73" s="24">
        <v>0.54666666666666663</v>
      </c>
      <c r="T73" s="24">
        <v>0.47122302158273383</v>
      </c>
      <c r="U73" s="24">
        <v>0.56774193548387097</v>
      </c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>
        <f t="shared" si="3"/>
        <v>0.52873051092852463</v>
      </c>
      <c r="AG73" s="24">
        <f t="shared" si="4"/>
        <v>5.2366619420201807E-2</v>
      </c>
      <c r="AH73" s="24">
        <f t="shared" si="5"/>
        <v>6</v>
      </c>
    </row>
    <row r="74" spans="1:34" x14ac:dyDescent="0.25">
      <c r="A74" s="3">
        <v>28180</v>
      </c>
      <c r="B74" s="3">
        <v>361</v>
      </c>
      <c r="C74" s="3">
        <v>1</v>
      </c>
      <c r="D74" s="1" t="s">
        <v>17</v>
      </c>
      <c r="E74" s="3" t="s">
        <v>3</v>
      </c>
      <c r="F74" s="18"/>
      <c r="G74" s="3"/>
      <c r="H74" s="18"/>
      <c r="I74" s="3"/>
      <c r="J74" s="18"/>
      <c r="K74" s="3"/>
      <c r="L74" s="14">
        <v>1</v>
      </c>
      <c r="N74" s="23">
        <v>28180</v>
      </c>
      <c r="O74" s="23">
        <v>361</v>
      </c>
      <c r="P74" s="24">
        <f>118/(118+55)</f>
        <v>0.68208092485549132</v>
      </c>
      <c r="Q74" s="24">
        <f>80/(80+22)</f>
        <v>0.78431372549019607</v>
      </c>
      <c r="R74" s="24">
        <f>93/(153)</f>
        <v>0.60784313725490191</v>
      </c>
      <c r="S74" s="24">
        <f>157/(157+33)</f>
        <v>0.82631578947368423</v>
      </c>
      <c r="T74" s="24">
        <f>155/(155+74)</f>
        <v>0.67685589519650657</v>
      </c>
      <c r="U74" s="24">
        <f>130/(130+62)</f>
        <v>0.67708333333333337</v>
      </c>
      <c r="V74" s="24">
        <f>145/(145+50)</f>
        <v>0.74358974358974361</v>
      </c>
      <c r="W74" s="24"/>
      <c r="X74" s="24"/>
      <c r="Y74" s="24"/>
      <c r="Z74" s="24"/>
      <c r="AA74" s="24"/>
      <c r="AB74" s="24"/>
      <c r="AC74" s="24"/>
      <c r="AD74" s="24"/>
      <c r="AE74" s="24"/>
      <c r="AF74" s="24">
        <f t="shared" si="3"/>
        <v>0.71401179274197957</v>
      </c>
      <c r="AG74" s="24">
        <f t="shared" si="4"/>
        <v>7.4682706805777224E-2</v>
      </c>
      <c r="AH74" s="24">
        <f t="shared" si="5"/>
        <v>7</v>
      </c>
    </row>
    <row r="75" spans="1:34" x14ac:dyDescent="0.25">
      <c r="A75" s="3">
        <v>25187</v>
      </c>
      <c r="B75" s="3">
        <v>362</v>
      </c>
      <c r="C75" s="3">
        <v>1</v>
      </c>
      <c r="D75" s="1" t="s">
        <v>42</v>
      </c>
      <c r="E75" s="3" t="s">
        <v>40</v>
      </c>
      <c r="F75" s="18"/>
      <c r="G75" s="3"/>
      <c r="H75" s="3"/>
      <c r="I75" s="3"/>
      <c r="J75" s="3"/>
      <c r="K75" s="3"/>
      <c r="L75" s="14">
        <v>1</v>
      </c>
      <c r="N75" s="21">
        <v>25187</v>
      </c>
      <c r="O75" s="21">
        <v>362</v>
      </c>
      <c r="P75" s="25">
        <f>71/(91+71)</f>
        <v>0.43827160493827161</v>
      </c>
      <c r="Q75" s="25">
        <f>70/(70+108)</f>
        <v>0.39325842696629215</v>
      </c>
      <c r="R75" s="25">
        <f>74/(108+74)</f>
        <v>0.40659340659340659</v>
      </c>
      <c r="S75" s="25">
        <f>83/(90+83)</f>
        <v>0.47976878612716761</v>
      </c>
      <c r="T75" s="25">
        <f>105/(77+105)</f>
        <v>0.57692307692307687</v>
      </c>
      <c r="U75" s="25">
        <f>98/201</f>
        <v>0.48756218905472637</v>
      </c>
      <c r="V75" s="25">
        <f>108/(133+108)</f>
        <v>0.44813278008298757</v>
      </c>
      <c r="W75" s="25">
        <f>94/(109+94)</f>
        <v>0.46305418719211822</v>
      </c>
      <c r="X75" s="25"/>
      <c r="Y75" s="25"/>
      <c r="Z75" s="25"/>
      <c r="AA75" s="25"/>
      <c r="AB75" s="25"/>
      <c r="AC75" s="25"/>
      <c r="AD75" s="25"/>
      <c r="AE75" s="25"/>
      <c r="AF75" s="25">
        <f t="shared" si="3"/>
        <v>0.46169555723475586</v>
      </c>
      <c r="AG75" s="25">
        <f t="shared" si="4"/>
        <v>5.6980535126520064E-2</v>
      </c>
      <c r="AH75" s="26">
        <f t="shared" si="5"/>
        <v>8</v>
      </c>
    </row>
    <row r="76" spans="1:34" x14ac:dyDescent="0.25">
      <c r="A76" s="3">
        <v>28181</v>
      </c>
      <c r="B76" s="3">
        <v>367</v>
      </c>
      <c r="C76" s="3">
        <v>1</v>
      </c>
      <c r="D76" s="1" t="s">
        <v>2</v>
      </c>
      <c r="E76" s="3" t="s">
        <v>3</v>
      </c>
      <c r="F76" s="18"/>
      <c r="G76" s="3"/>
      <c r="H76" s="3"/>
      <c r="I76" s="3"/>
      <c r="J76" s="3"/>
      <c r="K76" s="3"/>
      <c r="L76" s="14">
        <v>1</v>
      </c>
      <c r="N76" s="31">
        <v>28181</v>
      </c>
      <c r="O76" s="31">
        <v>367</v>
      </c>
      <c r="P76" s="30">
        <f>213/(213+53)</f>
        <v>0.8007518796992481</v>
      </c>
      <c r="Q76" s="30">
        <f>194/(194+76)</f>
        <v>0.71851851851851856</v>
      </c>
      <c r="R76" s="30">
        <f>169/(169+61)</f>
        <v>0.73478260869565215</v>
      </c>
      <c r="S76" s="30">
        <f>121/(121+46)</f>
        <v>0.72455089820359286</v>
      </c>
      <c r="T76" s="30">
        <f>210/(210+95)</f>
        <v>0.68852459016393441</v>
      </c>
      <c r="U76" s="30">
        <f>135/(135+58)</f>
        <v>0.69948186528497414</v>
      </c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24">
        <f t="shared" si="3"/>
        <v>0.72776839342765343</v>
      </c>
      <c r="AG76" s="24">
        <f t="shared" si="4"/>
        <v>3.9526964756989476E-2</v>
      </c>
      <c r="AH76" s="24">
        <f t="shared" si="5"/>
        <v>6</v>
      </c>
    </row>
    <row r="77" spans="1:34" x14ac:dyDescent="0.25">
      <c r="A77" s="3">
        <v>28182</v>
      </c>
      <c r="B77" s="3">
        <v>370</v>
      </c>
      <c r="C77" s="3">
        <v>1</v>
      </c>
      <c r="D77" s="1" t="s">
        <v>46</v>
      </c>
      <c r="E77" s="3" t="s">
        <v>40</v>
      </c>
      <c r="F77" s="3"/>
      <c r="G77" s="3"/>
      <c r="H77" s="3"/>
      <c r="I77" s="3"/>
      <c r="J77" s="3"/>
      <c r="K77" s="3"/>
      <c r="L77" s="14">
        <v>1</v>
      </c>
      <c r="N77" s="23">
        <v>28182</v>
      </c>
      <c r="O77" s="23">
        <v>370</v>
      </c>
      <c r="P77" s="24">
        <f>138/(138+80)</f>
        <v>0.6330275229357798</v>
      </c>
      <c r="Q77" s="24">
        <f>163/(163+96)</f>
        <v>0.62934362934362931</v>
      </c>
      <c r="R77" s="24">
        <f>186/(186+89)</f>
        <v>0.67636363636363639</v>
      </c>
      <c r="S77" s="24">
        <f>184/(184+74)</f>
        <v>0.71317829457364346</v>
      </c>
      <c r="T77" s="24">
        <f>145/(145+89)</f>
        <v>0.61965811965811968</v>
      </c>
      <c r="U77" s="24">
        <v>0.65427509289999997</v>
      </c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>
        <f t="shared" si="3"/>
        <v>0.65430771596246806</v>
      </c>
      <c r="AG77" s="24">
        <f t="shared" si="4"/>
        <v>3.5295485476309202E-2</v>
      </c>
      <c r="AH77" s="24">
        <f t="shared" si="5"/>
        <v>6</v>
      </c>
    </row>
    <row r="78" spans="1:34" x14ac:dyDescent="0.25">
      <c r="A78" s="3">
        <v>28183</v>
      </c>
      <c r="B78" s="3">
        <v>371</v>
      </c>
      <c r="C78" s="3">
        <v>1</v>
      </c>
      <c r="D78" s="1" t="s">
        <v>4</v>
      </c>
      <c r="E78" s="3" t="s">
        <v>3</v>
      </c>
      <c r="F78" s="18"/>
      <c r="G78" s="3"/>
      <c r="H78" s="3"/>
      <c r="I78" s="3"/>
      <c r="J78" s="3"/>
      <c r="K78" s="3"/>
      <c r="L78" s="14">
        <v>1</v>
      </c>
      <c r="N78" s="23">
        <v>28183</v>
      </c>
      <c r="O78" s="23">
        <v>371</v>
      </c>
      <c r="P78" s="24">
        <f>152/(152+107)</f>
        <v>0.58687258687258692</v>
      </c>
      <c r="Q78" s="24">
        <f>96/(67+96)</f>
        <v>0.58895705521472397</v>
      </c>
      <c r="R78" s="24">
        <f>79/(79+63)</f>
        <v>0.55633802816901412</v>
      </c>
      <c r="S78" s="24">
        <f>38/(38+48)</f>
        <v>0.44186046511627908</v>
      </c>
      <c r="T78" s="24">
        <f>91/(91+49)</f>
        <v>0.65</v>
      </c>
      <c r="U78" s="24">
        <f>131/(131+108)</f>
        <v>0.54811715481171552</v>
      </c>
      <c r="V78" s="24">
        <f>120/(120+69)</f>
        <v>0.63492063492063489</v>
      </c>
      <c r="W78" s="24">
        <f>90/(90+53)</f>
        <v>0.62937062937062938</v>
      </c>
      <c r="X78" s="24"/>
      <c r="Y78" s="24"/>
      <c r="Z78" s="24"/>
      <c r="AA78" s="24"/>
      <c r="AB78" s="24"/>
      <c r="AC78" s="24"/>
      <c r="AD78" s="24"/>
      <c r="AE78" s="24"/>
      <c r="AF78" s="24">
        <f t="shared" si="3"/>
        <v>0.57955456930944793</v>
      </c>
      <c r="AG78" s="24">
        <f t="shared" si="4"/>
        <v>6.6696053675396605E-2</v>
      </c>
      <c r="AH78" s="24">
        <f t="shared" si="5"/>
        <v>8</v>
      </c>
    </row>
    <row r="79" spans="1:34" x14ac:dyDescent="0.25">
      <c r="A79" s="3">
        <v>28184</v>
      </c>
      <c r="B79" s="3">
        <v>373</v>
      </c>
      <c r="C79" s="3">
        <v>1</v>
      </c>
      <c r="D79" s="1" t="s">
        <v>49</v>
      </c>
      <c r="E79" s="3" t="s">
        <v>40</v>
      </c>
      <c r="F79" s="18"/>
      <c r="G79" s="3"/>
      <c r="H79" s="18"/>
      <c r="I79" s="3"/>
      <c r="J79" s="3"/>
      <c r="K79" s="3"/>
      <c r="L79" s="14">
        <v>1</v>
      </c>
      <c r="N79" s="23">
        <v>28184</v>
      </c>
      <c r="O79" s="23">
        <v>373</v>
      </c>
      <c r="P79" s="24">
        <f>73/(73+53)</f>
        <v>0.57936507936507942</v>
      </c>
      <c r="Q79" s="24">
        <f>141/(141+77)</f>
        <v>0.64678899082568808</v>
      </c>
      <c r="R79" s="24">
        <f>37/(37+22)</f>
        <v>0.6271186440677966</v>
      </c>
      <c r="S79" s="24">
        <f>60/(60+25)</f>
        <v>0.70588235294117652</v>
      </c>
      <c r="T79" s="24">
        <f>81/(81+42)</f>
        <v>0.65853658536585369</v>
      </c>
      <c r="U79" s="24">
        <f>74/104</f>
        <v>0.71153846153846156</v>
      </c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>
        <f t="shared" si="3"/>
        <v>0.65487168568400944</v>
      </c>
      <c r="AG79" s="24">
        <f t="shared" si="4"/>
        <v>4.9726154129117961E-2</v>
      </c>
      <c r="AH79" s="24">
        <f t="shared" si="5"/>
        <v>6</v>
      </c>
    </row>
    <row r="80" spans="1:34" x14ac:dyDescent="0.25">
      <c r="A80" s="3">
        <v>28186</v>
      </c>
      <c r="B80" s="3">
        <v>377</v>
      </c>
      <c r="C80" s="3">
        <v>4</v>
      </c>
      <c r="D80" s="1" t="s">
        <v>66</v>
      </c>
      <c r="E80" s="3" t="s">
        <v>40</v>
      </c>
      <c r="F80" s="1" t="s">
        <v>34</v>
      </c>
      <c r="G80" s="3" t="s">
        <v>3</v>
      </c>
      <c r="H80" s="1" t="s">
        <v>18</v>
      </c>
      <c r="I80" s="3" t="s">
        <v>3</v>
      </c>
      <c r="J80" s="1" t="s">
        <v>63</v>
      </c>
      <c r="K80" s="3" t="s">
        <v>3</v>
      </c>
      <c r="L80" s="14">
        <v>1</v>
      </c>
      <c r="M80" s="14" t="s">
        <v>119</v>
      </c>
      <c r="N80" s="23">
        <v>28186</v>
      </c>
      <c r="O80" s="23">
        <v>377</v>
      </c>
      <c r="P80" s="24">
        <f>146/244</f>
        <v>0.59836065573770492</v>
      </c>
      <c r="Q80" s="24">
        <f>107/224</f>
        <v>0.47767857142857145</v>
      </c>
      <c r="R80" s="24">
        <f>69/124</f>
        <v>0.55645161290322576</v>
      </c>
      <c r="S80" s="24">
        <f>64/127</f>
        <v>0.50393700787401574</v>
      </c>
      <c r="T80" s="24">
        <f>81/158</f>
        <v>0.51265822784810122</v>
      </c>
      <c r="U80" s="24">
        <f>53/101</f>
        <v>0.52475247524752477</v>
      </c>
      <c r="V80" s="24">
        <f>61/143</f>
        <v>0.42657342657342656</v>
      </c>
      <c r="W80" s="24"/>
      <c r="X80" s="24"/>
      <c r="Y80" s="24"/>
      <c r="Z80" s="24"/>
      <c r="AA80" s="24"/>
      <c r="AB80" s="24"/>
      <c r="AC80" s="24"/>
      <c r="AD80" s="24"/>
      <c r="AE80" s="24"/>
      <c r="AF80" s="24">
        <f t="shared" si="3"/>
        <v>0.51434456823036723</v>
      </c>
      <c r="AG80" s="24">
        <f t="shared" si="4"/>
        <v>5.4923219718209848E-2</v>
      </c>
      <c r="AH80" s="24">
        <f t="shared" si="5"/>
        <v>7</v>
      </c>
    </row>
    <row r="81" spans="1:34" x14ac:dyDescent="0.25">
      <c r="A81" s="3">
        <v>25189</v>
      </c>
      <c r="B81" s="3">
        <v>379</v>
      </c>
      <c r="C81" s="3">
        <v>1</v>
      </c>
      <c r="D81" s="1" t="s">
        <v>5</v>
      </c>
      <c r="E81" s="3" t="s">
        <v>3</v>
      </c>
      <c r="F81" s="18"/>
      <c r="G81" s="3"/>
      <c r="H81" s="3"/>
      <c r="I81" s="3"/>
      <c r="J81" s="3"/>
      <c r="K81" s="3"/>
      <c r="L81" s="14">
        <v>1</v>
      </c>
      <c r="N81" s="21">
        <v>25189</v>
      </c>
      <c r="O81" s="21">
        <v>379</v>
      </c>
      <c r="P81" s="25">
        <f>65/(160)</f>
        <v>0.40625</v>
      </c>
      <c r="Q81" s="25">
        <f>28/(65+28)</f>
        <v>0.30107526881720431</v>
      </c>
      <c r="R81" s="25">
        <f>32/(32+68)</f>
        <v>0.32</v>
      </c>
      <c r="S81" s="25">
        <f>27/(62+27)</f>
        <v>0.30337078651685395</v>
      </c>
      <c r="T81" s="25">
        <f>50/(177)</f>
        <v>0.2824858757062147</v>
      </c>
      <c r="U81" s="25">
        <f>55/(87+55)</f>
        <v>0.38732394366197181</v>
      </c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>
        <f t="shared" si="3"/>
        <v>0.33341764578370747</v>
      </c>
      <c r="AG81" s="25">
        <f t="shared" si="4"/>
        <v>5.0859339934522692E-2</v>
      </c>
      <c r="AH81" s="26">
        <f t="shared" si="5"/>
        <v>6</v>
      </c>
    </row>
    <row r="82" spans="1:34" x14ac:dyDescent="0.25">
      <c r="A82" s="18">
        <v>25190</v>
      </c>
      <c r="B82" s="18">
        <v>380</v>
      </c>
      <c r="C82" s="18">
        <v>1</v>
      </c>
      <c r="D82" s="1" t="s">
        <v>50</v>
      </c>
      <c r="E82" s="18" t="s">
        <v>40</v>
      </c>
      <c r="F82" s="18"/>
      <c r="G82" s="18"/>
      <c r="H82" s="18"/>
      <c r="I82" s="18"/>
      <c r="J82" s="18"/>
      <c r="K82" s="18"/>
      <c r="L82" s="14">
        <v>1</v>
      </c>
      <c r="N82" s="21">
        <v>25190</v>
      </c>
      <c r="O82" s="21">
        <v>380</v>
      </c>
      <c r="P82" s="25">
        <f>137/191</f>
        <v>0.7172774869109948</v>
      </c>
      <c r="Q82" s="25">
        <f>137/195</f>
        <v>0.70256410256410251</v>
      </c>
      <c r="R82" s="25">
        <f>128/(199)</f>
        <v>0.64321608040201006</v>
      </c>
      <c r="S82" s="25">
        <f>139/201</f>
        <v>0.69154228855721389</v>
      </c>
      <c r="T82" s="25">
        <f>144/(227)</f>
        <v>0.63436123348017626</v>
      </c>
      <c r="U82" s="25">
        <f>112/167</f>
        <v>0.6706586826347305</v>
      </c>
      <c r="V82" s="25">
        <f>128/177</f>
        <v>0.7231638418079096</v>
      </c>
      <c r="W82" s="25">
        <f>97/156</f>
        <v>0.62179487179487181</v>
      </c>
      <c r="X82" s="25">
        <f>198/296</f>
        <v>0.66891891891891897</v>
      </c>
      <c r="Y82" s="25"/>
      <c r="Z82" s="25"/>
      <c r="AA82" s="25"/>
      <c r="AB82" s="25"/>
      <c r="AC82" s="25"/>
      <c r="AD82" s="25"/>
      <c r="AE82" s="25"/>
      <c r="AF82" s="25">
        <f t="shared" si="3"/>
        <v>0.67483305634121438</v>
      </c>
      <c r="AG82" s="25">
        <f t="shared" si="4"/>
        <v>3.6552457042214222E-2</v>
      </c>
      <c r="AH82" s="26">
        <f t="shared" si="5"/>
        <v>9</v>
      </c>
    </row>
    <row r="83" spans="1:34" x14ac:dyDescent="0.25">
      <c r="A83" s="3">
        <v>28188</v>
      </c>
      <c r="B83" s="3">
        <v>381</v>
      </c>
      <c r="C83" s="3">
        <v>1</v>
      </c>
      <c r="D83" s="1" t="s">
        <v>6</v>
      </c>
      <c r="E83" s="3" t="s">
        <v>3</v>
      </c>
      <c r="F83" s="18"/>
      <c r="G83" s="3"/>
      <c r="H83" s="3"/>
      <c r="I83" s="3"/>
      <c r="J83" s="3"/>
      <c r="K83" s="3"/>
      <c r="L83" s="14">
        <v>1</v>
      </c>
      <c r="N83" s="23">
        <v>28188</v>
      </c>
      <c r="O83" s="23">
        <v>381</v>
      </c>
      <c r="P83" s="24">
        <f>149/(149+52)</f>
        <v>0.74129353233830841</v>
      </c>
      <c r="Q83" s="24">
        <f>129/(129+64)</f>
        <v>0.66839378238341973</v>
      </c>
      <c r="R83" s="24">
        <f>163/(163+73)</f>
        <v>0.69067796610169496</v>
      </c>
      <c r="S83" s="24">
        <f>159/(159+71)</f>
        <v>0.69130434782608696</v>
      </c>
      <c r="T83" s="24">
        <f>120/(120+62)</f>
        <v>0.65934065934065933</v>
      </c>
      <c r="U83" s="24">
        <f>136/(136+55)</f>
        <v>0.7120418848167539</v>
      </c>
      <c r="V83" s="24">
        <f>170/(170+66)</f>
        <v>0.72033898305084743</v>
      </c>
      <c r="W83" s="24">
        <f>177/(177+65)</f>
        <v>0.73140495867768596</v>
      </c>
      <c r="X83" s="24">
        <f>135/(135+79)</f>
        <v>0.63084112149532712</v>
      </c>
      <c r="Y83" s="24">
        <f>157/(157+60)</f>
        <v>0.72350230414746541</v>
      </c>
      <c r="Z83" s="24">
        <f>156/(156+47)</f>
        <v>0.76847290640394084</v>
      </c>
      <c r="AA83" s="24">
        <f>146/(146+57)</f>
        <v>0.71921182266009853</v>
      </c>
      <c r="AB83" s="24"/>
      <c r="AC83" s="24"/>
      <c r="AD83" s="24"/>
      <c r="AE83" s="24"/>
      <c r="AF83" s="24">
        <f t="shared" si="3"/>
        <v>0.70473535577019064</v>
      </c>
      <c r="AG83" s="24">
        <f t="shared" si="4"/>
        <v>3.836264377082705E-2</v>
      </c>
      <c r="AH83" s="24">
        <f t="shared" si="5"/>
        <v>12</v>
      </c>
    </row>
    <row r="84" spans="1:34" x14ac:dyDescent="0.25">
      <c r="A84" s="3">
        <v>28189</v>
      </c>
      <c r="B84" s="3">
        <v>382</v>
      </c>
      <c r="C84" s="3">
        <v>1</v>
      </c>
      <c r="D84" s="1" t="s">
        <v>24</v>
      </c>
      <c r="E84" s="3" t="s">
        <v>21</v>
      </c>
      <c r="F84" s="18"/>
      <c r="G84" s="3"/>
      <c r="H84" s="3"/>
      <c r="I84" s="3"/>
      <c r="J84" s="3"/>
      <c r="K84" s="3"/>
      <c r="L84" s="14">
        <v>1</v>
      </c>
      <c r="N84" s="23">
        <v>28189</v>
      </c>
      <c r="O84" s="23">
        <v>382</v>
      </c>
      <c r="P84" s="27">
        <v>0.69886363636363635</v>
      </c>
      <c r="Q84" s="27">
        <v>0.76923076923076927</v>
      </c>
      <c r="R84" s="24">
        <f>112/(112+42)</f>
        <v>0.72727272727272729</v>
      </c>
      <c r="S84" s="27">
        <v>0.72139303482587069</v>
      </c>
      <c r="T84" s="24">
        <f>101/(101+24)</f>
        <v>0.80800000000000005</v>
      </c>
      <c r="U84" s="24">
        <f>142/(142+58)</f>
        <v>0.71</v>
      </c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>
        <f t="shared" si="3"/>
        <v>0.73912669461550051</v>
      </c>
      <c r="AG84" s="24">
        <f t="shared" si="4"/>
        <v>4.1410783458765192E-2</v>
      </c>
      <c r="AH84" s="24">
        <f t="shared" si="5"/>
        <v>6</v>
      </c>
    </row>
    <row r="85" spans="1:34" x14ac:dyDescent="0.25">
      <c r="A85" s="18">
        <v>28190</v>
      </c>
      <c r="B85" s="18">
        <v>383</v>
      </c>
      <c r="C85" s="18">
        <v>4</v>
      </c>
      <c r="D85" s="1" t="s">
        <v>34</v>
      </c>
      <c r="E85" s="18" t="s">
        <v>3</v>
      </c>
      <c r="F85" s="1" t="s">
        <v>84</v>
      </c>
      <c r="G85" s="18" t="s">
        <v>40</v>
      </c>
      <c r="H85" s="1" t="s">
        <v>87</v>
      </c>
      <c r="I85" s="18" t="s">
        <v>40</v>
      </c>
      <c r="J85" s="1" t="s">
        <v>32</v>
      </c>
      <c r="K85" s="18" t="s">
        <v>21</v>
      </c>
      <c r="L85" s="14">
        <v>1</v>
      </c>
      <c r="M85" s="14" t="s">
        <v>119</v>
      </c>
      <c r="N85" s="23">
        <v>28190</v>
      </c>
      <c r="O85" s="23">
        <v>383</v>
      </c>
      <c r="P85" s="24">
        <f>132/(132+68)</f>
        <v>0.66</v>
      </c>
      <c r="Q85" s="24">
        <f>118/(118+98)</f>
        <v>0.54629629629629628</v>
      </c>
      <c r="R85" s="27">
        <v>0.58895705521472397</v>
      </c>
      <c r="S85" s="27">
        <v>0.57549857549857553</v>
      </c>
      <c r="T85" s="27">
        <v>0.63722397476340698</v>
      </c>
      <c r="U85" s="24">
        <f>100/(160)</f>
        <v>0.625</v>
      </c>
      <c r="V85" s="27">
        <v>0.5955056179775281</v>
      </c>
      <c r="W85" s="24">
        <f>143/(143+70)</f>
        <v>0.67136150234741787</v>
      </c>
      <c r="X85" s="27">
        <v>0.60504201680672265</v>
      </c>
      <c r="Y85" s="27">
        <v>0.54485049833887045</v>
      </c>
      <c r="Z85" s="27">
        <v>0.67942583732057416</v>
      </c>
      <c r="AA85" s="27">
        <v>0.51027397260273977</v>
      </c>
      <c r="AB85" s="27">
        <v>0.67664670658682635</v>
      </c>
      <c r="AC85" s="27">
        <v>0.74626865671641796</v>
      </c>
      <c r="AD85" s="24"/>
      <c r="AE85" s="24"/>
      <c r="AF85" s="24">
        <f t="shared" si="3"/>
        <v>0.61873933646215007</v>
      </c>
      <c r="AG85" s="24">
        <f t="shared" si="4"/>
        <v>6.4515182730068427E-2</v>
      </c>
      <c r="AH85" s="24">
        <f t="shared" si="5"/>
        <v>14</v>
      </c>
    </row>
    <row r="86" spans="1:34" x14ac:dyDescent="0.25">
      <c r="A86" s="3">
        <v>28191</v>
      </c>
      <c r="B86" s="3">
        <v>385</v>
      </c>
      <c r="C86" s="3">
        <v>1</v>
      </c>
      <c r="D86" s="1" t="s">
        <v>16</v>
      </c>
      <c r="E86" s="3" t="s">
        <v>72</v>
      </c>
      <c r="F86" s="18"/>
      <c r="G86" s="3"/>
      <c r="H86" s="3"/>
      <c r="I86" s="3"/>
      <c r="J86" s="3"/>
      <c r="K86" s="3"/>
      <c r="L86" s="14">
        <v>1</v>
      </c>
      <c r="N86" s="23">
        <v>28191</v>
      </c>
      <c r="O86" s="23">
        <v>385</v>
      </c>
      <c r="P86" s="24">
        <f>82/(82+113)</f>
        <v>0.42051282051282052</v>
      </c>
      <c r="Q86" s="27">
        <v>0.31210191082802546</v>
      </c>
      <c r="R86" s="24">
        <f>74/(74+60)</f>
        <v>0.55223880597014929</v>
      </c>
      <c r="S86" s="24">
        <f>70/(70+89)</f>
        <v>0.44025157232704404</v>
      </c>
      <c r="T86" s="24">
        <f>89/(122+89)</f>
        <v>0.4218009478672986</v>
      </c>
      <c r="U86" s="24">
        <f>82/(82+74)</f>
        <v>0.52564102564102566</v>
      </c>
      <c r="V86" s="24">
        <f>70/(70+96)</f>
        <v>0.42168674698795183</v>
      </c>
      <c r="W86" s="24">
        <f>106/(106+88)</f>
        <v>0.54639175257731953</v>
      </c>
      <c r="X86" s="24"/>
      <c r="Y86" s="24"/>
      <c r="Z86" s="24"/>
      <c r="AA86" s="24"/>
      <c r="AB86" s="24"/>
      <c r="AC86" s="24"/>
      <c r="AD86" s="24"/>
      <c r="AE86" s="24"/>
      <c r="AF86" s="24">
        <f t="shared" si="3"/>
        <v>0.45507819783895431</v>
      </c>
      <c r="AG86" s="24">
        <f t="shared" si="4"/>
        <v>8.1798217633058584E-2</v>
      </c>
      <c r="AH86" s="24">
        <f t="shared" si="5"/>
        <v>8</v>
      </c>
    </row>
    <row r="87" spans="1:34" x14ac:dyDescent="0.25">
      <c r="A87" s="3">
        <v>28192</v>
      </c>
      <c r="B87" s="3">
        <v>386</v>
      </c>
      <c r="C87" s="3">
        <v>1</v>
      </c>
      <c r="D87" s="1" t="s">
        <v>7</v>
      </c>
      <c r="E87" s="3" t="s">
        <v>3</v>
      </c>
      <c r="F87" s="3"/>
      <c r="G87" s="3"/>
      <c r="H87" s="3"/>
      <c r="I87" s="3"/>
      <c r="J87" s="3"/>
      <c r="K87" s="3"/>
      <c r="L87" s="14">
        <v>1</v>
      </c>
      <c r="N87" s="23">
        <v>28192</v>
      </c>
      <c r="O87" s="23">
        <v>386</v>
      </c>
      <c r="P87" s="24">
        <f>71/(101)</f>
        <v>0.70297029702970293</v>
      </c>
      <c r="Q87" s="24">
        <f>67/(67+34)</f>
        <v>0.6633663366336634</v>
      </c>
      <c r="R87" s="24">
        <f>105/(105+29)</f>
        <v>0.78358208955223885</v>
      </c>
      <c r="S87" s="24">
        <f>129/(129+43)</f>
        <v>0.75</v>
      </c>
      <c r="T87" s="24">
        <f>88/(109)</f>
        <v>0.80733944954128445</v>
      </c>
      <c r="U87" s="24">
        <f>122/(122+30)</f>
        <v>0.80263157894736847</v>
      </c>
      <c r="V87" s="24">
        <f>95/(95+47)</f>
        <v>0.66901408450704225</v>
      </c>
      <c r="W87" s="24"/>
      <c r="X87" s="24"/>
      <c r="Y87" s="24"/>
      <c r="Z87" s="24"/>
      <c r="AA87" s="24"/>
      <c r="AB87" s="24"/>
      <c r="AC87" s="24"/>
      <c r="AD87" s="24"/>
      <c r="AE87" s="24"/>
      <c r="AF87" s="24">
        <f t="shared" si="3"/>
        <v>0.73984340517304292</v>
      </c>
      <c r="AG87" s="24">
        <f t="shared" si="4"/>
        <v>6.1562245577830917E-2</v>
      </c>
      <c r="AH87" s="24">
        <f t="shared" si="5"/>
        <v>7</v>
      </c>
    </row>
    <row r="88" spans="1:34" x14ac:dyDescent="0.25">
      <c r="A88" s="3">
        <v>55021</v>
      </c>
      <c r="B88" s="3">
        <v>390</v>
      </c>
      <c r="C88" s="3">
        <v>1</v>
      </c>
      <c r="D88" s="1" t="s">
        <v>20</v>
      </c>
      <c r="E88" s="3" t="s">
        <v>21</v>
      </c>
      <c r="F88" s="3"/>
      <c r="G88" s="3"/>
      <c r="H88" s="3"/>
      <c r="I88" s="3"/>
      <c r="J88" s="3"/>
      <c r="K88" s="3"/>
      <c r="L88" s="14">
        <v>1</v>
      </c>
      <c r="N88" s="21">
        <v>55021</v>
      </c>
      <c r="O88" s="21">
        <v>390</v>
      </c>
      <c r="P88" s="25">
        <f>104/(104+26)</f>
        <v>0.8</v>
      </c>
      <c r="Q88" s="25">
        <f>67/(67+55)</f>
        <v>0.54918032786885251</v>
      </c>
      <c r="R88" s="25">
        <f>43/(43+45)</f>
        <v>0.48863636363636365</v>
      </c>
      <c r="S88" s="25">
        <f>132/(132+130)</f>
        <v>0.50381679389312972</v>
      </c>
      <c r="T88" s="25">
        <f>61/(61+80)</f>
        <v>0.43262411347517732</v>
      </c>
      <c r="U88" s="28">
        <v>0.7136929460580913</v>
      </c>
      <c r="V88" s="25">
        <f>47/(47+31)</f>
        <v>0.60256410256410253</v>
      </c>
      <c r="W88" s="25"/>
      <c r="X88" s="25"/>
      <c r="Y88" s="25"/>
      <c r="Z88" s="25"/>
      <c r="AA88" s="25"/>
      <c r="AB88" s="25"/>
      <c r="AC88" s="25"/>
      <c r="AD88" s="25"/>
      <c r="AE88" s="25"/>
      <c r="AF88" s="25">
        <f t="shared" si="3"/>
        <v>0.584359235356531</v>
      </c>
      <c r="AG88" s="25">
        <f t="shared" si="4"/>
        <v>0.13132061343744211</v>
      </c>
      <c r="AH88" s="26">
        <f t="shared" si="5"/>
        <v>7</v>
      </c>
    </row>
    <row r="89" spans="1:34" x14ac:dyDescent="0.25">
      <c r="A89" s="3">
        <v>25191</v>
      </c>
      <c r="B89" s="3">
        <v>391</v>
      </c>
      <c r="C89" s="3">
        <v>1</v>
      </c>
      <c r="D89" s="1" t="s">
        <v>44</v>
      </c>
      <c r="E89" s="3" t="s">
        <v>40</v>
      </c>
      <c r="F89" s="18"/>
      <c r="G89" s="3"/>
      <c r="H89" s="3"/>
      <c r="I89" s="3"/>
      <c r="J89" s="3"/>
      <c r="K89" s="3"/>
      <c r="L89" s="14">
        <v>1</v>
      </c>
      <c r="N89" s="21">
        <v>25191</v>
      </c>
      <c r="O89" s="21">
        <v>391</v>
      </c>
      <c r="P89" s="25">
        <v>0.56493506493506496</v>
      </c>
      <c r="Q89" s="25">
        <v>0.61751152073732718</v>
      </c>
      <c r="R89" s="25">
        <v>0.53614457831325302</v>
      </c>
      <c r="S89" s="25">
        <v>0.57763975155279501</v>
      </c>
      <c r="T89" s="25">
        <v>0.58571428571428574</v>
      </c>
      <c r="U89" s="25">
        <f>0.601</f>
        <v>0.60099999999999998</v>
      </c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>
        <f t="shared" si="3"/>
        <v>0.58049086687545437</v>
      </c>
      <c r="AG89" s="25">
        <f t="shared" si="4"/>
        <v>2.8408247394306276E-2</v>
      </c>
      <c r="AH89" s="26">
        <f t="shared" si="5"/>
        <v>6</v>
      </c>
    </row>
    <row r="90" spans="1:34" x14ac:dyDescent="0.25">
      <c r="A90" s="18">
        <v>28194</v>
      </c>
      <c r="B90" s="18">
        <v>392</v>
      </c>
      <c r="C90" s="18">
        <v>1</v>
      </c>
      <c r="D90" s="1" t="s">
        <v>48</v>
      </c>
      <c r="E90" s="18" t="s">
        <v>40</v>
      </c>
      <c r="F90" s="18"/>
      <c r="G90" s="18"/>
      <c r="H90" s="18"/>
      <c r="I90" s="18"/>
      <c r="J90" s="18"/>
      <c r="K90" s="18"/>
      <c r="L90" s="14">
        <v>1</v>
      </c>
      <c r="N90" s="23">
        <v>28194</v>
      </c>
      <c r="O90" s="23">
        <v>392</v>
      </c>
      <c r="P90" s="24">
        <v>0.4921875</v>
      </c>
      <c r="Q90" s="24">
        <v>0.42528735632183912</v>
      </c>
      <c r="R90" s="24">
        <v>0.44863013698630139</v>
      </c>
      <c r="S90" s="24">
        <v>0.39591836734693869</v>
      </c>
      <c r="T90" s="24">
        <v>0.37864077669902912</v>
      </c>
      <c r="U90" s="24">
        <v>0.45182724252491702</v>
      </c>
      <c r="V90" s="24">
        <v>0.37007874015748032</v>
      </c>
      <c r="W90" s="24">
        <v>0.4293193717277487</v>
      </c>
      <c r="X90" s="24">
        <v>0.46840148698884759</v>
      </c>
      <c r="Y90" s="24">
        <v>0.59845559845559848</v>
      </c>
      <c r="Z90" s="24">
        <v>0.43448275862068958</v>
      </c>
      <c r="AA90" s="24">
        <v>0.35403726708074529</v>
      </c>
      <c r="AB90" s="24">
        <v>0.39357429718875497</v>
      </c>
      <c r="AC90" s="24"/>
      <c r="AD90" s="24"/>
      <c r="AE90" s="24"/>
      <c r="AF90" s="24">
        <f t="shared" si="3"/>
        <v>0.43391083846914535</v>
      </c>
      <c r="AG90" s="24">
        <f t="shared" si="4"/>
        <v>6.381858981661595E-2</v>
      </c>
      <c r="AH90" s="24">
        <f t="shared" si="5"/>
        <v>13</v>
      </c>
    </row>
    <row r="91" spans="1:34" x14ac:dyDescent="0.25">
      <c r="A91" s="18">
        <v>55022</v>
      </c>
      <c r="B91" s="18">
        <v>395</v>
      </c>
      <c r="C91" s="18">
        <v>1</v>
      </c>
      <c r="D91" s="1" t="s">
        <v>51</v>
      </c>
      <c r="E91" s="18" t="s">
        <v>40</v>
      </c>
      <c r="F91" s="18"/>
      <c r="G91" s="18"/>
      <c r="H91" s="18"/>
      <c r="I91" s="18"/>
      <c r="J91" s="18"/>
      <c r="K91" s="18"/>
      <c r="L91" s="14">
        <v>1</v>
      </c>
      <c r="N91" s="21">
        <v>55022</v>
      </c>
      <c r="O91" s="21">
        <v>395</v>
      </c>
      <c r="P91" s="25">
        <v>0.46956521739130441</v>
      </c>
      <c r="Q91" s="25">
        <v>0.36220472440944879</v>
      </c>
      <c r="R91" s="25">
        <v>0.42592592592592587</v>
      </c>
      <c r="S91" s="25">
        <v>0.3125</v>
      </c>
      <c r="T91" s="25">
        <v>0.484375</v>
      </c>
      <c r="U91" s="25">
        <v>0.38674033149171272</v>
      </c>
      <c r="V91" s="25">
        <v>0.3493975903614458</v>
      </c>
      <c r="W91" s="25"/>
      <c r="X91" s="25"/>
      <c r="Y91" s="25"/>
      <c r="Z91" s="25"/>
      <c r="AA91" s="25"/>
      <c r="AB91" s="25"/>
      <c r="AC91" s="25"/>
      <c r="AD91" s="25"/>
      <c r="AE91" s="25"/>
      <c r="AF91" s="25">
        <f t="shared" si="3"/>
        <v>0.39867268422569108</v>
      </c>
      <c r="AG91" s="25">
        <f t="shared" si="4"/>
        <v>6.3821935737652769E-2</v>
      </c>
      <c r="AH91" s="26">
        <f t="shared" si="5"/>
        <v>7</v>
      </c>
    </row>
    <row r="92" spans="1:34" x14ac:dyDescent="0.25">
      <c r="A92" s="18">
        <v>55023</v>
      </c>
      <c r="B92" s="18">
        <v>397</v>
      </c>
      <c r="C92" s="18">
        <v>2</v>
      </c>
      <c r="D92" s="1" t="s">
        <v>38</v>
      </c>
      <c r="E92" s="18" t="s">
        <v>21</v>
      </c>
      <c r="F92" s="1" t="s">
        <v>46</v>
      </c>
      <c r="G92" s="18" t="s">
        <v>40</v>
      </c>
      <c r="H92" s="18"/>
      <c r="I92" s="18"/>
      <c r="J92" s="18"/>
      <c r="K92" s="18"/>
      <c r="L92" s="14">
        <v>1</v>
      </c>
      <c r="N92" s="21">
        <v>55023</v>
      </c>
      <c r="O92" s="21">
        <v>397</v>
      </c>
      <c r="P92" s="25">
        <v>0.34827586206896499</v>
      </c>
      <c r="Q92" s="25">
        <v>0.39306358381502893</v>
      </c>
      <c r="R92" s="25">
        <v>0.36</v>
      </c>
      <c r="S92" s="25">
        <v>0.34745762711864409</v>
      </c>
      <c r="T92" s="25">
        <v>0.35483870967741937</v>
      </c>
      <c r="U92" s="25">
        <v>0.35064935064935071</v>
      </c>
      <c r="V92" s="25">
        <v>0.62790697674418605</v>
      </c>
      <c r="W92" s="25"/>
      <c r="X92" s="25"/>
      <c r="Y92" s="25"/>
      <c r="Z92" s="25"/>
      <c r="AA92" s="25"/>
      <c r="AB92" s="25"/>
      <c r="AC92" s="25"/>
      <c r="AD92" s="25"/>
      <c r="AE92" s="25"/>
      <c r="AF92" s="25">
        <f t="shared" si="3"/>
        <v>0.39745601572479916</v>
      </c>
      <c r="AG92" s="25">
        <f t="shared" si="4"/>
        <v>0.10283928971447147</v>
      </c>
      <c r="AH92" s="26">
        <f t="shared" si="5"/>
        <v>7</v>
      </c>
    </row>
    <row r="93" spans="1:34" x14ac:dyDescent="0.25">
      <c r="A93" s="3">
        <v>25192</v>
      </c>
      <c r="B93" s="3">
        <v>399</v>
      </c>
      <c r="C93" s="3">
        <v>1</v>
      </c>
      <c r="D93" s="1" t="s">
        <v>44</v>
      </c>
      <c r="E93" s="3" t="s">
        <v>40</v>
      </c>
      <c r="F93" s="18"/>
      <c r="G93" s="3"/>
      <c r="H93" s="18"/>
      <c r="I93" s="3"/>
      <c r="J93" s="18"/>
      <c r="K93" s="3"/>
      <c r="L93" s="14">
        <v>1</v>
      </c>
      <c r="N93" s="21">
        <v>25192</v>
      </c>
      <c r="O93" s="21">
        <v>399</v>
      </c>
      <c r="P93" s="25">
        <v>0.49767441860465123</v>
      </c>
      <c r="Q93" s="25">
        <v>0.45365853658536592</v>
      </c>
      <c r="R93" s="25">
        <v>0.46560846560846558</v>
      </c>
      <c r="S93" s="25">
        <v>0.44905660377358492</v>
      </c>
      <c r="T93" s="25">
        <v>0.4200743494423792</v>
      </c>
      <c r="U93" s="25">
        <v>0.48571428571428571</v>
      </c>
      <c r="V93" s="25">
        <v>0.53816793893129766</v>
      </c>
      <c r="W93" s="25">
        <v>0.46982758620689657</v>
      </c>
      <c r="X93" s="25"/>
      <c r="Y93" s="25"/>
      <c r="Z93" s="25"/>
      <c r="AA93" s="25"/>
      <c r="AB93" s="25"/>
      <c r="AC93" s="25"/>
      <c r="AD93" s="25"/>
      <c r="AE93" s="25"/>
      <c r="AF93" s="25">
        <f t="shared" si="3"/>
        <v>0.47247277310836588</v>
      </c>
      <c r="AG93" s="25">
        <f t="shared" si="4"/>
        <v>3.5513213678555769E-2</v>
      </c>
      <c r="AH93" s="26">
        <f t="shared" si="5"/>
        <v>8</v>
      </c>
    </row>
    <row r="94" spans="1:34" x14ac:dyDescent="0.25">
      <c r="A94" s="3">
        <v>29657</v>
      </c>
      <c r="B94" s="3">
        <v>406</v>
      </c>
      <c r="C94" s="3">
        <v>1</v>
      </c>
      <c r="D94" s="1">
        <v>41894</v>
      </c>
      <c r="E94" s="3" t="s">
        <v>40</v>
      </c>
      <c r="F94" s="18"/>
      <c r="G94" s="3"/>
      <c r="H94" s="3"/>
      <c r="I94" s="3"/>
      <c r="J94" s="3"/>
      <c r="K94" s="3"/>
      <c r="L94" s="14">
        <v>1</v>
      </c>
      <c r="N94" s="21">
        <v>29657</v>
      </c>
      <c r="O94" s="21">
        <v>406</v>
      </c>
      <c r="P94" s="25">
        <v>0.46889952153110048</v>
      </c>
      <c r="Q94" s="25">
        <v>0.47148288973384028</v>
      </c>
      <c r="R94" s="25">
        <v>0.44871794871794868</v>
      </c>
      <c r="S94" s="25">
        <v>0.50871080139372826</v>
      </c>
      <c r="T94" s="25">
        <v>0.4732620320855615</v>
      </c>
      <c r="U94" s="25">
        <v>0.48507462686567171</v>
      </c>
      <c r="V94" s="25">
        <v>0.48995983935742971</v>
      </c>
      <c r="W94" s="25">
        <v>0.47674418604651159</v>
      </c>
      <c r="X94" s="25"/>
      <c r="Y94" s="25"/>
      <c r="Z94" s="25"/>
      <c r="AA94" s="25"/>
      <c r="AB94" s="25"/>
      <c r="AC94" s="25"/>
      <c r="AD94" s="25"/>
      <c r="AE94" s="25"/>
      <c r="AF94" s="25">
        <f t="shared" si="3"/>
        <v>0.47785648071647402</v>
      </c>
      <c r="AG94" s="25">
        <f t="shared" si="4"/>
        <v>1.7496252713995547E-2</v>
      </c>
      <c r="AH94" s="26">
        <f t="shared" si="5"/>
        <v>8</v>
      </c>
    </row>
    <row r="95" spans="1:34" x14ac:dyDescent="0.25">
      <c r="A95" s="3">
        <v>28278</v>
      </c>
      <c r="B95" s="3">
        <v>409</v>
      </c>
      <c r="C95" s="3">
        <v>1</v>
      </c>
      <c r="D95" s="1" t="s">
        <v>25</v>
      </c>
      <c r="E95" s="3" t="s">
        <v>40</v>
      </c>
      <c r="F95" s="18"/>
      <c r="G95" s="3"/>
      <c r="H95" s="18"/>
      <c r="I95" s="3"/>
      <c r="J95" s="18"/>
      <c r="K95" s="3"/>
      <c r="L95" s="14">
        <v>1</v>
      </c>
      <c r="N95" s="21">
        <v>28278</v>
      </c>
      <c r="O95" s="21">
        <v>409</v>
      </c>
      <c r="P95" s="25">
        <v>0.52054794520547942</v>
      </c>
      <c r="Q95" s="25">
        <v>0.54374999999999996</v>
      </c>
      <c r="R95" s="25">
        <v>0.53281853281853286</v>
      </c>
      <c r="S95" s="25">
        <v>0.59774436090225569</v>
      </c>
      <c r="T95" s="25">
        <v>0.55319148936170215</v>
      </c>
      <c r="U95" s="25">
        <v>0.53240740740740744</v>
      </c>
      <c r="V95" s="25">
        <v>0.49836065573770488</v>
      </c>
      <c r="W95" s="25">
        <v>0.54976303317535546</v>
      </c>
      <c r="X95" s="25"/>
      <c r="Y95" s="25"/>
      <c r="Z95" s="25"/>
      <c r="AA95" s="25"/>
      <c r="AB95" s="25"/>
      <c r="AC95" s="25"/>
      <c r="AD95" s="25"/>
      <c r="AE95" s="25"/>
      <c r="AF95" s="25">
        <f t="shared" si="3"/>
        <v>0.54107292807605478</v>
      </c>
      <c r="AG95" s="25">
        <f t="shared" si="4"/>
        <v>2.8859350766384188E-2</v>
      </c>
      <c r="AH95" s="26">
        <f t="shared" si="5"/>
        <v>8</v>
      </c>
    </row>
    <row r="96" spans="1:34" x14ac:dyDescent="0.25">
      <c r="A96" s="3">
        <v>28196</v>
      </c>
      <c r="B96" s="3">
        <v>426</v>
      </c>
      <c r="C96" s="3">
        <v>2</v>
      </c>
      <c r="D96" s="1" t="s">
        <v>49</v>
      </c>
      <c r="E96" s="3" t="s">
        <v>40</v>
      </c>
      <c r="F96" s="1">
        <v>41922</v>
      </c>
      <c r="G96" s="3" t="s">
        <v>3</v>
      </c>
      <c r="H96" s="1"/>
      <c r="I96" s="3"/>
      <c r="J96" s="1"/>
      <c r="K96" s="3"/>
      <c r="L96" s="14">
        <v>1</v>
      </c>
      <c r="M96" s="14" t="s">
        <v>119</v>
      </c>
      <c r="N96" s="29">
        <v>28196</v>
      </c>
      <c r="O96" s="29">
        <v>426</v>
      </c>
      <c r="P96" s="26">
        <f>143/(143+68)</f>
        <v>0.67772511848341233</v>
      </c>
      <c r="Q96" s="26">
        <f>134/(134+60)</f>
        <v>0.69072164948453607</v>
      </c>
      <c r="R96" s="26">
        <f>40/(40+13)</f>
        <v>0.75471698113207553</v>
      </c>
      <c r="S96" s="26">
        <f>207/(207+71)</f>
        <v>0.74460431654676262</v>
      </c>
      <c r="T96" s="26">
        <f>172/(172+70)</f>
        <v>0.71074380165289253</v>
      </c>
      <c r="U96" s="26">
        <f>176/(176+63)</f>
        <v>0.7364016736401674</v>
      </c>
      <c r="V96" s="26">
        <f>98/(98+61)</f>
        <v>0.61635220125786161</v>
      </c>
      <c r="W96" s="26">
        <f>135/(135+43)</f>
        <v>0.7584269662921348</v>
      </c>
      <c r="X96" s="26">
        <f>142/(142+59)</f>
        <v>0.70646766169154229</v>
      </c>
      <c r="Y96" s="26">
        <f>167/(167+101)</f>
        <v>0.62313432835820892</v>
      </c>
      <c r="Z96" s="24">
        <f>116/(116+67)</f>
        <v>0.63387978142076506</v>
      </c>
      <c r="AA96" s="24">
        <f>125/(125+49)</f>
        <v>0.7183908045977011</v>
      </c>
      <c r="AB96" s="26"/>
      <c r="AC96" s="26"/>
      <c r="AD96" s="26"/>
      <c r="AE96" s="26"/>
      <c r="AF96" s="25">
        <f t="shared" si="3"/>
        <v>0.69763044037983846</v>
      </c>
      <c r="AG96" s="25">
        <f t="shared" si="4"/>
        <v>5.0461341031653804E-2</v>
      </c>
      <c r="AH96" s="26">
        <f t="shared" si="5"/>
        <v>12</v>
      </c>
    </row>
    <row r="97" spans="1:34" x14ac:dyDescent="0.25">
      <c r="A97" s="18">
        <v>25193</v>
      </c>
      <c r="B97" s="18">
        <v>427</v>
      </c>
      <c r="C97" s="18">
        <v>1</v>
      </c>
      <c r="D97" s="1" t="s">
        <v>52</v>
      </c>
      <c r="E97" s="18" t="s">
        <v>40</v>
      </c>
      <c r="F97" s="18"/>
      <c r="G97" s="18"/>
      <c r="H97" s="18"/>
      <c r="I97" s="18"/>
      <c r="J97" s="18"/>
      <c r="K97" s="18"/>
      <c r="L97" s="14">
        <v>1</v>
      </c>
      <c r="N97" s="21">
        <v>25193</v>
      </c>
      <c r="O97" s="21">
        <v>427</v>
      </c>
      <c r="P97" s="25">
        <v>0.70422535211267601</v>
      </c>
      <c r="Q97" s="25">
        <v>0.6216216216216216</v>
      </c>
      <c r="R97" s="25">
        <v>0.73469387755102045</v>
      </c>
      <c r="S97" s="25">
        <v>0.83448275862068966</v>
      </c>
      <c r="T97" s="25">
        <v>0.660377358490566</v>
      </c>
      <c r="U97" s="25">
        <v>0.69302325581395352</v>
      </c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>
        <f t="shared" si="3"/>
        <v>0.70807070403508787</v>
      </c>
      <c r="AG97" s="25">
        <f t="shared" si="4"/>
        <v>7.3045345370320452E-2</v>
      </c>
      <c r="AH97" s="26">
        <f t="shared" si="5"/>
        <v>6</v>
      </c>
    </row>
    <row r="98" spans="1:34" x14ac:dyDescent="0.25">
      <c r="A98" s="3">
        <v>25194</v>
      </c>
      <c r="B98" s="3">
        <v>437</v>
      </c>
      <c r="C98" s="3">
        <v>1</v>
      </c>
      <c r="D98" s="1" t="s">
        <v>25</v>
      </c>
      <c r="E98" s="3" t="s">
        <v>21</v>
      </c>
      <c r="F98" s="3"/>
      <c r="G98" s="3"/>
      <c r="H98" s="3"/>
      <c r="I98" s="3"/>
      <c r="J98" s="3"/>
      <c r="K98" s="3"/>
      <c r="L98" s="14">
        <v>1</v>
      </c>
      <c r="N98" s="21">
        <v>25194</v>
      </c>
      <c r="O98" s="21">
        <v>437</v>
      </c>
      <c r="P98" s="25">
        <v>0.46296296296296302</v>
      </c>
      <c r="Q98" s="25">
        <v>0.38912133891213391</v>
      </c>
      <c r="R98" s="25">
        <v>0.39080459770114939</v>
      </c>
      <c r="S98" s="25">
        <v>0.36964980544747078</v>
      </c>
      <c r="T98" s="25">
        <v>0.42780748663101598</v>
      </c>
      <c r="U98" s="25">
        <v>0.45918367346938782</v>
      </c>
      <c r="V98" s="25">
        <v>0.41714285714285709</v>
      </c>
      <c r="W98" s="25">
        <v>0.40909090909090912</v>
      </c>
      <c r="X98" s="25"/>
      <c r="Y98" s="25"/>
      <c r="Z98" s="25"/>
      <c r="AA98" s="25"/>
      <c r="AB98" s="25"/>
      <c r="AC98" s="25"/>
      <c r="AD98" s="25"/>
      <c r="AE98" s="25"/>
      <c r="AF98" s="25">
        <f t="shared" si="3"/>
        <v>0.41572045391973594</v>
      </c>
      <c r="AG98" s="25">
        <f t="shared" si="4"/>
        <v>3.3303354680011922E-2</v>
      </c>
      <c r="AH98" s="26">
        <f t="shared" si="5"/>
        <v>8</v>
      </c>
    </row>
    <row r="99" spans="1:34" x14ac:dyDescent="0.25">
      <c r="A99" s="3">
        <v>29658</v>
      </c>
      <c r="B99" s="3">
        <v>439</v>
      </c>
      <c r="C99" s="3">
        <v>1</v>
      </c>
      <c r="D99" s="1" t="s">
        <v>7</v>
      </c>
      <c r="E99" s="3" t="s">
        <v>3</v>
      </c>
      <c r="F99" s="3"/>
      <c r="G99" s="3"/>
      <c r="H99" s="3"/>
      <c r="I99" s="3"/>
      <c r="J99" s="3"/>
      <c r="K99" s="3"/>
      <c r="L99" s="14">
        <v>1</v>
      </c>
      <c r="N99" s="21">
        <v>29658</v>
      </c>
      <c r="O99" s="21">
        <v>439</v>
      </c>
      <c r="P99" s="25">
        <v>0.620253164556962</v>
      </c>
      <c r="Q99" s="25">
        <v>0.660377358490566</v>
      </c>
      <c r="R99" s="25">
        <v>0.59731543624161076</v>
      </c>
      <c r="S99" s="25">
        <v>0.66666666666666663</v>
      </c>
      <c r="T99" s="25">
        <v>0.60199004975124382</v>
      </c>
      <c r="U99" s="25">
        <v>0.62033898305084745</v>
      </c>
      <c r="V99" s="25">
        <v>0.66129032258064513</v>
      </c>
      <c r="W99" s="25">
        <v>0.6157407407407407</v>
      </c>
      <c r="X99" s="25"/>
      <c r="Y99" s="25"/>
      <c r="Z99" s="25"/>
      <c r="AA99" s="25"/>
      <c r="AB99" s="25"/>
      <c r="AC99" s="25"/>
      <c r="AD99" s="25"/>
      <c r="AE99" s="25"/>
      <c r="AF99" s="25">
        <f t="shared" si="3"/>
        <v>0.63049659025991023</v>
      </c>
      <c r="AG99" s="25">
        <f t="shared" si="4"/>
        <v>2.8002143720748E-2</v>
      </c>
      <c r="AH99" s="26">
        <f t="shared" si="5"/>
        <v>8</v>
      </c>
    </row>
    <row r="100" spans="1:34" x14ac:dyDescent="0.25">
      <c r="A100" s="3">
        <v>28197</v>
      </c>
      <c r="B100" s="3">
        <v>440</v>
      </c>
      <c r="C100" s="3">
        <v>1</v>
      </c>
      <c r="D100" s="1" t="s">
        <v>66</v>
      </c>
      <c r="E100" s="3" t="s">
        <v>40</v>
      </c>
      <c r="F100" s="18"/>
      <c r="G100" s="3"/>
      <c r="H100" s="3"/>
      <c r="I100" s="3"/>
      <c r="J100" s="3"/>
      <c r="K100" s="3"/>
      <c r="L100" s="14">
        <v>1</v>
      </c>
      <c r="M100" s="14" t="s">
        <v>119</v>
      </c>
      <c r="N100" s="23">
        <v>28197</v>
      </c>
      <c r="O100" s="23">
        <v>440</v>
      </c>
      <c r="P100" s="24">
        <v>0.68545994065281901</v>
      </c>
      <c r="Q100" s="24">
        <v>0.68211920529801329</v>
      </c>
      <c r="R100" s="24">
        <v>0.73493975903614461</v>
      </c>
      <c r="S100" s="24">
        <v>0.71159874608150475</v>
      </c>
      <c r="T100" s="24">
        <v>0.75070028011204482</v>
      </c>
      <c r="U100" s="24">
        <v>0.68613138686131392</v>
      </c>
      <c r="V100" s="24">
        <v>0.69252077562326875</v>
      </c>
      <c r="W100" s="24">
        <v>0.67510548523206748</v>
      </c>
      <c r="X100" s="24"/>
      <c r="Y100" s="24"/>
      <c r="Z100" s="24"/>
      <c r="AA100" s="24"/>
      <c r="AB100" s="24"/>
      <c r="AC100" s="24"/>
      <c r="AD100" s="24"/>
      <c r="AE100" s="24"/>
      <c r="AF100" s="24">
        <f t="shared" si="3"/>
        <v>0.70232194736214704</v>
      </c>
      <c r="AG100" s="24">
        <f t="shared" si="4"/>
        <v>2.7469085993892951E-2</v>
      </c>
      <c r="AH100" s="24">
        <f t="shared" si="5"/>
        <v>8</v>
      </c>
    </row>
    <row r="101" spans="1:34" x14ac:dyDescent="0.25">
      <c r="A101" s="3">
        <v>28198</v>
      </c>
      <c r="B101" s="3">
        <v>441</v>
      </c>
      <c r="C101" s="3">
        <v>1</v>
      </c>
      <c r="D101" s="1" t="s">
        <v>53</v>
      </c>
      <c r="E101" s="3" t="s">
        <v>40</v>
      </c>
      <c r="F101" s="18"/>
      <c r="G101" s="3"/>
      <c r="H101" s="18"/>
      <c r="I101" s="3"/>
      <c r="J101" s="18"/>
      <c r="K101" s="3"/>
      <c r="L101" s="14">
        <v>1</v>
      </c>
      <c r="N101" s="23">
        <v>28198</v>
      </c>
      <c r="O101" s="23">
        <v>441</v>
      </c>
      <c r="P101" s="24">
        <v>0.51624548736462095</v>
      </c>
      <c r="Q101" s="24">
        <v>0.66058394160583944</v>
      </c>
      <c r="R101" s="24">
        <v>0.65567765567765568</v>
      </c>
      <c r="S101" s="24">
        <v>0.67431192660550454</v>
      </c>
      <c r="T101" s="24">
        <v>0.6785714285714286</v>
      </c>
      <c r="U101" s="24">
        <v>0.71100917431192656</v>
      </c>
      <c r="V101" s="24">
        <v>0.65567765567765568</v>
      </c>
      <c r="W101" s="24">
        <v>0.67241379310344829</v>
      </c>
      <c r="X101" s="24"/>
      <c r="Y101" s="24"/>
      <c r="Z101" s="24"/>
      <c r="AA101" s="24"/>
      <c r="AB101" s="24"/>
      <c r="AC101" s="24"/>
      <c r="AD101" s="24"/>
      <c r="AE101" s="24"/>
      <c r="AF101" s="24">
        <f t="shared" si="3"/>
        <v>0.65306138286476001</v>
      </c>
      <c r="AG101" s="24">
        <f t="shared" si="4"/>
        <v>5.8093125085338343E-2</v>
      </c>
      <c r="AH101" s="24">
        <f t="shared" si="5"/>
        <v>8</v>
      </c>
    </row>
    <row r="102" spans="1:34" x14ac:dyDescent="0.25">
      <c r="A102" s="3">
        <v>28199</v>
      </c>
      <c r="B102" s="3">
        <v>443</v>
      </c>
      <c r="C102" s="3">
        <v>1</v>
      </c>
      <c r="D102" s="1" t="s">
        <v>8</v>
      </c>
      <c r="E102" s="3" t="s">
        <v>3</v>
      </c>
      <c r="F102" s="18"/>
      <c r="G102" s="3"/>
      <c r="H102" s="18"/>
      <c r="I102" s="3"/>
      <c r="J102" s="18"/>
      <c r="K102" s="3"/>
      <c r="L102" s="14">
        <v>1</v>
      </c>
      <c r="N102" s="23">
        <v>28199</v>
      </c>
      <c r="O102" s="23">
        <v>443</v>
      </c>
      <c r="P102" s="24">
        <v>0.77777777777777779</v>
      </c>
      <c r="Q102" s="24">
        <v>0.73300970873786409</v>
      </c>
      <c r="R102" s="24">
        <v>0.79503105590062106</v>
      </c>
      <c r="S102" s="24">
        <v>0.78378378378378377</v>
      </c>
      <c r="T102" s="24">
        <v>0.78694158075601373</v>
      </c>
      <c r="U102" s="24">
        <v>0.75</v>
      </c>
      <c r="V102" s="24">
        <v>0.80909090909090908</v>
      </c>
      <c r="W102" s="24"/>
      <c r="X102" s="24"/>
      <c r="Y102" s="24"/>
      <c r="Z102" s="24"/>
      <c r="AA102" s="24"/>
      <c r="AB102" s="24"/>
      <c r="AC102" s="24"/>
      <c r="AD102" s="24"/>
      <c r="AE102" s="24"/>
      <c r="AF102" s="24">
        <f t="shared" si="3"/>
        <v>0.77651925943528133</v>
      </c>
      <c r="AG102" s="24">
        <f t="shared" si="4"/>
        <v>2.634050447723359E-2</v>
      </c>
      <c r="AH102" s="24">
        <f t="shared" si="5"/>
        <v>7</v>
      </c>
    </row>
    <row r="103" spans="1:34" x14ac:dyDescent="0.25">
      <c r="A103" s="3">
        <v>28200</v>
      </c>
      <c r="B103" s="3">
        <v>461</v>
      </c>
      <c r="C103" s="3">
        <v>2</v>
      </c>
      <c r="D103" s="1" t="s">
        <v>16</v>
      </c>
      <c r="E103" s="3" t="s">
        <v>72</v>
      </c>
      <c r="F103" s="1" t="s">
        <v>54</v>
      </c>
      <c r="G103" s="3" t="s">
        <v>40</v>
      </c>
      <c r="H103" s="3"/>
      <c r="I103" s="3"/>
      <c r="J103" s="3"/>
      <c r="K103" s="3"/>
      <c r="L103" s="14">
        <v>1</v>
      </c>
      <c r="N103" s="23">
        <v>28200</v>
      </c>
      <c r="O103" s="23">
        <v>461</v>
      </c>
      <c r="P103" s="24">
        <v>0.55000000000000004</v>
      </c>
      <c r="Q103" s="24">
        <v>0.5</v>
      </c>
      <c r="R103" s="24">
        <v>0.5</v>
      </c>
      <c r="S103" s="24">
        <v>0.52898550724637683</v>
      </c>
      <c r="T103" s="24">
        <f>156/308</f>
        <v>0.50649350649350644</v>
      </c>
      <c r="U103" s="24">
        <f>97/210</f>
        <v>0.46190476190476193</v>
      </c>
      <c r="V103" s="24">
        <f>111/201</f>
        <v>0.55223880597014929</v>
      </c>
      <c r="W103" s="24">
        <f>128/201</f>
        <v>0.63681592039800994</v>
      </c>
      <c r="X103" s="24"/>
      <c r="Y103" s="24"/>
      <c r="Z103" s="24"/>
      <c r="AA103" s="24"/>
      <c r="AB103" s="24"/>
      <c r="AC103" s="24"/>
      <c r="AD103" s="24"/>
      <c r="AE103" s="24"/>
      <c r="AF103" s="24">
        <f t="shared" si="3"/>
        <v>0.52955481275160055</v>
      </c>
      <c r="AG103" s="24">
        <f t="shared" si="4"/>
        <v>5.249920501674013E-2</v>
      </c>
      <c r="AH103" s="24">
        <f t="shared" si="5"/>
        <v>8</v>
      </c>
    </row>
    <row r="104" spans="1:34" x14ac:dyDescent="0.25">
      <c r="A104" s="3">
        <v>28202</v>
      </c>
      <c r="B104" s="3">
        <v>491</v>
      </c>
      <c r="C104" s="3">
        <v>2</v>
      </c>
      <c r="D104" s="1" t="s">
        <v>64</v>
      </c>
      <c r="E104" s="3" t="s">
        <v>3</v>
      </c>
      <c r="F104" s="1" t="s">
        <v>65</v>
      </c>
      <c r="G104" s="3" t="s">
        <v>21</v>
      </c>
      <c r="H104" s="18"/>
      <c r="I104" s="3"/>
      <c r="J104" s="18"/>
      <c r="K104" s="3"/>
      <c r="L104" s="14">
        <v>1</v>
      </c>
      <c r="N104" s="23">
        <v>28202</v>
      </c>
      <c r="O104" s="23">
        <v>491</v>
      </c>
      <c r="P104" s="24">
        <v>0.63728813559322028</v>
      </c>
      <c r="Q104" s="24">
        <v>0.67069486404833834</v>
      </c>
      <c r="R104" s="24">
        <v>0.61355932203389829</v>
      </c>
      <c r="S104" s="24">
        <v>0.62565445026178013</v>
      </c>
      <c r="T104" s="24">
        <f>154/(154+82)</f>
        <v>0.65254237288135597</v>
      </c>
      <c r="U104" s="26">
        <f>147/(218)</f>
        <v>0.67431192660550454</v>
      </c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>
        <f t="shared" si="3"/>
        <v>0.64567517857068302</v>
      </c>
      <c r="AG104" s="24">
        <f t="shared" si="4"/>
        <v>2.4477772162217869E-2</v>
      </c>
      <c r="AH104" s="24">
        <f t="shared" si="5"/>
        <v>6</v>
      </c>
    </row>
    <row r="105" spans="1:34" x14ac:dyDescent="0.25">
      <c r="A105" s="3">
        <v>28203</v>
      </c>
      <c r="B105" s="3">
        <v>492</v>
      </c>
      <c r="C105" s="3">
        <v>3</v>
      </c>
      <c r="D105" s="1" t="s">
        <v>16</v>
      </c>
      <c r="E105" s="3" t="s">
        <v>72</v>
      </c>
      <c r="F105" s="1" t="s">
        <v>6</v>
      </c>
      <c r="G105" s="3" t="s">
        <v>3</v>
      </c>
      <c r="H105" s="1" t="s">
        <v>49</v>
      </c>
      <c r="I105" s="3" t="s">
        <v>40</v>
      </c>
      <c r="J105" s="3"/>
      <c r="K105" s="3"/>
      <c r="L105" s="14">
        <v>1</v>
      </c>
      <c r="N105" s="23">
        <v>28203</v>
      </c>
      <c r="O105" s="23">
        <v>492</v>
      </c>
      <c r="P105" s="24">
        <v>0.78698224849999998</v>
      </c>
      <c r="Q105" s="24">
        <v>0.75494071149999997</v>
      </c>
      <c r="R105" s="24">
        <f>98/(98+28)</f>
        <v>0.77777777777777779</v>
      </c>
      <c r="S105" s="24">
        <f>145/(145+44)</f>
        <v>0.76719576719576721</v>
      </c>
      <c r="T105" s="24">
        <v>0.68060836499999999</v>
      </c>
      <c r="U105" s="24">
        <f>123/(123+54)</f>
        <v>0.69491525423728817</v>
      </c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>
        <f t="shared" si="3"/>
        <v>0.7437366873684722</v>
      </c>
      <c r="AG105" s="24">
        <f t="shared" si="4"/>
        <v>4.4885521930704789E-2</v>
      </c>
      <c r="AH105" s="24">
        <f t="shared" si="5"/>
        <v>6</v>
      </c>
    </row>
    <row r="106" spans="1:34" x14ac:dyDescent="0.25">
      <c r="A106" s="18">
        <v>28204</v>
      </c>
      <c r="B106" s="18">
        <v>502</v>
      </c>
      <c r="C106" s="18">
        <v>1</v>
      </c>
      <c r="D106" s="1" t="s">
        <v>51</v>
      </c>
      <c r="E106" s="18" t="s">
        <v>40</v>
      </c>
      <c r="F106" s="18"/>
      <c r="G106" s="18"/>
      <c r="H106" s="18"/>
      <c r="I106" s="18"/>
      <c r="J106" s="18"/>
      <c r="K106" s="18"/>
      <c r="L106" s="14">
        <v>1</v>
      </c>
      <c r="N106" s="23">
        <v>28204</v>
      </c>
      <c r="O106" s="23">
        <v>502</v>
      </c>
      <c r="P106" s="24">
        <v>0.70860927152317876</v>
      </c>
      <c r="Q106" s="24">
        <v>0.64827586206896548</v>
      </c>
      <c r="R106" s="24">
        <v>0.61864406779661019</v>
      </c>
      <c r="S106" s="24">
        <v>0.55737704918032782</v>
      </c>
      <c r="T106" s="24">
        <v>0.54225352112676062</v>
      </c>
      <c r="U106" s="24">
        <v>0.70967741935483875</v>
      </c>
      <c r="V106" s="24">
        <v>0.7</v>
      </c>
      <c r="W106" s="24"/>
      <c r="X106" s="24"/>
      <c r="Y106" s="24"/>
      <c r="Z106" s="24"/>
      <c r="AA106" s="24"/>
      <c r="AB106" s="24"/>
      <c r="AC106" s="24"/>
      <c r="AD106" s="24"/>
      <c r="AE106" s="24"/>
      <c r="AF106" s="24">
        <f t="shared" si="3"/>
        <v>0.64069102729295457</v>
      </c>
      <c r="AG106" s="24">
        <f t="shared" si="4"/>
        <v>7.0786444257099165E-2</v>
      </c>
      <c r="AH106" s="24">
        <f t="shared" si="5"/>
        <v>7</v>
      </c>
    </row>
    <row r="107" spans="1:34" x14ac:dyDescent="0.25">
      <c r="A107" s="3">
        <v>55024</v>
      </c>
      <c r="B107" s="3">
        <v>505</v>
      </c>
      <c r="C107" s="3">
        <v>1</v>
      </c>
      <c r="D107" s="1" t="s">
        <v>9</v>
      </c>
      <c r="E107" s="3" t="s">
        <v>3</v>
      </c>
      <c r="F107" s="18"/>
      <c r="G107" s="3"/>
      <c r="H107" s="3"/>
      <c r="I107" s="3"/>
      <c r="J107" s="3"/>
      <c r="K107" s="3"/>
      <c r="L107" s="14">
        <v>1</v>
      </c>
      <c r="N107" s="29">
        <v>55024</v>
      </c>
      <c r="O107" s="29">
        <v>505</v>
      </c>
      <c r="P107" s="26">
        <f>133/(133+58)</f>
        <v>0.69633507853403143</v>
      </c>
      <c r="Q107" s="26">
        <f>146/(146+43)</f>
        <v>0.77248677248677244</v>
      </c>
      <c r="R107" s="26">
        <f>150/(225)</f>
        <v>0.66666666666666663</v>
      </c>
      <c r="S107" s="26">
        <f>94/(94+52)</f>
        <v>0.64383561643835618</v>
      </c>
      <c r="T107" s="26">
        <f>181/(181+55)</f>
        <v>0.76694915254237284</v>
      </c>
      <c r="U107" s="26">
        <f>99/(99+56)</f>
        <v>0.6387096774193548</v>
      </c>
      <c r="V107" s="26">
        <f>97/(97+51)</f>
        <v>0.65540540540540537</v>
      </c>
      <c r="W107" s="26">
        <f>70/(70+29)</f>
        <v>0.70707070707070707</v>
      </c>
      <c r="X107" s="26"/>
      <c r="Y107" s="26"/>
      <c r="Z107" s="26"/>
      <c r="AA107" s="26"/>
      <c r="AB107" s="26"/>
      <c r="AC107" s="26"/>
      <c r="AD107" s="26"/>
      <c r="AE107" s="26"/>
      <c r="AF107" s="25">
        <f t="shared" si="3"/>
        <v>0.6934323845704583</v>
      </c>
      <c r="AG107" s="25">
        <f t="shared" si="4"/>
        <v>5.2733304441373405E-2</v>
      </c>
      <c r="AH107" s="26">
        <f t="shared" si="5"/>
        <v>8</v>
      </c>
    </row>
    <row r="108" spans="1:34" x14ac:dyDescent="0.25">
      <c r="A108" s="3">
        <v>28205</v>
      </c>
      <c r="B108" s="3">
        <v>508</v>
      </c>
      <c r="C108" s="3">
        <v>1</v>
      </c>
      <c r="D108" s="1" t="s">
        <v>54</v>
      </c>
      <c r="E108" s="3" t="s">
        <v>40</v>
      </c>
      <c r="F108" s="18"/>
      <c r="G108" s="3"/>
      <c r="H108" s="18"/>
      <c r="I108" s="3"/>
      <c r="J108" s="18"/>
      <c r="K108" s="3"/>
      <c r="L108" s="14">
        <v>1</v>
      </c>
      <c r="N108" s="23">
        <v>28205</v>
      </c>
      <c r="O108" s="23">
        <v>508</v>
      </c>
      <c r="P108" s="24">
        <v>0.57692307692307687</v>
      </c>
      <c r="Q108" s="24">
        <v>0.59047619047619049</v>
      </c>
      <c r="R108" s="24">
        <v>0.59734513274336287</v>
      </c>
      <c r="S108" s="24">
        <v>0.59728506787330315</v>
      </c>
      <c r="T108" s="24">
        <v>0.54166666666666663</v>
      </c>
      <c r="U108" s="24">
        <v>0.54545454545454541</v>
      </c>
      <c r="V108" s="24">
        <v>0.48618784530386738</v>
      </c>
      <c r="W108" s="24">
        <v>0.6179775280898876</v>
      </c>
      <c r="X108" s="24">
        <v>0.61</v>
      </c>
      <c r="Y108" s="24">
        <v>0.5822222222222222</v>
      </c>
      <c r="Z108" s="24">
        <v>0.61832061068702293</v>
      </c>
      <c r="AA108" s="24">
        <v>0.56164383561643838</v>
      </c>
      <c r="AB108" s="24"/>
      <c r="AC108" s="24"/>
      <c r="AD108" s="24"/>
      <c r="AE108" s="24"/>
      <c r="AF108" s="24">
        <f t="shared" si="3"/>
        <v>0.57712522683804879</v>
      </c>
      <c r="AG108" s="24">
        <f t="shared" si="4"/>
        <v>3.8418598128375364E-2</v>
      </c>
      <c r="AH108" s="24">
        <f t="shared" si="5"/>
        <v>12</v>
      </c>
    </row>
    <row r="109" spans="1:34" x14ac:dyDescent="0.25">
      <c r="A109" s="18">
        <v>28206</v>
      </c>
      <c r="B109" s="18">
        <v>509</v>
      </c>
      <c r="C109" s="18">
        <v>1</v>
      </c>
      <c r="D109" s="1" t="s">
        <v>66</v>
      </c>
      <c r="E109" s="18" t="s">
        <v>40</v>
      </c>
      <c r="F109" s="18"/>
      <c r="G109" s="18"/>
      <c r="H109" s="18"/>
      <c r="I109" s="18"/>
      <c r="J109" s="18"/>
      <c r="K109" s="18"/>
      <c r="L109" s="14">
        <v>1</v>
      </c>
      <c r="M109" s="14" t="s">
        <v>119</v>
      </c>
      <c r="N109" s="23">
        <v>28206</v>
      </c>
      <c r="O109" s="33">
        <v>509</v>
      </c>
      <c r="P109" s="24">
        <v>0.65469613259668513</v>
      </c>
      <c r="Q109" s="24">
        <v>0.74216027874564461</v>
      </c>
      <c r="R109" s="24">
        <v>0.67647058823529416</v>
      </c>
      <c r="S109" s="24">
        <v>0.67088607594936711</v>
      </c>
      <c r="T109" s="24">
        <v>0.69117647058823528</v>
      </c>
      <c r="U109" s="24">
        <v>0.63920454545454541</v>
      </c>
      <c r="V109" s="24">
        <v>0.69806094182825484</v>
      </c>
      <c r="W109" s="24"/>
      <c r="X109" s="24"/>
      <c r="Y109" s="24"/>
      <c r="Z109" s="24"/>
      <c r="AA109" s="24"/>
      <c r="AB109" s="24"/>
      <c r="AC109" s="24"/>
      <c r="AD109" s="24"/>
      <c r="AE109" s="24"/>
      <c r="AF109" s="24">
        <f t="shared" si="3"/>
        <v>0.68180786191400367</v>
      </c>
      <c r="AG109" s="24">
        <f t="shared" si="4"/>
        <v>3.3397125603633247E-2</v>
      </c>
      <c r="AH109" s="24">
        <f t="shared" si="5"/>
        <v>7</v>
      </c>
    </row>
    <row r="110" spans="1:34" x14ac:dyDescent="0.25">
      <c r="A110" s="3">
        <v>29659</v>
      </c>
      <c r="B110" s="3">
        <v>513</v>
      </c>
      <c r="C110" s="3">
        <v>1</v>
      </c>
      <c r="D110" s="1" t="s">
        <v>26</v>
      </c>
      <c r="E110" s="3" t="s">
        <v>21</v>
      </c>
      <c r="F110" s="3"/>
      <c r="G110" s="3"/>
      <c r="H110" s="3"/>
      <c r="I110" s="3"/>
      <c r="J110" s="3"/>
      <c r="K110" s="3"/>
      <c r="L110" s="14">
        <v>1</v>
      </c>
      <c r="N110" s="21">
        <v>29659</v>
      </c>
      <c r="O110" s="21">
        <v>513</v>
      </c>
      <c r="P110" s="25">
        <f>92/(92+62)</f>
        <v>0.59740259740259738</v>
      </c>
      <c r="Q110" s="25">
        <f>61/(61+42)</f>
        <v>0.59223300970873782</v>
      </c>
      <c r="R110" s="25">
        <f>67/(67+55)</f>
        <v>0.54918032786885251</v>
      </c>
      <c r="S110" s="25">
        <f>97/(97+66)</f>
        <v>0.59509202453987731</v>
      </c>
      <c r="T110" s="25">
        <f>77/(77+44)</f>
        <v>0.63636363636363635</v>
      </c>
      <c r="U110" s="25">
        <f>85/(85+63)</f>
        <v>0.57432432432432434</v>
      </c>
      <c r="V110" s="25">
        <f>149/(149+95)</f>
        <v>0.61065573770491799</v>
      </c>
      <c r="W110" s="25"/>
      <c r="X110" s="25"/>
      <c r="Y110" s="25"/>
      <c r="Z110" s="25"/>
      <c r="AA110" s="25"/>
      <c r="AB110" s="25"/>
      <c r="AC110" s="25"/>
      <c r="AD110" s="25"/>
      <c r="AE110" s="25"/>
      <c r="AF110" s="25">
        <f t="shared" si="3"/>
        <v>0.59360737970184907</v>
      </c>
      <c r="AG110" s="25">
        <f t="shared" si="4"/>
        <v>2.7333861460841945E-2</v>
      </c>
      <c r="AH110" s="26">
        <f t="shared" si="5"/>
        <v>7</v>
      </c>
    </row>
    <row r="111" spans="1:34" x14ac:dyDescent="0.25">
      <c r="A111" s="3">
        <v>25197</v>
      </c>
      <c r="B111" s="3">
        <v>517</v>
      </c>
      <c r="C111" s="3">
        <v>1</v>
      </c>
      <c r="D111" s="1" t="s">
        <v>50</v>
      </c>
      <c r="E111" s="3" t="s">
        <v>40</v>
      </c>
      <c r="F111" s="18"/>
      <c r="G111" s="3"/>
      <c r="H111" s="18"/>
      <c r="I111" s="3"/>
      <c r="J111" s="18"/>
      <c r="K111" s="3"/>
      <c r="L111" s="14">
        <v>1</v>
      </c>
      <c r="N111" s="21">
        <v>25197</v>
      </c>
      <c r="O111" s="21">
        <v>517</v>
      </c>
      <c r="P111" s="25">
        <f>183/(183+73)</f>
        <v>0.71484375</v>
      </c>
      <c r="Q111" s="25">
        <v>0.65032679738562094</v>
      </c>
      <c r="R111" s="25">
        <v>0.67477203647416417</v>
      </c>
      <c r="S111" s="25">
        <v>0.69161676646706582</v>
      </c>
      <c r="T111" s="25">
        <v>0.70448548812664913</v>
      </c>
      <c r="U111" s="25">
        <v>0.69303797468354433</v>
      </c>
      <c r="V111" s="25">
        <v>0.6958333333333333</v>
      </c>
      <c r="W111" s="25"/>
      <c r="X111" s="25"/>
      <c r="Y111" s="25"/>
      <c r="Z111" s="25"/>
      <c r="AA111" s="25"/>
      <c r="AB111" s="25"/>
      <c r="AC111" s="25"/>
      <c r="AD111" s="25"/>
      <c r="AE111" s="25"/>
      <c r="AF111" s="25">
        <f t="shared" si="3"/>
        <v>0.68927373521005386</v>
      </c>
      <c r="AG111" s="25">
        <f t="shared" si="4"/>
        <v>2.1115057569991796E-2</v>
      </c>
      <c r="AH111" s="26">
        <f t="shared" si="5"/>
        <v>7</v>
      </c>
    </row>
    <row r="112" spans="1:34" x14ac:dyDescent="0.25">
      <c r="A112" s="3">
        <v>55025</v>
      </c>
      <c r="B112" s="3">
        <v>528</v>
      </c>
      <c r="C112" s="3">
        <v>1</v>
      </c>
      <c r="D112" s="1" t="s">
        <v>27</v>
      </c>
      <c r="E112" s="3" t="s">
        <v>21</v>
      </c>
      <c r="F112" s="18"/>
      <c r="G112" s="3"/>
      <c r="H112" s="3"/>
      <c r="I112" s="3"/>
      <c r="J112" s="3"/>
      <c r="K112" s="3"/>
      <c r="L112" s="14">
        <v>1</v>
      </c>
      <c r="N112" s="21">
        <v>55025</v>
      </c>
      <c r="O112" s="21">
        <v>528</v>
      </c>
      <c r="P112" s="25">
        <v>0.26838235294117652</v>
      </c>
      <c r="Q112" s="25">
        <v>0.39004149377593361</v>
      </c>
      <c r="R112" s="25">
        <v>0.40875912408759119</v>
      </c>
      <c r="S112" s="25">
        <v>0.24210526315789471</v>
      </c>
      <c r="T112" s="25">
        <v>0.33003300330032997</v>
      </c>
      <c r="U112" s="25">
        <v>0.35833333333333328</v>
      </c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>
        <f t="shared" si="3"/>
        <v>0.33294242843270988</v>
      </c>
      <c r="AG112" s="25">
        <f t="shared" si="4"/>
        <v>6.6454542887607868E-2</v>
      </c>
      <c r="AH112" s="26">
        <f t="shared" si="5"/>
        <v>6</v>
      </c>
    </row>
    <row r="113" spans="1:34" x14ac:dyDescent="0.25">
      <c r="A113" s="18">
        <v>29660</v>
      </c>
      <c r="B113" s="18">
        <v>530</v>
      </c>
      <c r="C113" s="18">
        <v>1</v>
      </c>
      <c r="D113" s="1" t="s">
        <v>16</v>
      </c>
      <c r="E113" s="18" t="s">
        <v>40</v>
      </c>
      <c r="F113" s="1"/>
      <c r="G113" s="18"/>
      <c r="H113" s="1"/>
      <c r="I113" s="18"/>
      <c r="J113" s="1"/>
      <c r="K113" s="18"/>
      <c r="L113" s="14">
        <v>1</v>
      </c>
      <c r="M113" s="14" t="s">
        <v>119</v>
      </c>
      <c r="N113" s="21">
        <v>29660</v>
      </c>
      <c r="O113" s="21">
        <v>530</v>
      </c>
      <c r="P113" s="25">
        <v>0.47252747252747251</v>
      </c>
      <c r="Q113" s="25">
        <v>0.4891304347826087</v>
      </c>
      <c r="R113" s="25">
        <v>0.46909090909090911</v>
      </c>
      <c r="S113" s="25">
        <f>82/(82+87)</f>
        <v>0.48520710059171596</v>
      </c>
      <c r="T113" s="25">
        <f>93/(93+96)</f>
        <v>0.49206349206349204</v>
      </c>
      <c r="U113" s="25">
        <f>80/(80+88)</f>
        <v>0.47619047619047616</v>
      </c>
      <c r="V113" s="25">
        <f>92/(92+75)</f>
        <v>0.55089820359281438</v>
      </c>
      <c r="W113" s="25"/>
      <c r="X113" s="25"/>
      <c r="Y113" s="25"/>
      <c r="Z113" s="25"/>
      <c r="AA113" s="25"/>
      <c r="AB113" s="25"/>
      <c r="AC113" s="25"/>
      <c r="AD113" s="25"/>
      <c r="AE113" s="25"/>
      <c r="AF113" s="25">
        <f t="shared" si="3"/>
        <v>0.49072972697706979</v>
      </c>
      <c r="AG113" s="25">
        <f t="shared" si="4"/>
        <v>2.7886770953489778E-2</v>
      </c>
      <c r="AH113" s="26">
        <f t="shared" si="5"/>
        <v>7</v>
      </c>
    </row>
    <row r="114" spans="1:34" x14ac:dyDescent="0.25">
      <c r="A114" s="3">
        <v>28207</v>
      </c>
      <c r="B114" s="3">
        <v>531</v>
      </c>
      <c r="C114" s="3">
        <v>1</v>
      </c>
      <c r="D114" s="1" t="s">
        <v>10</v>
      </c>
      <c r="E114" s="3" t="s">
        <v>3</v>
      </c>
      <c r="F114" s="18"/>
      <c r="G114" s="3"/>
      <c r="H114" s="3"/>
      <c r="I114" s="3"/>
      <c r="J114" s="3"/>
      <c r="K114" s="3"/>
      <c r="L114" s="14">
        <v>1</v>
      </c>
      <c r="N114" s="23">
        <v>28207</v>
      </c>
      <c r="O114" s="23">
        <v>531</v>
      </c>
      <c r="P114" s="24">
        <f>67/(67+35)</f>
        <v>0.65686274509803921</v>
      </c>
      <c r="Q114" s="24">
        <f>144/(144+56)</f>
        <v>0.72</v>
      </c>
      <c r="R114" s="24">
        <f>117/(117+28)</f>
        <v>0.80689655172413788</v>
      </c>
      <c r="S114" s="24">
        <f>58/(58+37)</f>
        <v>0.61052631578947369</v>
      </c>
      <c r="T114" s="24">
        <f>154/(154+49)</f>
        <v>0.75862068965517238</v>
      </c>
      <c r="U114" s="24">
        <f>204/(273)</f>
        <v>0.74725274725274726</v>
      </c>
      <c r="V114" s="24">
        <f>73/(73+21)</f>
        <v>0.77659574468085102</v>
      </c>
      <c r="W114" s="24">
        <f>145/(145+52)</f>
        <v>0.73604060913705582</v>
      </c>
      <c r="X114" s="24"/>
      <c r="Y114" s="24"/>
      <c r="Z114" s="24"/>
      <c r="AA114" s="24"/>
      <c r="AB114" s="24"/>
      <c r="AC114" s="24"/>
      <c r="AD114" s="24"/>
      <c r="AE114" s="24"/>
      <c r="AF114" s="24">
        <f t="shared" si="3"/>
        <v>0.72659942541718459</v>
      </c>
      <c r="AG114" s="24">
        <f t="shared" si="4"/>
        <v>6.4218423286426199E-2</v>
      </c>
      <c r="AH114" s="24">
        <f t="shared" si="5"/>
        <v>8</v>
      </c>
    </row>
    <row r="115" spans="1:34" x14ac:dyDescent="0.25">
      <c r="A115" s="3">
        <v>28208</v>
      </c>
      <c r="B115" s="3">
        <v>535</v>
      </c>
      <c r="C115" s="3">
        <v>2</v>
      </c>
      <c r="D115" s="1" t="s">
        <v>54</v>
      </c>
      <c r="E115" s="3" t="s">
        <v>40</v>
      </c>
      <c r="F115" s="1" t="s">
        <v>22</v>
      </c>
      <c r="G115" s="3" t="s">
        <v>21</v>
      </c>
      <c r="H115" s="18"/>
      <c r="I115" s="3"/>
      <c r="J115" s="18"/>
      <c r="K115" s="3"/>
      <c r="L115" s="14">
        <v>1</v>
      </c>
      <c r="N115" s="23">
        <v>28208</v>
      </c>
      <c r="O115" s="23">
        <v>535</v>
      </c>
      <c r="P115" s="24">
        <v>0.52</v>
      </c>
      <c r="Q115" s="24">
        <v>0.544973544973545</v>
      </c>
      <c r="R115" s="24">
        <v>0.56420233463035019</v>
      </c>
      <c r="S115" s="24">
        <v>0.46527777777777779</v>
      </c>
      <c r="T115" s="24">
        <v>0.52631578947368418</v>
      </c>
      <c r="U115" s="24">
        <v>0.57198443579766534</v>
      </c>
      <c r="V115" s="24">
        <v>0.53521126760563376</v>
      </c>
      <c r="W115" s="24">
        <v>0.5043478260869565</v>
      </c>
      <c r="X115" s="24"/>
      <c r="Y115" s="24"/>
      <c r="Z115" s="24"/>
      <c r="AA115" s="24"/>
      <c r="AB115" s="24"/>
      <c r="AC115" s="24"/>
      <c r="AD115" s="24"/>
      <c r="AE115" s="24"/>
      <c r="AF115" s="24">
        <f t="shared" si="3"/>
        <v>0.52903912204320158</v>
      </c>
      <c r="AG115" s="24">
        <f t="shared" si="4"/>
        <v>3.4094499124836017E-2</v>
      </c>
      <c r="AH115" s="24">
        <f t="shared" si="5"/>
        <v>8</v>
      </c>
    </row>
    <row r="116" spans="1:34" x14ac:dyDescent="0.25">
      <c r="A116" s="3">
        <v>55026</v>
      </c>
      <c r="B116" s="3">
        <v>551</v>
      </c>
      <c r="C116" s="3">
        <v>1</v>
      </c>
      <c r="D116" s="1" t="s">
        <v>11</v>
      </c>
      <c r="E116" s="3" t="s">
        <v>3</v>
      </c>
      <c r="F116" s="18"/>
      <c r="G116" s="3"/>
      <c r="H116" s="3"/>
      <c r="I116" s="3"/>
      <c r="J116" s="3"/>
      <c r="K116" s="3"/>
      <c r="L116" s="14">
        <v>1</v>
      </c>
      <c r="N116" s="29">
        <v>55026</v>
      </c>
      <c r="O116" s="29">
        <v>551</v>
      </c>
      <c r="P116" s="26">
        <f>134/(134+108)</f>
        <v>0.55371900826446285</v>
      </c>
      <c r="Q116" s="26">
        <f>145/(145+113)</f>
        <v>0.56201550387596899</v>
      </c>
      <c r="R116" s="26">
        <f>89/(89+79)</f>
        <v>0.52976190476190477</v>
      </c>
      <c r="S116" s="26">
        <f>101/(79+101)</f>
        <v>0.56111111111111112</v>
      </c>
      <c r="T116" s="26">
        <f>79/(79+67)</f>
        <v>0.54109589041095896</v>
      </c>
      <c r="U116" s="26">
        <f>83/(83+76)</f>
        <v>0.5220125786163522</v>
      </c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5">
        <f t="shared" si="3"/>
        <v>0.54495266617345994</v>
      </c>
      <c r="AG116" s="25">
        <f t="shared" si="4"/>
        <v>1.6738973060463038E-2</v>
      </c>
      <c r="AH116" s="26">
        <f t="shared" si="5"/>
        <v>6</v>
      </c>
    </row>
    <row r="117" spans="1:34" x14ac:dyDescent="0.25">
      <c r="A117" s="18">
        <v>25198</v>
      </c>
      <c r="B117" s="18">
        <v>555</v>
      </c>
      <c r="C117" s="18">
        <v>2</v>
      </c>
      <c r="D117" s="1" t="s">
        <v>42</v>
      </c>
      <c r="E117" s="18" t="s">
        <v>40</v>
      </c>
      <c r="F117" s="1" t="s">
        <v>5</v>
      </c>
      <c r="G117" s="18" t="s">
        <v>3</v>
      </c>
      <c r="H117" s="18"/>
      <c r="I117" s="18"/>
      <c r="J117" s="18"/>
      <c r="K117" s="18"/>
      <c r="L117" s="14">
        <v>1</v>
      </c>
      <c r="N117" s="21">
        <v>25198</v>
      </c>
      <c r="O117" s="21">
        <v>555</v>
      </c>
      <c r="P117" s="25">
        <f>54/(27+54)</f>
        <v>0.66666666666666663</v>
      </c>
      <c r="Q117" s="25">
        <f>90/(90+32)</f>
        <v>0.73770491803278693</v>
      </c>
      <c r="R117" s="25">
        <f>124/(124+86)</f>
        <v>0.59047619047619049</v>
      </c>
      <c r="S117" s="25">
        <f>73/(73+28)</f>
        <v>0.72277227722772275</v>
      </c>
      <c r="T117" s="25">
        <f>126/(176)</f>
        <v>0.71590909090909094</v>
      </c>
      <c r="U117" s="25">
        <f>84/(84+53)</f>
        <v>0.61313868613138689</v>
      </c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>
        <f t="shared" si="3"/>
        <v>0.67444463824064071</v>
      </c>
      <c r="AG117" s="25">
        <f t="shared" si="4"/>
        <v>6.1524533887449134E-2</v>
      </c>
      <c r="AH117" s="26">
        <f t="shared" si="5"/>
        <v>6</v>
      </c>
    </row>
    <row r="118" spans="1:34" x14ac:dyDescent="0.25">
      <c r="A118" s="3">
        <v>55027</v>
      </c>
      <c r="B118" s="3">
        <v>559</v>
      </c>
      <c r="C118" s="3">
        <v>1</v>
      </c>
      <c r="D118" s="1" t="s">
        <v>6</v>
      </c>
      <c r="E118" s="3" t="s">
        <v>3</v>
      </c>
      <c r="F118" s="18"/>
      <c r="G118" s="3"/>
      <c r="H118" s="3"/>
      <c r="I118" s="3"/>
      <c r="J118" s="3"/>
      <c r="K118" s="3"/>
      <c r="L118" s="14">
        <v>1</v>
      </c>
      <c r="N118" s="29">
        <v>55027</v>
      </c>
      <c r="O118" s="29">
        <v>559</v>
      </c>
      <c r="P118" s="26">
        <f>37/(37+42)</f>
        <v>0.46835443037974683</v>
      </c>
      <c r="Q118" s="26">
        <f>105/(105+80)</f>
        <v>0.56756756756756754</v>
      </c>
      <c r="R118" s="26">
        <f>131/(131+61)</f>
        <v>0.68229166666666663</v>
      </c>
      <c r="S118" s="26">
        <f>138/(138+59)</f>
        <v>0.70050761421319796</v>
      </c>
      <c r="T118" s="26">
        <f>94/(94+41)</f>
        <v>0.6962962962962963</v>
      </c>
      <c r="U118" s="26">
        <f>64/(64+57)</f>
        <v>0.52892561983471076</v>
      </c>
      <c r="V118" s="26">
        <f>126/(126+70)</f>
        <v>0.6428571428571429</v>
      </c>
      <c r="W118" s="26">
        <f>117/(117+90)</f>
        <v>0.56521739130434778</v>
      </c>
      <c r="X118" s="26">
        <f>144/(144+89)</f>
        <v>0.61802575107296143</v>
      </c>
      <c r="Y118" s="26">
        <f>122/(122+103)</f>
        <v>0.54222222222222227</v>
      </c>
      <c r="Z118" s="26"/>
      <c r="AA118" s="26"/>
      <c r="AB118" s="26"/>
      <c r="AC118" s="26"/>
      <c r="AD118" s="26"/>
      <c r="AE118" s="26"/>
      <c r="AF118" s="25">
        <f t="shared" si="3"/>
        <v>0.60122657024148607</v>
      </c>
      <c r="AG118" s="25">
        <f t="shared" si="4"/>
        <v>7.9074775378651693E-2</v>
      </c>
      <c r="AH118" s="26">
        <f t="shared" si="5"/>
        <v>10</v>
      </c>
    </row>
    <row r="119" spans="1:34" x14ac:dyDescent="0.25">
      <c r="A119" s="3">
        <v>28211</v>
      </c>
      <c r="B119" s="3">
        <v>563</v>
      </c>
      <c r="C119" s="3">
        <v>1</v>
      </c>
      <c r="D119" s="1" t="s">
        <v>81</v>
      </c>
      <c r="E119" s="3" t="s">
        <v>40</v>
      </c>
      <c r="F119" s="18"/>
      <c r="G119" s="3"/>
      <c r="H119" s="18"/>
      <c r="I119" s="3"/>
      <c r="J119" s="18"/>
      <c r="K119" s="3"/>
      <c r="L119" s="14">
        <v>1</v>
      </c>
      <c r="M119" s="14" t="s">
        <v>119</v>
      </c>
      <c r="N119" s="23">
        <v>28211</v>
      </c>
      <c r="O119" s="23">
        <v>563</v>
      </c>
      <c r="P119" s="24">
        <v>0.65957446808510634</v>
      </c>
      <c r="Q119" s="24">
        <v>0.7923728813559322</v>
      </c>
      <c r="R119" s="24">
        <v>0.72972972972972971</v>
      </c>
      <c r="S119" s="24">
        <v>0.76041666666666663</v>
      </c>
      <c r="T119" s="24">
        <v>0.76470588235294112</v>
      </c>
      <c r="U119" s="24">
        <v>0.66211604095563137</v>
      </c>
      <c r="V119" s="24">
        <v>0.77407407407407403</v>
      </c>
      <c r="W119" s="24">
        <v>0.71161048689138573</v>
      </c>
      <c r="X119" s="24"/>
      <c r="Y119" s="24"/>
      <c r="Z119" s="24"/>
      <c r="AA119" s="24"/>
      <c r="AB119" s="24"/>
      <c r="AC119" s="24"/>
      <c r="AD119" s="24"/>
      <c r="AE119" s="24"/>
      <c r="AF119" s="24">
        <f t="shared" si="3"/>
        <v>0.73182502876393341</v>
      </c>
      <c r="AG119" s="24">
        <f t="shared" si="4"/>
        <v>5.0486435313495129E-2</v>
      </c>
      <c r="AH119" s="24">
        <f t="shared" si="5"/>
        <v>8</v>
      </c>
    </row>
    <row r="120" spans="1:34" x14ac:dyDescent="0.25">
      <c r="A120" s="3">
        <v>55028</v>
      </c>
      <c r="B120" s="3">
        <v>566</v>
      </c>
      <c r="C120" s="3">
        <v>1</v>
      </c>
      <c r="D120" s="1" t="s">
        <v>0</v>
      </c>
      <c r="E120" s="3" t="s">
        <v>21</v>
      </c>
      <c r="F120" s="18"/>
      <c r="G120" s="3"/>
      <c r="H120" s="18"/>
      <c r="I120" s="3"/>
      <c r="J120" s="18"/>
      <c r="K120" s="3"/>
      <c r="L120" s="14">
        <v>1</v>
      </c>
      <c r="N120" s="21">
        <v>55028</v>
      </c>
      <c r="O120" s="21">
        <v>566</v>
      </c>
      <c r="P120" s="25">
        <v>0.39393939393939392</v>
      </c>
      <c r="Q120" s="25">
        <v>0.41111111111111109</v>
      </c>
      <c r="R120" s="25">
        <v>0.39884393063583817</v>
      </c>
      <c r="S120" s="25">
        <v>0.47085201793721981</v>
      </c>
      <c r="T120" s="25">
        <v>0.45454545454545447</v>
      </c>
      <c r="U120" s="25">
        <v>0.36363636363636359</v>
      </c>
      <c r="V120" s="25">
        <v>0.48969072164948452</v>
      </c>
      <c r="W120" s="25">
        <v>0.379746835443038</v>
      </c>
      <c r="X120" s="25">
        <v>0.44094488188976377</v>
      </c>
      <c r="Y120" s="25"/>
      <c r="Z120" s="25"/>
      <c r="AA120" s="25"/>
      <c r="AB120" s="25"/>
      <c r="AC120" s="25"/>
      <c r="AD120" s="25"/>
      <c r="AE120" s="25"/>
      <c r="AF120" s="25">
        <f t="shared" si="3"/>
        <v>0.42259007897640749</v>
      </c>
      <c r="AG120" s="25">
        <f t="shared" si="4"/>
        <v>4.3326302495357329E-2</v>
      </c>
      <c r="AH120" s="26">
        <f t="shared" si="5"/>
        <v>9</v>
      </c>
    </row>
    <row r="121" spans="1:34" x14ac:dyDescent="0.25">
      <c r="A121" s="3">
        <v>28212</v>
      </c>
      <c r="B121" s="3">
        <v>584</v>
      </c>
      <c r="C121" s="3">
        <v>1</v>
      </c>
      <c r="D121" s="1" t="s">
        <v>28</v>
      </c>
      <c r="E121" s="3" t="s">
        <v>21</v>
      </c>
      <c r="F121" s="5"/>
      <c r="G121" s="3"/>
      <c r="H121" s="3"/>
      <c r="I121" s="3"/>
      <c r="J121" s="3"/>
      <c r="K121" s="3"/>
      <c r="L121" s="14">
        <v>1</v>
      </c>
      <c r="N121" s="23">
        <v>28212</v>
      </c>
      <c r="O121" s="23">
        <v>584</v>
      </c>
      <c r="P121" s="24">
        <v>0.71705426000000005</v>
      </c>
      <c r="Q121" s="24">
        <v>0.69841268999999995</v>
      </c>
      <c r="R121" s="24">
        <v>0.69406391999999995</v>
      </c>
      <c r="S121" s="24">
        <v>0.65596330000000003</v>
      </c>
      <c r="T121" s="24">
        <v>0.61538461</v>
      </c>
      <c r="U121" s="24">
        <v>0.66949152000000001</v>
      </c>
      <c r="V121" s="24">
        <v>0.67924527999999995</v>
      </c>
      <c r="W121" s="24">
        <v>0.70742358000000005</v>
      </c>
      <c r="X121" s="24"/>
      <c r="Y121" s="24"/>
      <c r="Z121" s="24"/>
      <c r="AA121" s="24"/>
      <c r="AB121" s="24"/>
      <c r="AC121" s="24"/>
      <c r="AD121" s="24"/>
      <c r="AE121" s="24"/>
      <c r="AF121" s="24">
        <f t="shared" si="3"/>
        <v>0.67962989500000004</v>
      </c>
      <c r="AG121" s="24">
        <f t="shared" si="4"/>
        <v>3.2786550873380123E-2</v>
      </c>
      <c r="AH121" s="24">
        <f t="shared" si="5"/>
        <v>8</v>
      </c>
    </row>
    <row r="122" spans="1:34" x14ac:dyDescent="0.25">
      <c r="A122" s="3">
        <v>28213</v>
      </c>
      <c r="B122" s="3">
        <v>589</v>
      </c>
      <c r="C122" s="3">
        <v>1</v>
      </c>
      <c r="D122" s="1" t="s">
        <v>12</v>
      </c>
      <c r="E122" s="3" t="s">
        <v>3</v>
      </c>
      <c r="F122" s="18"/>
      <c r="G122" s="3"/>
      <c r="H122" s="18"/>
      <c r="I122" s="3"/>
      <c r="J122" s="18"/>
      <c r="K122" s="3"/>
      <c r="L122" s="14">
        <v>1</v>
      </c>
      <c r="N122" s="23">
        <v>28213</v>
      </c>
      <c r="O122" s="23">
        <v>589</v>
      </c>
      <c r="P122" s="27">
        <v>0.62886597938144329</v>
      </c>
      <c r="Q122" s="24">
        <f>120/(120+56)</f>
        <v>0.68181818181818177</v>
      </c>
      <c r="R122" s="24">
        <f>106/(106+56)</f>
        <v>0.65432098765432101</v>
      </c>
      <c r="S122" s="24">
        <f>164/(164+45)</f>
        <v>0.78468899521531099</v>
      </c>
      <c r="T122" s="24">
        <f>171/(171+44)</f>
        <v>0.79534883720930227</v>
      </c>
      <c r="U122" s="27">
        <v>0.74226804123711343</v>
      </c>
      <c r="V122" s="24">
        <f>164/(164+59)</f>
        <v>0.73542600896860988</v>
      </c>
      <c r="W122" s="24">
        <f>148/(148+43)</f>
        <v>0.77486910994764402</v>
      </c>
      <c r="X122" s="24">
        <v>0.63309352517985606</v>
      </c>
      <c r="Y122" s="24">
        <v>0.74683544303797467</v>
      </c>
      <c r="Z122" s="24"/>
      <c r="AA122" s="24"/>
      <c r="AB122" s="24"/>
      <c r="AC122" s="24"/>
      <c r="AD122" s="24"/>
      <c r="AE122" s="24"/>
      <c r="AF122" s="24">
        <f t="shared" si="3"/>
        <v>0.71775351096497564</v>
      </c>
      <c r="AG122" s="24">
        <f t="shared" si="4"/>
        <v>6.316289598753122E-2</v>
      </c>
      <c r="AH122" s="24">
        <f t="shared" si="5"/>
        <v>10</v>
      </c>
    </row>
    <row r="123" spans="1:34" x14ac:dyDescent="0.25">
      <c r="A123" s="18">
        <v>28215</v>
      </c>
      <c r="B123" s="18">
        <v>595</v>
      </c>
      <c r="C123" s="18">
        <v>2</v>
      </c>
      <c r="D123" s="1" t="s">
        <v>63</v>
      </c>
      <c r="E123" s="18" t="s">
        <v>3</v>
      </c>
      <c r="F123" s="1" t="s">
        <v>28</v>
      </c>
      <c r="G123" s="18" t="s">
        <v>21</v>
      </c>
      <c r="H123" s="18"/>
      <c r="I123" s="18"/>
      <c r="J123" s="18"/>
      <c r="K123" s="18"/>
      <c r="L123" s="14">
        <v>1</v>
      </c>
      <c r="N123" s="23">
        <v>28215</v>
      </c>
      <c r="O123" s="23">
        <v>595</v>
      </c>
      <c r="P123" s="24">
        <v>0.66666666600000002</v>
      </c>
      <c r="Q123" s="24">
        <v>0.58875739599999999</v>
      </c>
      <c r="R123" s="24">
        <v>0.52173913000000005</v>
      </c>
      <c r="S123" s="24">
        <v>0.64363636300000004</v>
      </c>
      <c r="T123" s="24">
        <f>68/(68+32)</f>
        <v>0.68</v>
      </c>
      <c r="U123" s="24">
        <f>107/(107+57)</f>
        <v>0.65243902439024393</v>
      </c>
      <c r="V123" s="24">
        <f>93/(93+53)</f>
        <v>0.63698630136986301</v>
      </c>
      <c r="W123" s="24">
        <f>132/(132+79)</f>
        <v>0.62559241706161139</v>
      </c>
      <c r="X123" s="24">
        <f>95/(95+57)</f>
        <v>0.625</v>
      </c>
      <c r="Y123" s="24">
        <f>142/(142+70)</f>
        <v>0.66981132075471694</v>
      </c>
      <c r="Z123" s="24">
        <f>124/(124+80)</f>
        <v>0.60784313725490191</v>
      </c>
      <c r="AA123" s="24">
        <f>120/(120+53)</f>
        <v>0.69364161849710981</v>
      </c>
      <c r="AB123" s="24">
        <f>123/(123+64)</f>
        <v>0.65775401069518713</v>
      </c>
      <c r="AC123" s="24">
        <f>107/(107+68)</f>
        <v>0.61142857142857143</v>
      </c>
      <c r="AD123" s="24"/>
      <c r="AE123" s="24"/>
      <c r="AF123" s="24">
        <f t="shared" si="3"/>
        <v>0.63437828260372897</v>
      </c>
      <c r="AG123" s="24">
        <f t="shared" si="4"/>
        <v>4.3871704250502852E-2</v>
      </c>
      <c r="AH123" s="24">
        <f t="shared" si="5"/>
        <v>14</v>
      </c>
    </row>
    <row r="124" spans="1:34" x14ac:dyDescent="0.25">
      <c r="A124" s="3">
        <v>55029</v>
      </c>
      <c r="B124" s="3">
        <v>596</v>
      </c>
      <c r="C124" s="3">
        <v>1</v>
      </c>
      <c r="D124" s="20">
        <v>42021</v>
      </c>
      <c r="E124" s="3" t="s">
        <v>3</v>
      </c>
      <c r="F124" s="5"/>
      <c r="G124" s="3"/>
      <c r="H124" s="3"/>
      <c r="I124" s="3"/>
      <c r="J124" s="3"/>
      <c r="K124" s="3"/>
      <c r="L124" s="14">
        <v>1</v>
      </c>
      <c r="N124" s="31">
        <v>55029</v>
      </c>
      <c r="O124" s="31">
        <v>596</v>
      </c>
      <c r="P124" s="30">
        <f>55/111</f>
        <v>0.49549549549549549</v>
      </c>
      <c r="Q124" s="30">
        <f>102/(210)</f>
        <v>0.48571428571428571</v>
      </c>
      <c r="R124" s="30">
        <f>121/(200)</f>
        <v>0.60499999999999998</v>
      </c>
      <c r="S124" s="30">
        <f>89/(180)</f>
        <v>0.49444444444444446</v>
      </c>
      <c r="T124" s="30">
        <f>91/(176)</f>
        <v>0.51704545454545459</v>
      </c>
      <c r="U124" s="30">
        <f>92/(167)</f>
        <v>0.55089820359281438</v>
      </c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24">
        <f t="shared" si="3"/>
        <v>0.52476631396541573</v>
      </c>
      <c r="AG124" s="24">
        <f t="shared" si="4"/>
        <v>4.5784690008889378E-2</v>
      </c>
      <c r="AH124" s="24">
        <f t="shared" si="5"/>
        <v>6</v>
      </c>
    </row>
    <row r="125" spans="1:34" x14ac:dyDescent="0.25">
      <c r="A125" s="3">
        <v>55031</v>
      </c>
      <c r="B125" s="3">
        <v>630</v>
      </c>
      <c r="C125" s="3">
        <v>2</v>
      </c>
      <c r="D125" s="1" t="s">
        <v>62</v>
      </c>
      <c r="E125" s="3" t="s">
        <v>3</v>
      </c>
      <c r="F125" s="1" t="s">
        <v>13</v>
      </c>
      <c r="G125" s="3" t="s">
        <v>3</v>
      </c>
      <c r="H125" s="3"/>
      <c r="I125" s="3"/>
      <c r="J125" s="3"/>
      <c r="K125" s="3"/>
      <c r="L125" s="14">
        <v>1</v>
      </c>
      <c r="N125" s="21">
        <v>55031</v>
      </c>
      <c r="O125" s="21">
        <v>630</v>
      </c>
      <c r="P125" s="25">
        <f>140/(140+53)</f>
        <v>0.72538860103626945</v>
      </c>
      <c r="Q125" s="25">
        <f>86/(86+54)</f>
        <v>0.61428571428571432</v>
      </c>
      <c r="R125" s="25">
        <f>85/(85+30)</f>
        <v>0.73913043478260865</v>
      </c>
      <c r="S125" s="25">
        <f>180/277</f>
        <v>0.64981949458483756</v>
      </c>
      <c r="T125" s="30">
        <f>85/119</f>
        <v>0.7142857142857143</v>
      </c>
      <c r="U125" s="25">
        <f>188/(188+36)</f>
        <v>0.8392857142857143</v>
      </c>
      <c r="V125" s="25">
        <f>83/114</f>
        <v>0.72807017543859653</v>
      </c>
      <c r="W125" s="25">
        <f>137/(137+31)</f>
        <v>0.81547619047619047</v>
      </c>
      <c r="X125" s="25">
        <f>183/(183+39)</f>
        <v>0.82432432432432434</v>
      </c>
      <c r="Y125" s="25">
        <f>127/166</f>
        <v>0.76506024096385539</v>
      </c>
      <c r="Z125" s="25"/>
      <c r="AA125" s="25"/>
      <c r="AB125" s="25"/>
      <c r="AC125" s="25"/>
      <c r="AD125" s="25"/>
      <c r="AE125" s="25"/>
      <c r="AF125" s="25">
        <f t="shared" si="3"/>
        <v>0.74151266044638253</v>
      </c>
      <c r="AG125" s="25">
        <f t="shared" si="4"/>
        <v>7.3200207832488873E-2</v>
      </c>
      <c r="AH125" s="26">
        <f t="shared" si="5"/>
        <v>10</v>
      </c>
    </row>
    <row r="126" spans="1:34" x14ac:dyDescent="0.25">
      <c r="A126" s="3">
        <v>55032</v>
      </c>
      <c r="B126" s="3">
        <v>634</v>
      </c>
      <c r="C126" s="3">
        <v>1</v>
      </c>
      <c r="D126" s="1" t="s">
        <v>0</v>
      </c>
      <c r="E126" s="3" t="s">
        <v>3</v>
      </c>
      <c r="F126" s="18"/>
      <c r="G126" s="3"/>
      <c r="H126" s="3"/>
      <c r="I126" s="3"/>
      <c r="J126" s="3"/>
      <c r="K126" s="3"/>
      <c r="L126" s="14">
        <v>1</v>
      </c>
      <c r="N126" s="21">
        <v>55032</v>
      </c>
      <c r="O126" s="21">
        <v>634</v>
      </c>
      <c r="P126" s="25">
        <v>0.62011173184357538</v>
      </c>
      <c r="Q126" s="25">
        <v>0.67025089605734767</v>
      </c>
      <c r="R126" s="25">
        <v>0.7155963302752294</v>
      </c>
      <c r="S126" s="25">
        <v>0.64397905759162299</v>
      </c>
      <c r="T126" s="25">
        <v>0.67326732673267331</v>
      </c>
      <c r="U126" s="25">
        <f>157/(48+157)</f>
        <v>0.76585365853658538</v>
      </c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>
        <f t="shared" si="3"/>
        <v>0.68150983350617234</v>
      </c>
      <c r="AG126" s="25">
        <f t="shared" si="4"/>
        <v>5.2247026138631664E-2</v>
      </c>
      <c r="AH126" s="26">
        <f t="shared" si="5"/>
        <v>6</v>
      </c>
    </row>
    <row r="127" spans="1:34" x14ac:dyDescent="0.25">
      <c r="A127" s="18">
        <v>25199</v>
      </c>
      <c r="B127" s="18">
        <v>639</v>
      </c>
      <c r="C127" s="18">
        <v>2</v>
      </c>
      <c r="D127" s="1" t="s">
        <v>70</v>
      </c>
      <c r="E127" s="18" t="s">
        <v>3</v>
      </c>
      <c r="F127" s="1" t="s">
        <v>49</v>
      </c>
      <c r="G127" s="18" t="s">
        <v>40</v>
      </c>
      <c r="H127" s="18"/>
      <c r="I127" s="18"/>
      <c r="J127" s="18"/>
      <c r="K127" s="18"/>
      <c r="L127" s="14">
        <v>1</v>
      </c>
      <c r="N127" s="21">
        <v>25199</v>
      </c>
      <c r="O127" s="21">
        <v>639</v>
      </c>
      <c r="P127" s="25">
        <v>0.67455621301775148</v>
      </c>
      <c r="Q127" s="25">
        <v>0.69795918367346943</v>
      </c>
      <c r="R127" s="25">
        <v>0.77222222222222225</v>
      </c>
      <c r="S127" s="25">
        <v>0.66030534299999999</v>
      </c>
      <c r="T127" s="25">
        <v>0.67355371900000005</v>
      </c>
      <c r="U127" s="25">
        <v>0.57299270000000002</v>
      </c>
      <c r="V127" s="25">
        <v>0.64055299499999996</v>
      </c>
      <c r="W127" s="25">
        <v>0.61849710899999999</v>
      </c>
      <c r="X127" s="25">
        <v>0.66225165500000005</v>
      </c>
      <c r="Y127" s="25"/>
      <c r="Z127" s="25"/>
      <c r="AA127" s="25"/>
      <c r="AB127" s="25"/>
      <c r="AC127" s="25"/>
      <c r="AD127" s="25"/>
      <c r="AE127" s="25"/>
      <c r="AF127" s="25">
        <f t="shared" si="3"/>
        <v>0.66365457110149384</v>
      </c>
      <c r="AG127" s="25">
        <f t="shared" si="4"/>
        <v>5.4756529079965505E-2</v>
      </c>
      <c r="AH127" s="26">
        <f t="shared" si="5"/>
        <v>9</v>
      </c>
    </row>
    <row r="128" spans="1:34" x14ac:dyDescent="0.25">
      <c r="A128" s="3">
        <v>28216</v>
      </c>
      <c r="B128" s="3">
        <v>642</v>
      </c>
      <c r="C128" s="3">
        <v>1</v>
      </c>
      <c r="D128" s="1" t="s">
        <v>45</v>
      </c>
      <c r="E128" s="3" t="s">
        <v>40</v>
      </c>
      <c r="F128" s="18"/>
      <c r="G128" s="3"/>
      <c r="H128" s="18"/>
      <c r="I128" s="3"/>
      <c r="J128" s="18"/>
      <c r="K128" s="3"/>
      <c r="L128" s="14">
        <v>1</v>
      </c>
      <c r="N128" s="23">
        <v>28216</v>
      </c>
      <c r="O128" s="23">
        <v>642</v>
      </c>
      <c r="P128" s="24">
        <f>73/(105+73)</f>
        <v>0.4101123595505618</v>
      </c>
      <c r="Q128" s="24">
        <f>142/(142+151)</f>
        <v>0.48464163822525597</v>
      </c>
      <c r="R128" s="24">
        <v>0.32105263157894737</v>
      </c>
      <c r="S128" s="24">
        <v>0.36312849162011174</v>
      </c>
      <c r="T128" s="24">
        <v>0.37254901960784315</v>
      </c>
      <c r="U128" s="24">
        <v>0.44086021505376344</v>
      </c>
      <c r="V128" s="24">
        <f>101/(101+129)</f>
        <v>0.43913043478260871</v>
      </c>
      <c r="W128" s="24"/>
      <c r="X128" s="24"/>
      <c r="Y128" s="24"/>
      <c r="Z128" s="24"/>
      <c r="AA128" s="24"/>
      <c r="AB128" s="24"/>
      <c r="AC128" s="24"/>
      <c r="AD128" s="24"/>
      <c r="AE128" s="24"/>
      <c r="AF128" s="24">
        <f t="shared" si="3"/>
        <v>0.40449639863129888</v>
      </c>
      <c r="AG128" s="24">
        <f t="shared" si="4"/>
        <v>5.5784470760834357E-2</v>
      </c>
      <c r="AH128" s="24">
        <f t="shared" si="5"/>
        <v>7</v>
      </c>
    </row>
    <row r="129" spans="1:34" x14ac:dyDescent="0.25">
      <c r="A129" s="3">
        <v>28217</v>
      </c>
      <c r="B129" s="3">
        <v>646</v>
      </c>
      <c r="C129" s="3">
        <v>2</v>
      </c>
      <c r="D129" s="1" t="s">
        <v>66</v>
      </c>
      <c r="E129" s="3" t="s">
        <v>40</v>
      </c>
      <c r="F129" s="1" t="s">
        <v>49</v>
      </c>
      <c r="G129" s="3" t="s">
        <v>40</v>
      </c>
      <c r="H129" s="1"/>
      <c r="I129" s="3"/>
      <c r="J129" s="1"/>
      <c r="K129" s="3"/>
      <c r="L129" s="14">
        <v>1</v>
      </c>
      <c r="M129" s="14" t="s">
        <v>119</v>
      </c>
      <c r="N129" s="23">
        <v>28217</v>
      </c>
      <c r="O129" s="23">
        <v>646</v>
      </c>
      <c r="P129" s="24">
        <v>0.65550239234449759</v>
      </c>
      <c r="Q129" s="24">
        <v>0.77439024390243905</v>
      </c>
      <c r="R129" s="24">
        <v>0.66049382716049387</v>
      </c>
      <c r="S129" s="24">
        <v>0.72373540856031127</v>
      </c>
      <c r="T129" s="24">
        <v>0.72284644194756553</v>
      </c>
      <c r="U129" s="24">
        <v>0.75210084033613445</v>
      </c>
      <c r="V129" s="24">
        <v>0.68152866242038213</v>
      </c>
      <c r="W129" s="24">
        <v>0.74233128834355833</v>
      </c>
      <c r="X129" s="24"/>
      <c r="Y129" s="24"/>
      <c r="Z129" s="24"/>
      <c r="AA129" s="24"/>
      <c r="AB129" s="24"/>
      <c r="AC129" s="24"/>
      <c r="AD129" s="24"/>
      <c r="AE129" s="24"/>
      <c r="AF129" s="24">
        <f t="shared" si="3"/>
        <v>0.71411613812692265</v>
      </c>
      <c r="AG129" s="24">
        <f t="shared" si="4"/>
        <v>4.3774610547555104E-2</v>
      </c>
      <c r="AH129" s="24">
        <f t="shared" si="5"/>
        <v>8</v>
      </c>
    </row>
    <row r="130" spans="1:34" x14ac:dyDescent="0.25">
      <c r="A130" s="3">
        <v>28218</v>
      </c>
      <c r="B130" s="3">
        <v>703</v>
      </c>
      <c r="C130" s="3">
        <v>1</v>
      </c>
      <c r="D130" s="1" t="s">
        <v>4</v>
      </c>
      <c r="E130" s="3" t="s">
        <v>3</v>
      </c>
      <c r="F130" s="18"/>
      <c r="G130" s="3"/>
      <c r="H130" s="3"/>
      <c r="I130" s="3"/>
      <c r="J130" s="3"/>
      <c r="K130" s="3"/>
      <c r="L130" s="14">
        <v>1</v>
      </c>
      <c r="N130" s="23">
        <v>28218</v>
      </c>
      <c r="O130" s="23">
        <v>703</v>
      </c>
      <c r="P130" s="24">
        <f>94/(57+94)</f>
        <v>0.62251655629139069</v>
      </c>
      <c r="Q130" s="24">
        <f>44/(44+47)</f>
        <v>0.48351648351648352</v>
      </c>
      <c r="R130" s="24">
        <f>96/(96+81)</f>
        <v>0.5423728813559322</v>
      </c>
      <c r="S130" s="24">
        <f>58/(58+35)</f>
        <v>0.62365591397849462</v>
      </c>
      <c r="T130" s="24">
        <f>102/(102+43)</f>
        <v>0.70344827586206893</v>
      </c>
      <c r="U130" s="24">
        <f>120/(120+98)</f>
        <v>0.55045871559633031</v>
      </c>
      <c r="V130" s="24">
        <f>166/(166+110)</f>
        <v>0.60144927536231885</v>
      </c>
      <c r="W130" s="24"/>
      <c r="X130" s="24"/>
      <c r="Y130" s="24"/>
      <c r="Z130" s="24"/>
      <c r="AA130" s="24"/>
      <c r="AB130" s="24"/>
      <c r="AC130" s="24"/>
      <c r="AD130" s="24"/>
      <c r="AE130" s="24"/>
      <c r="AF130" s="24">
        <f t="shared" ref="AF130:AF190" si="6">AVERAGE(P130:AE130)</f>
        <v>0.58963115742328853</v>
      </c>
      <c r="AG130" s="24">
        <f t="shared" ref="AG130:AG190" si="7">STDEV(P130:AE130)</f>
        <v>7.11351843939593E-2</v>
      </c>
      <c r="AH130" s="24">
        <f t="shared" ref="AH130:AH190" si="8">COUNT(P130:AE130)</f>
        <v>7</v>
      </c>
    </row>
    <row r="131" spans="1:34" x14ac:dyDescent="0.25">
      <c r="A131" s="3">
        <v>25744</v>
      </c>
      <c r="B131" s="3">
        <v>705</v>
      </c>
      <c r="C131" s="3">
        <v>2</v>
      </c>
      <c r="D131" s="1" t="s">
        <v>69</v>
      </c>
      <c r="E131" s="3" t="s">
        <v>21</v>
      </c>
      <c r="F131" s="1" t="s">
        <v>47</v>
      </c>
      <c r="G131" s="3" t="s">
        <v>40</v>
      </c>
      <c r="H131" s="3"/>
      <c r="I131" s="3"/>
      <c r="J131" s="3"/>
      <c r="K131" s="3"/>
      <c r="L131" s="14">
        <v>1</v>
      </c>
      <c r="N131" s="21">
        <v>25744</v>
      </c>
      <c r="O131" s="21">
        <v>705</v>
      </c>
      <c r="P131" s="25">
        <v>0.45027624309392272</v>
      </c>
      <c r="Q131" s="25">
        <v>0.44285714285714278</v>
      </c>
      <c r="R131" s="25">
        <v>0.42519685039370081</v>
      </c>
      <c r="S131" s="25">
        <v>0.46333333333333332</v>
      </c>
      <c r="T131" s="25">
        <v>0.44400000000000001</v>
      </c>
      <c r="U131" s="25">
        <f>103/244</f>
        <v>0.42213114754098363</v>
      </c>
      <c r="V131" s="25">
        <f>103/222</f>
        <v>0.46396396396396394</v>
      </c>
      <c r="W131" s="25">
        <f>86/207</f>
        <v>0.41545893719806765</v>
      </c>
      <c r="X131" s="25"/>
      <c r="Y131" s="25"/>
      <c r="Z131" s="25"/>
      <c r="AA131" s="25"/>
      <c r="AB131" s="25"/>
      <c r="AC131" s="25"/>
      <c r="AD131" s="25"/>
      <c r="AE131" s="25"/>
      <c r="AF131" s="25">
        <f t="shared" si="6"/>
        <v>0.44090220229763938</v>
      </c>
      <c r="AG131" s="25">
        <f t="shared" si="7"/>
        <v>1.8449396384907852E-2</v>
      </c>
      <c r="AH131" s="26">
        <f t="shared" si="8"/>
        <v>8</v>
      </c>
    </row>
    <row r="132" spans="1:34" x14ac:dyDescent="0.25">
      <c r="A132" s="3">
        <v>25200</v>
      </c>
      <c r="B132" s="3">
        <v>707</v>
      </c>
      <c r="C132" s="3">
        <v>4</v>
      </c>
      <c r="D132" s="1" t="s">
        <v>24</v>
      </c>
      <c r="E132" s="3" t="s">
        <v>21</v>
      </c>
      <c r="F132" s="1" t="s">
        <v>62</v>
      </c>
      <c r="G132" s="3" t="s">
        <v>3</v>
      </c>
      <c r="H132" s="1" t="s">
        <v>75</v>
      </c>
      <c r="I132" s="3" t="s">
        <v>21</v>
      </c>
      <c r="J132" s="1" t="s">
        <v>76</v>
      </c>
      <c r="K132" s="3" t="s">
        <v>3</v>
      </c>
      <c r="L132" s="14">
        <v>1</v>
      </c>
      <c r="N132" s="21">
        <v>25200</v>
      </c>
      <c r="O132" s="21">
        <v>707</v>
      </c>
      <c r="P132" s="25">
        <f>166/(166+92)</f>
        <v>0.64341085271317833</v>
      </c>
      <c r="Q132" s="25">
        <f>153/(153+77)</f>
        <v>0.66521739130434787</v>
      </c>
      <c r="R132" s="25">
        <f>170/(170+69)</f>
        <v>0.71129707112970708</v>
      </c>
      <c r="S132" s="25">
        <f>147/(147+76)</f>
        <v>0.65919282511210764</v>
      </c>
      <c r="T132" s="28">
        <v>0.62121212121212122</v>
      </c>
      <c r="U132" s="25">
        <f>193/(193+81)</f>
        <v>0.70437956204379559</v>
      </c>
      <c r="V132" s="25">
        <f>117/(117+59)</f>
        <v>0.66477272727272729</v>
      </c>
      <c r="W132" s="28">
        <v>0.59217877094972071</v>
      </c>
      <c r="X132" s="25"/>
      <c r="Y132" s="25"/>
      <c r="Z132" s="25"/>
      <c r="AA132" s="25"/>
      <c r="AB132" s="25"/>
      <c r="AC132" s="25"/>
      <c r="AD132" s="25"/>
      <c r="AE132" s="25"/>
      <c r="AF132" s="25">
        <f t="shared" si="6"/>
        <v>0.65770766521721324</v>
      </c>
      <c r="AG132" s="25">
        <f t="shared" si="7"/>
        <v>3.9621362800233317E-2</v>
      </c>
      <c r="AH132" s="26">
        <f t="shared" si="8"/>
        <v>8</v>
      </c>
    </row>
    <row r="133" spans="1:34" x14ac:dyDescent="0.25">
      <c r="A133" s="18">
        <v>25201</v>
      </c>
      <c r="B133" s="18">
        <v>712</v>
      </c>
      <c r="C133" s="18">
        <v>1</v>
      </c>
      <c r="D133" s="1" t="s">
        <v>55</v>
      </c>
      <c r="E133" s="18" t="s">
        <v>40</v>
      </c>
      <c r="F133" s="18"/>
      <c r="G133" s="18"/>
      <c r="H133" s="18"/>
      <c r="I133" s="18"/>
      <c r="J133" s="18"/>
      <c r="K133" s="18"/>
      <c r="L133" s="14">
        <v>1</v>
      </c>
      <c r="N133" s="21">
        <v>25201</v>
      </c>
      <c r="O133" s="21">
        <v>712</v>
      </c>
      <c r="P133" s="25">
        <v>0.54255319148936165</v>
      </c>
      <c r="Q133" s="25">
        <v>0.54545454545454541</v>
      </c>
      <c r="R133" s="25">
        <v>0.45977011494252867</v>
      </c>
      <c r="S133" s="25">
        <v>0.51020408163265307</v>
      </c>
      <c r="T133" s="25">
        <v>0.46387832699619769</v>
      </c>
      <c r="U133" s="25">
        <v>0.4697674418604651</v>
      </c>
      <c r="V133" s="25">
        <v>0.49302325581395351</v>
      </c>
      <c r="W133" s="25"/>
      <c r="X133" s="25"/>
      <c r="Y133" s="25"/>
      <c r="Z133" s="25"/>
      <c r="AA133" s="25"/>
      <c r="AB133" s="25"/>
      <c r="AC133" s="25"/>
      <c r="AD133" s="25"/>
      <c r="AE133" s="25"/>
      <c r="AF133" s="25">
        <f t="shared" si="6"/>
        <v>0.49780727974138639</v>
      </c>
      <c r="AG133" s="25">
        <f t="shared" si="7"/>
        <v>3.6132299444487315E-2</v>
      </c>
      <c r="AH133" s="26">
        <f t="shared" si="8"/>
        <v>7</v>
      </c>
    </row>
    <row r="134" spans="1:34" x14ac:dyDescent="0.25">
      <c r="A134" s="3">
        <v>25745</v>
      </c>
      <c r="B134" s="3">
        <v>714</v>
      </c>
      <c r="C134" s="3">
        <v>1</v>
      </c>
      <c r="D134" s="1" t="s">
        <v>13</v>
      </c>
      <c r="E134" s="3" t="s">
        <v>3</v>
      </c>
      <c r="F134" s="18"/>
      <c r="G134" s="3"/>
      <c r="H134" s="3"/>
      <c r="I134" s="3"/>
      <c r="J134" s="3"/>
      <c r="K134" s="3"/>
      <c r="L134" s="14">
        <v>1</v>
      </c>
      <c r="N134" s="29">
        <v>25745</v>
      </c>
      <c r="O134" s="29">
        <v>714</v>
      </c>
      <c r="P134" s="26">
        <f>102/204</f>
        <v>0.5</v>
      </c>
      <c r="Q134" s="26">
        <f>95/(95+92)</f>
        <v>0.50802139037433158</v>
      </c>
      <c r="R134" s="26">
        <f>93/(93+101)</f>
        <v>0.47938144329896909</v>
      </c>
      <c r="S134" s="26">
        <f>85/(85+105)</f>
        <v>0.44736842105263158</v>
      </c>
      <c r="T134" s="26">
        <f>61/(61+55)</f>
        <v>0.52586206896551724</v>
      </c>
      <c r="U134" s="26">
        <f>125/(125+150)</f>
        <v>0.45454545454545453</v>
      </c>
      <c r="V134" s="26">
        <f>60/(60+83)</f>
        <v>0.41958041958041958</v>
      </c>
      <c r="W134" s="26">
        <f>71/(71+73)</f>
        <v>0.49305555555555558</v>
      </c>
      <c r="X134" s="26">
        <f>103/(103+115)</f>
        <v>0.47247706422018348</v>
      </c>
      <c r="Y134" s="26">
        <f>133/(133+89)</f>
        <v>0.59909909909909909</v>
      </c>
      <c r="Z134" s="26">
        <f>112/(112+115)</f>
        <v>0.4933920704845815</v>
      </c>
      <c r="AA134" s="26"/>
      <c r="AB134" s="26"/>
      <c r="AC134" s="26"/>
      <c r="AD134" s="26"/>
      <c r="AE134" s="26"/>
      <c r="AF134" s="24">
        <f t="shared" si="6"/>
        <v>0.4902529988342495</v>
      </c>
      <c r="AG134" s="24">
        <f t="shared" si="7"/>
        <v>4.6996607370448654E-2</v>
      </c>
      <c r="AH134" s="24">
        <f t="shared" si="8"/>
        <v>11</v>
      </c>
    </row>
    <row r="135" spans="1:34" x14ac:dyDescent="0.25">
      <c r="A135" s="3">
        <v>28219</v>
      </c>
      <c r="B135" s="3">
        <v>716</v>
      </c>
      <c r="C135" s="3">
        <v>1</v>
      </c>
      <c r="D135" s="1" t="s">
        <v>66</v>
      </c>
      <c r="E135" s="3" t="s">
        <v>40</v>
      </c>
      <c r="F135" s="18"/>
      <c r="G135" s="3"/>
      <c r="H135" s="3"/>
      <c r="I135" s="3"/>
      <c r="J135" s="3"/>
      <c r="K135" s="3"/>
      <c r="L135" s="14">
        <v>1</v>
      </c>
      <c r="M135" s="14" t="s">
        <v>119</v>
      </c>
      <c r="N135" s="23">
        <v>28219</v>
      </c>
      <c r="O135" s="23">
        <v>716</v>
      </c>
      <c r="P135" s="24">
        <v>0.48691099476439792</v>
      </c>
      <c r="Q135" s="24">
        <v>0.46564885496183206</v>
      </c>
      <c r="R135" s="24">
        <v>0.50872093023255816</v>
      </c>
      <c r="S135" s="24">
        <v>0.5181518151815182</v>
      </c>
      <c r="T135" s="24">
        <v>0.4555256064690027</v>
      </c>
      <c r="U135" s="24">
        <v>0.38935574229691877</v>
      </c>
      <c r="V135" s="24">
        <v>0.44514106583072099</v>
      </c>
      <c r="W135" s="24">
        <v>0.71217712177121772</v>
      </c>
      <c r="X135" s="24">
        <v>0.51630434782608692</v>
      </c>
      <c r="Y135" s="24"/>
      <c r="Z135" s="24"/>
      <c r="AA135" s="24"/>
      <c r="AB135" s="24"/>
      <c r="AC135" s="24"/>
      <c r="AD135" s="24"/>
      <c r="AE135" s="24"/>
      <c r="AF135" s="24">
        <f t="shared" si="6"/>
        <v>0.49977071992602817</v>
      </c>
      <c r="AG135" s="24">
        <f t="shared" si="7"/>
        <v>8.9631873501968051E-2</v>
      </c>
      <c r="AH135" s="24">
        <f t="shared" si="8"/>
        <v>9</v>
      </c>
    </row>
    <row r="136" spans="1:34" x14ac:dyDescent="0.25">
      <c r="A136" s="3">
        <v>28220</v>
      </c>
      <c r="B136" s="3">
        <v>721</v>
      </c>
      <c r="C136" s="3">
        <v>1</v>
      </c>
      <c r="D136" s="1" t="s">
        <v>29</v>
      </c>
      <c r="E136" s="3" t="s">
        <v>21</v>
      </c>
      <c r="F136" s="18"/>
      <c r="G136" s="3"/>
      <c r="H136" s="3"/>
      <c r="I136" s="3"/>
      <c r="J136" s="3"/>
      <c r="K136" s="3"/>
      <c r="L136" s="14">
        <v>1</v>
      </c>
      <c r="N136" s="23">
        <v>28220</v>
      </c>
      <c r="O136" s="23">
        <v>721</v>
      </c>
      <c r="P136" s="24">
        <v>0.44444444444444442</v>
      </c>
      <c r="Q136" s="24">
        <v>0.48648648648648651</v>
      </c>
      <c r="R136" s="24">
        <v>0.59615384615384615</v>
      </c>
      <c r="S136" s="24">
        <v>0.47945205479452052</v>
      </c>
      <c r="T136" s="24">
        <v>0.52657004830917875</v>
      </c>
      <c r="U136" s="24">
        <v>0.52941176470588236</v>
      </c>
      <c r="V136" s="24">
        <v>0.46875</v>
      </c>
      <c r="W136" s="24">
        <v>0.4652173913043478</v>
      </c>
      <c r="X136" s="24"/>
      <c r="Y136" s="24"/>
      <c r="Z136" s="24"/>
      <c r="AA136" s="24"/>
      <c r="AB136" s="24"/>
      <c r="AC136" s="24"/>
      <c r="AD136" s="24"/>
      <c r="AE136" s="24"/>
      <c r="AF136" s="24">
        <f t="shared" si="6"/>
        <v>0.49956075452483828</v>
      </c>
      <c r="AG136" s="24">
        <f t="shared" si="7"/>
        <v>4.8833073143037531E-2</v>
      </c>
      <c r="AH136" s="24">
        <f t="shared" si="8"/>
        <v>8</v>
      </c>
    </row>
    <row r="137" spans="1:34" x14ac:dyDescent="0.25">
      <c r="A137" s="3">
        <v>25202</v>
      </c>
      <c r="B137" s="3">
        <v>730</v>
      </c>
      <c r="C137" s="3">
        <v>1</v>
      </c>
      <c r="D137" s="1" t="s">
        <v>41</v>
      </c>
      <c r="E137" s="3" t="s">
        <v>40</v>
      </c>
      <c r="F137" s="18"/>
      <c r="G137" s="3"/>
      <c r="H137" s="18"/>
      <c r="I137" s="3"/>
      <c r="J137" s="18"/>
      <c r="K137" s="3"/>
      <c r="L137" s="14">
        <v>1</v>
      </c>
      <c r="N137" s="21">
        <v>25202</v>
      </c>
      <c r="O137" s="21">
        <v>730</v>
      </c>
      <c r="P137" s="25">
        <v>0.1124031007751938</v>
      </c>
      <c r="Q137" s="25">
        <v>0.1328502415458937</v>
      </c>
      <c r="R137" s="25">
        <v>6.8493150684931503E-2</v>
      </c>
      <c r="S137" s="25">
        <v>0.21088435374149661</v>
      </c>
      <c r="T137" s="25">
        <v>0.2072072072072072</v>
      </c>
      <c r="U137" s="25">
        <v>0.16894977168949771</v>
      </c>
      <c r="V137" s="25">
        <v>0.10038610038610039</v>
      </c>
      <c r="W137" s="25">
        <v>0.2109375</v>
      </c>
      <c r="X137" s="25">
        <v>0.16666666666666671</v>
      </c>
      <c r="Y137" s="25">
        <v>0.16911764705882351</v>
      </c>
      <c r="Z137" s="25">
        <v>0.22745098039215689</v>
      </c>
      <c r="AA137" s="25">
        <v>0.4777777777777778</v>
      </c>
      <c r="AB137" s="25"/>
      <c r="AC137" s="25"/>
      <c r="AD137" s="25"/>
      <c r="AE137" s="25"/>
      <c r="AF137" s="25">
        <f t="shared" si="6"/>
        <v>0.1877603748271455</v>
      </c>
      <c r="AG137" s="25">
        <f t="shared" si="7"/>
        <v>0.1039381921656387</v>
      </c>
      <c r="AH137" s="26">
        <f t="shared" si="8"/>
        <v>12</v>
      </c>
    </row>
    <row r="138" spans="1:34" x14ac:dyDescent="0.25">
      <c r="A138" s="3">
        <v>25203</v>
      </c>
      <c r="B138" s="3">
        <v>732</v>
      </c>
      <c r="C138" s="3">
        <v>1</v>
      </c>
      <c r="D138" s="1" t="s">
        <v>52</v>
      </c>
      <c r="E138" s="3" t="s">
        <v>40</v>
      </c>
      <c r="F138" s="18"/>
      <c r="G138" s="3"/>
      <c r="H138" s="18"/>
      <c r="I138" s="3"/>
      <c r="J138" s="18"/>
      <c r="K138" s="3"/>
      <c r="L138" s="14">
        <v>1</v>
      </c>
      <c r="N138" s="21">
        <v>25203</v>
      </c>
      <c r="O138" s="21">
        <v>732</v>
      </c>
      <c r="P138" s="25">
        <v>0.73381294964028776</v>
      </c>
      <c r="Q138" s="25">
        <v>0.68965517241379315</v>
      </c>
      <c r="R138" s="25">
        <v>0.57534246575342463</v>
      </c>
      <c r="S138" s="25">
        <v>0.73076923076923073</v>
      </c>
      <c r="T138" s="25">
        <v>0.79</v>
      </c>
      <c r="U138" s="25">
        <v>0.70391596371534726</v>
      </c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>
        <f t="shared" si="6"/>
        <v>0.70391596371534726</v>
      </c>
      <c r="AG138" s="25">
        <f t="shared" si="7"/>
        <v>7.1777299431828298E-2</v>
      </c>
      <c r="AH138" s="26">
        <f t="shared" si="8"/>
        <v>6</v>
      </c>
    </row>
    <row r="139" spans="1:34" x14ac:dyDescent="0.25">
      <c r="A139" s="18">
        <v>28223</v>
      </c>
      <c r="B139" s="18">
        <v>738</v>
      </c>
      <c r="C139" s="18">
        <v>1</v>
      </c>
      <c r="D139" s="20">
        <v>42021</v>
      </c>
      <c r="E139" s="18" t="s">
        <v>3</v>
      </c>
      <c r="F139" s="18"/>
      <c r="G139" s="18"/>
      <c r="H139" s="18"/>
      <c r="I139" s="18"/>
      <c r="J139" s="18"/>
      <c r="K139" s="18"/>
      <c r="L139" s="14">
        <v>1</v>
      </c>
      <c r="N139" s="23">
        <v>28223</v>
      </c>
      <c r="O139" s="23">
        <v>738</v>
      </c>
      <c r="P139" s="24">
        <v>0.67647058823529416</v>
      </c>
      <c r="Q139" s="24">
        <v>0.61924686192468614</v>
      </c>
      <c r="R139" s="24">
        <v>0.61764705882352944</v>
      </c>
      <c r="S139" s="24">
        <v>0.78846153846153844</v>
      </c>
      <c r="T139" s="24">
        <v>0.73015873015873012</v>
      </c>
      <c r="U139" s="24">
        <v>0.59428571428571431</v>
      </c>
      <c r="V139" s="24">
        <v>0.51891891891891895</v>
      </c>
      <c r="W139" s="24"/>
      <c r="X139" s="24"/>
      <c r="Y139" s="24"/>
      <c r="Z139" s="24"/>
      <c r="AA139" s="24"/>
      <c r="AB139" s="24"/>
      <c r="AC139" s="24"/>
      <c r="AD139" s="24"/>
      <c r="AE139" s="24"/>
      <c r="AF139" s="24">
        <f t="shared" si="6"/>
        <v>0.64931277297263024</v>
      </c>
      <c r="AG139" s="24">
        <f t="shared" si="7"/>
        <v>8.9975186841237634E-2</v>
      </c>
      <c r="AH139" s="24">
        <f t="shared" si="8"/>
        <v>7</v>
      </c>
    </row>
    <row r="140" spans="1:34" x14ac:dyDescent="0.25">
      <c r="A140" s="3">
        <v>28224</v>
      </c>
      <c r="B140" s="3">
        <v>748</v>
      </c>
      <c r="C140" s="3">
        <v>1</v>
      </c>
      <c r="D140" s="1" t="s">
        <v>25</v>
      </c>
      <c r="E140" s="3" t="s">
        <v>21</v>
      </c>
      <c r="F140" s="18"/>
      <c r="G140" s="3"/>
      <c r="H140" s="3"/>
      <c r="I140" s="3"/>
      <c r="J140" s="3"/>
      <c r="K140" s="3"/>
      <c r="L140" s="14">
        <v>1</v>
      </c>
      <c r="N140" s="23">
        <v>28224</v>
      </c>
      <c r="O140" s="23">
        <v>748</v>
      </c>
      <c r="P140" s="24">
        <v>0.69158878504672894</v>
      </c>
      <c r="Q140" s="24">
        <v>0.63855421686746983</v>
      </c>
      <c r="R140" s="24">
        <v>0.76282051282051277</v>
      </c>
      <c r="S140" s="24">
        <v>0.50467289719626163</v>
      </c>
      <c r="T140" s="24">
        <v>0.74100719424460426</v>
      </c>
      <c r="U140" s="24">
        <v>0.64824120603015079</v>
      </c>
      <c r="V140" s="24">
        <v>0.5544554455445545</v>
      </c>
      <c r="W140" s="24"/>
      <c r="X140" s="24"/>
      <c r="Y140" s="24"/>
      <c r="Z140" s="24"/>
      <c r="AA140" s="24"/>
      <c r="AB140" s="24"/>
      <c r="AC140" s="24"/>
      <c r="AD140" s="24"/>
      <c r="AE140" s="24"/>
      <c r="AF140" s="24">
        <f t="shared" si="6"/>
        <v>0.64876289396432607</v>
      </c>
      <c r="AG140" s="24">
        <f t="shared" si="7"/>
        <v>9.408552806071438E-2</v>
      </c>
      <c r="AH140" s="24">
        <f t="shared" si="8"/>
        <v>7</v>
      </c>
    </row>
    <row r="141" spans="1:34" x14ac:dyDescent="0.25">
      <c r="A141" s="3">
        <v>28226</v>
      </c>
      <c r="B141" s="3">
        <v>757</v>
      </c>
      <c r="C141" s="3">
        <v>1</v>
      </c>
      <c r="D141" s="1" t="s">
        <v>42</v>
      </c>
      <c r="E141" s="3" t="s">
        <v>40</v>
      </c>
      <c r="F141" s="18"/>
      <c r="G141" s="3"/>
      <c r="H141" s="3"/>
      <c r="I141" s="3"/>
      <c r="J141" s="3"/>
      <c r="K141" s="3"/>
      <c r="L141" s="14">
        <v>1</v>
      </c>
      <c r="N141" s="23">
        <v>28226</v>
      </c>
      <c r="O141" s="23">
        <v>757</v>
      </c>
      <c r="P141" s="24">
        <f>117/(108+117)</f>
        <v>0.52</v>
      </c>
      <c r="Q141" s="24">
        <f>89/(89+74)</f>
        <v>0.54601226993865026</v>
      </c>
      <c r="R141" s="24">
        <f>85/(85+81)</f>
        <v>0.51204819277108438</v>
      </c>
      <c r="S141" s="24">
        <f>115/(115+101)</f>
        <v>0.53240740740740744</v>
      </c>
      <c r="T141" s="24">
        <f>146/(146+127)</f>
        <v>0.53479853479853479</v>
      </c>
      <c r="U141" s="24">
        <f>87/(87+75)</f>
        <v>0.53703703703703709</v>
      </c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>
        <f t="shared" si="6"/>
        <v>0.53038390699211901</v>
      </c>
      <c r="AG141" s="24">
        <f t="shared" si="7"/>
        <v>1.229729483097306E-2</v>
      </c>
      <c r="AH141" s="24">
        <f t="shared" si="8"/>
        <v>6</v>
      </c>
    </row>
    <row r="142" spans="1:34" x14ac:dyDescent="0.25">
      <c r="A142" s="3">
        <v>28227</v>
      </c>
      <c r="B142" s="3">
        <v>761</v>
      </c>
      <c r="C142" s="3">
        <v>2</v>
      </c>
      <c r="D142" s="1" t="s">
        <v>9</v>
      </c>
      <c r="E142" s="3" t="s">
        <v>3</v>
      </c>
      <c r="F142" s="1" t="s">
        <v>0</v>
      </c>
      <c r="G142" s="3" t="s">
        <v>21</v>
      </c>
      <c r="H142" s="18"/>
      <c r="I142" s="3"/>
      <c r="J142" s="18"/>
      <c r="K142" s="3"/>
      <c r="L142" s="14">
        <v>1</v>
      </c>
      <c r="N142" s="23">
        <v>28227</v>
      </c>
      <c r="O142" s="23">
        <v>761</v>
      </c>
      <c r="P142" s="24">
        <f>100/133</f>
        <v>0.75187969924812026</v>
      </c>
      <c r="Q142" s="24">
        <f>76/(76+43)</f>
        <v>0.6386554621848739</v>
      </c>
      <c r="R142" s="24">
        <f>105/(150)</f>
        <v>0.7</v>
      </c>
      <c r="S142" s="24">
        <f>157/(157+55)</f>
        <v>0.74056603773584906</v>
      </c>
      <c r="T142" s="24">
        <f>115/(115+43)</f>
        <v>0.72784810126582278</v>
      </c>
      <c r="U142" s="24">
        <f>123/(123+54)</f>
        <v>0.69491525423728817</v>
      </c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>
        <f t="shared" si="6"/>
        <v>0.70897742577865897</v>
      </c>
      <c r="AG142" s="24">
        <f t="shared" si="7"/>
        <v>4.1031854146085386E-2</v>
      </c>
      <c r="AH142" s="24">
        <f t="shared" si="8"/>
        <v>6</v>
      </c>
    </row>
    <row r="143" spans="1:34" x14ac:dyDescent="0.25">
      <c r="A143" s="3">
        <v>25204</v>
      </c>
      <c r="B143" s="3">
        <v>765</v>
      </c>
      <c r="C143" s="3">
        <v>1</v>
      </c>
      <c r="D143" s="1" t="s">
        <v>49</v>
      </c>
      <c r="E143" s="3" t="s">
        <v>40</v>
      </c>
      <c r="F143" s="18"/>
      <c r="G143" s="3"/>
      <c r="H143" s="3"/>
      <c r="I143" s="3"/>
      <c r="J143" s="3"/>
      <c r="K143" s="3"/>
      <c r="L143" s="14">
        <v>1</v>
      </c>
      <c r="N143" s="21">
        <v>25204</v>
      </c>
      <c r="O143" s="21">
        <v>765</v>
      </c>
      <c r="P143" s="25">
        <v>0.41203703703703698</v>
      </c>
      <c r="Q143" s="25">
        <v>0.4925373134328358</v>
      </c>
      <c r="R143" s="25">
        <v>0.34640522875816993</v>
      </c>
      <c r="S143" s="25">
        <v>0.6</v>
      </c>
      <c r="T143" s="25">
        <v>0.36410256410256409</v>
      </c>
      <c r="U143" s="25">
        <v>0.47435897435897428</v>
      </c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>
        <f t="shared" si="6"/>
        <v>0.44824018628159684</v>
      </c>
      <c r="AG143" s="25">
        <f t="shared" si="7"/>
        <v>9.4271558467325822E-2</v>
      </c>
      <c r="AH143" s="26">
        <f t="shared" si="8"/>
        <v>6</v>
      </c>
    </row>
    <row r="144" spans="1:34" x14ac:dyDescent="0.25">
      <c r="A144" s="18">
        <v>25205</v>
      </c>
      <c r="B144" s="18">
        <v>774</v>
      </c>
      <c r="C144" s="18">
        <v>1</v>
      </c>
      <c r="D144" s="1" t="s">
        <v>11</v>
      </c>
      <c r="E144" s="18" t="s">
        <v>3</v>
      </c>
      <c r="F144" s="18"/>
      <c r="G144" s="18"/>
      <c r="H144" s="18"/>
      <c r="I144" s="18"/>
      <c r="J144" s="18"/>
      <c r="K144" s="18"/>
      <c r="L144" s="14">
        <v>1</v>
      </c>
      <c r="N144" s="29">
        <v>25205</v>
      </c>
      <c r="O144" s="29">
        <v>774</v>
      </c>
      <c r="P144" s="26">
        <f>75/(75+31)</f>
        <v>0.70754716981132071</v>
      </c>
      <c r="Q144" s="26">
        <f>60/(60+47)</f>
        <v>0.56074766355140182</v>
      </c>
      <c r="R144" s="26">
        <f>94/(94+67)</f>
        <v>0.58385093167701863</v>
      </c>
      <c r="S144" s="26">
        <f>116/(116+82)</f>
        <v>0.58585858585858586</v>
      </c>
      <c r="T144" s="26">
        <f>138/(138+104)</f>
        <v>0.57024793388429751</v>
      </c>
      <c r="U144" s="26">
        <f>58/(58+31)</f>
        <v>0.651685393258427</v>
      </c>
      <c r="V144" s="26">
        <f>115/(115+72)</f>
        <v>0.61497326203208558</v>
      </c>
      <c r="W144" s="26">
        <f>121/(121+119)</f>
        <v>0.50416666666666665</v>
      </c>
      <c r="X144" s="26">
        <f>91/(91+41)</f>
        <v>0.68939393939393945</v>
      </c>
      <c r="Y144" s="26"/>
      <c r="Z144" s="26"/>
      <c r="AA144" s="26"/>
      <c r="AB144" s="26"/>
      <c r="AC144" s="26"/>
      <c r="AD144" s="26"/>
      <c r="AE144" s="26"/>
      <c r="AF144" s="25">
        <f t="shared" si="6"/>
        <v>0.60760794957041586</v>
      </c>
      <c r="AG144" s="25">
        <f t="shared" si="7"/>
        <v>6.5194949623401735E-2</v>
      </c>
      <c r="AH144" s="26">
        <f t="shared" si="8"/>
        <v>9</v>
      </c>
    </row>
    <row r="145" spans="1:34" x14ac:dyDescent="0.25">
      <c r="A145" s="3">
        <v>28229</v>
      </c>
      <c r="B145" s="3">
        <v>776</v>
      </c>
      <c r="C145" s="3">
        <v>1</v>
      </c>
      <c r="D145" s="1" t="s">
        <v>56</v>
      </c>
      <c r="E145" s="3" t="s">
        <v>40</v>
      </c>
      <c r="F145" s="18"/>
      <c r="G145" s="3"/>
      <c r="H145" s="3"/>
      <c r="I145" s="3"/>
      <c r="J145" s="3"/>
      <c r="K145" s="3"/>
      <c r="L145" s="14">
        <v>1</v>
      </c>
      <c r="N145" s="23">
        <v>28229</v>
      </c>
      <c r="O145" s="23">
        <v>776</v>
      </c>
      <c r="P145" s="24">
        <v>0.77906976744186052</v>
      </c>
      <c r="Q145" s="24">
        <v>0.72596153846153844</v>
      </c>
      <c r="R145" s="24">
        <v>0.69512195121951215</v>
      </c>
      <c r="S145" s="24">
        <v>0.77828054298642535</v>
      </c>
      <c r="T145" s="24">
        <v>0.69067796610169496</v>
      </c>
      <c r="U145" s="24">
        <v>0.58781362007168458</v>
      </c>
      <c r="V145" s="24">
        <v>0.6518518518518519</v>
      </c>
      <c r="W145" s="24"/>
      <c r="X145" s="24"/>
      <c r="Y145" s="24"/>
      <c r="Z145" s="24"/>
      <c r="AA145" s="24"/>
      <c r="AB145" s="24"/>
      <c r="AC145" s="24"/>
      <c r="AD145" s="24"/>
      <c r="AE145" s="24"/>
      <c r="AF145" s="24">
        <f t="shared" si="6"/>
        <v>0.70125389116208114</v>
      </c>
      <c r="AG145" s="24">
        <f t="shared" si="7"/>
        <v>6.8383222843700645E-2</v>
      </c>
      <c r="AH145" s="24">
        <f t="shared" si="8"/>
        <v>7</v>
      </c>
    </row>
    <row r="146" spans="1:34" x14ac:dyDescent="0.25">
      <c r="A146" s="3">
        <v>28230</v>
      </c>
      <c r="B146" s="3">
        <v>783</v>
      </c>
      <c r="C146" s="3">
        <v>1</v>
      </c>
      <c r="D146" s="1" t="s">
        <v>0</v>
      </c>
      <c r="E146" s="3" t="s">
        <v>1</v>
      </c>
      <c r="F146" s="18"/>
      <c r="G146" s="3"/>
      <c r="H146" s="18"/>
      <c r="I146" s="3"/>
      <c r="J146" s="18"/>
      <c r="K146" s="3"/>
      <c r="L146" s="14">
        <v>1</v>
      </c>
      <c r="N146" s="23">
        <v>28230</v>
      </c>
      <c r="O146" s="23">
        <v>783</v>
      </c>
      <c r="P146" s="24">
        <v>0.71186440679999996</v>
      </c>
      <c r="Q146" s="24">
        <v>0.65566037740000005</v>
      </c>
      <c r="R146" s="24">
        <v>0.72018348619999994</v>
      </c>
      <c r="S146" s="24">
        <v>0.73287671229999996</v>
      </c>
      <c r="T146" s="24">
        <v>0.69899665550000001</v>
      </c>
      <c r="U146" s="24">
        <f>164/(164+62)</f>
        <v>0.72566371681415931</v>
      </c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>
        <f t="shared" si="6"/>
        <v>0.70754089250235985</v>
      </c>
      <c r="AG146" s="24">
        <f t="shared" si="7"/>
        <v>2.7976634216356433E-2</v>
      </c>
      <c r="AH146" s="24">
        <f t="shared" si="8"/>
        <v>6</v>
      </c>
    </row>
    <row r="147" spans="1:34" x14ac:dyDescent="0.25">
      <c r="A147" s="3">
        <v>25206</v>
      </c>
      <c r="B147" s="3">
        <v>786</v>
      </c>
      <c r="C147" s="3">
        <v>1</v>
      </c>
      <c r="D147" s="1" t="s">
        <v>8</v>
      </c>
      <c r="E147" s="3" t="s">
        <v>3</v>
      </c>
      <c r="F147" s="18"/>
      <c r="G147" s="3"/>
      <c r="H147" s="18"/>
      <c r="I147" s="3"/>
      <c r="J147" s="18"/>
      <c r="K147" s="3"/>
      <c r="L147" s="14">
        <v>1</v>
      </c>
      <c r="N147" s="21">
        <v>25206</v>
      </c>
      <c r="O147" s="21">
        <v>786</v>
      </c>
      <c r="P147" s="25">
        <v>0.80681818181818177</v>
      </c>
      <c r="Q147" s="25">
        <v>0.74576299999999995</v>
      </c>
      <c r="R147" s="25">
        <v>0.72189300000000001</v>
      </c>
      <c r="S147" s="25">
        <v>0.75</v>
      </c>
      <c r="T147" s="25">
        <v>0.80722899999999997</v>
      </c>
      <c r="U147" s="25">
        <v>0.66842100000000004</v>
      </c>
      <c r="V147" s="25">
        <v>0.77830200000000005</v>
      </c>
      <c r="W147" s="25">
        <v>0.68390799999999996</v>
      </c>
      <c r="X147" s="25"/>
      <c r="Y147" s="25"/>
      <c r="Z147" s="25"/>
      <c r="AA147" s="25"/>
      <c r="AB147" s="25"/>
      <c r="AC147" s="25"/>
      <c r="AD147" s="25"/>
      <c r="AE147" s="25"/>
      <c r="AF147" s="25">
        <f t="shared" si="6"/>
        <v>0.74529177272727276</v>
      </c>
      <c r="AG147" s="25">
        <f t="shared" si="7"/>
        <v>5.2041699654783335E-2</v>
      </c>
      <c r="AH147" s="26">
        <f t="shared" si="8"/>
        <v>8</v>
      </c>
    </row>
    <row r="148" spans="1:34" x14ac:dyDescent="0.25">
      <c r="A148" s="3">
        <v>28231</v>
      </c>
      <c r="B148" s="3">
        <v>787</v>
      </c>
      <c r="C148" s="3">
        <v>1</v>
      </c>
      <c r="D148" s="1" t="s">
        <v>52</v>
      </c>
      <c r="E148" s="3" t="s">
        <v>40</v>
      </c>
      <c r="F148" s="18"/>
      <c r="G148" s="3"/>
      <c r="H148" s="3"/>
      <c r="I148" s="3"/>
      <c r="J148" s="3"/>
      <c r="K148" s="3"/>
      <c r="L148" s="14">
        <v>1</v>
      </c>
      <c r="N148" s="23">
        <v>28231</v>
      </c>
      <c r="O148" s="23">
        <v>787</v>
      </c>
      <c r="P148" s="24">
        <v>0.61009174311926606</v>
      </c>
      <c r="Q148" s="24">
        <v>0.69298245614035092</v>
      </c>
      <c r="R148" s="24">
        <v>0.70666666666666667</v>
      </c>
      <c r="S148" s="24">
        <v>0.6910112359550562</v>
      </c>
      <c r="T148" s="24">
        <v>0.7142857142857143</v>
      </c>
      <c r="U148" s="24">
        <v>0.72935779816513757</v>
      </c>
      <c r="V148" s="24">
        <v>0.70813397129186606</v>
      </c>
      <c r="W148" s="24"/>
      <c r="X148" s="24"/>
      <c r="Y148" s="24"/>
      <c r="Z148" s="24"/>
      <c r="AA148" s="24"/>
      <c r="AB148" s="24"/>
      <c r="AC148" s="24"/>
      <c r="AD148" s="24"/>
      <c r="AE148" s="24"/>
      <c r="AF148" s="24">
        <f t="shared" si="6"/>
        <v>0.69321851223200814</v>
      </c>
      <c r="AG148" s="24">
        <f t="shared" si="7"/>
        <v>3.8876270184945348E-2</v>
      </c>
      <c r="AH148" s="24">
        <f t="shared" si="8"/>
        <v>7</v>
      </c>
    </row>
    <row r="149" spans="1:34" x14ac:dyDescent="0.25">
      <c r="A149" s="3">
        <v>28232</v>
      </c>
      <c r="B149" s="3">
        <v>790</v>
      </c>
      <c r="C149" s="3">
        <v>1</v>
      </c>
      <c r="D149" s="1" t="s">
        <v>52</v>
      </c>
      <c r="E149" s="3" t="s">
        <v>40</v>
      </c>
      <c r="F149" s="18"/>
      <c r="G149" s="3"/>
      <c r="H149" s="3"/>
      <c r="I149" s="3"/>
      <c r="J149" s="3"/>
      <c r="K149" s="3"/>
      <c r="L149" s="14">
        <v>1</v>
      </c>
      <c r="N149" s="23">
        <v>28232</v>
      </c>
      <c r="O149" s="23">
        <v>790</v>
      </c>
      <c r="P149" s="24">
        <v>0.67619047619047623</v>
      </c>
      <c r="Q149" s="24">
        <v>0.61290322580645162</v>
      </c>
      <c r="R149" s="24">
        <v>0.63013698630136983</v>
      </c>
      <c r="S149" s="24">
        <v>0.6470588235294118</v>
      </c>
      <c r="T149" s="24">
        <v>0.64516129032258063</v>
      </c>
      <c r="U149" s="24">
        <v>0.67741935483870963</v>
      </c>
      <c r="V149" s="24">
        <v>0.63265306122448983</v>
      </c>
      <c r="W149" s="24"/>
      <c r="X149" s="24"/>
      <c r="Y149" s="24"/>
      <c r="Z149" s="24"/>
      <c r="AA149" s="24"/>
      <c r="AB149" s="24"/>
      <c r="AC149" s="24"/>
      <c r="AD149" s="24"/>
      <c r="AE149" s="24"/>
      <c r="AF149" s="24">
        <f t="shared" si="6"/>
        <v>0.64593188831621273</v>
      </c>
      <c r="AG149" s="24">
        <f t="shared" si="7"/>
        <v>2.389422949223825E-2</v>
      </c>
      <c r="AH149" s="24">
        <f t="shared" si="8"/>
        <v>7</v>
      </c>
    </row>
    <row r="150" spans="1:34" x14ac:dyDescent="0.25">
      <c r="A150" s="18">
        <v>28233</v>
      </c>
      <c r="B150" s="18">
        <v>796</v>
      </c>
      <c r="C150" s="18">
        <v>1</v>
      </c>
      <c r="D150" s="1" t="s">
        <v>51</v>
      </c>
      <c r="E150" s="18" t="s">
        <v>40</v>
      </c>
      <c r="F150" s="18"/>
      <c r="G150" s="18"/>
      <c r="H150" s="18"/>
      <c r="I150" s="18"/>
      <c r="J150" s="18"/>
      <c r="K150" s="18"/>
      <c r="L150" s="14">
        <v>1</v>
      </c>
      <c r="N150" s="23">
        <v>28233</v>
      </c>
      <c r="O150" s="23">
        <v>796</v>
      </c>
      <c r="P150" s="24">
        <v>0.64102564102564108</v>
      </c>
      <c r="Q150" s="24">
        <v>0.77192982456140347</v>
      </c>
      <c r="R150" s="24">
        <v>0.67708333333333337</v>
      </c>
      <c r="S150" s="24">
        <v>0.54098360655737709</v>
      </c>
      <c r="T150" s="24">
        <v>0.81632653061224492</v>
      </c>
      <c r="U150" s="24">
        <v>0.73863636363636365</v>
      </c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>
        <f t="shared" si="6"/>
        <v>0.6976642166210606</v>
      </c>
      <c r="AG150" s="24">
        <f t="shared" si="7"/>
        <v>9.9453664274218173E-2</v>
      </c>
      <c r="AH150" s="24">
        <f t="shared" si="8"/>
        <v>6</v>
      </c>
    </row>
    <row r="151" spans="1:34" x14ac:dyDescent="0.25">
      <c r="A151" s="3">
        <v>25207</v>
      </c>
      <c r="B151" s="3">
        <v>799</v>
      </c>
      <c r="C151" s="3">
        <v>1</v>
      </c>
      <c r="D151" s="1" t="s">
        <v>53</v>
      </c>
      <c r="E151" s="3" t="s">
        <v>40</v>
      </c>
      <c r="F151" s="18"/>
      <c r="G151" s="3"/>
      <c r="H151" s="3"/>
      <c r="I151" s="3"/>
      <c r="J151" s="3"/>
      <c r="K151" s="3"/>
      <c r="L151" s="14">
        <v>1</v>
      </c>
      <c r="N151" s="21">
        <v>25207</v>
      </c>
      <c r="O151" s="21">
        <v>799</v>
      </c>
      <c r="P151" s="25">
        <v>0.68803418803418803</v>
      </c>
      <c r="Q151" s="25">
        <v>0.65502183406113534</v>
      </c>
      <c r="R151" s="25">
        <v>0.6470588235294118</v>
      </c>
      <c r="S151" s="25">
        <v>0.64312267657992561</v>
      </c>
      <c r="T151" s="25">
        <v>0.66552901023890787</v>
      </c>
      <c r="U151" s="25">
        <v>0.65966386554621848</v>
      </c>
      <c r="V151" s="25">
        <v>0.59927797833935015</v>
      </c>
      <c r="W151" s="25">
        <v>0.61678832116788318</v>
      </c>
      <c r="X151" s="25"/>
      <c r="Y151" s="25"/>
      <c r="Z151" s="25"/>
      <c r="AA151" s="25"/>
      <c r="AB151" s="25"/>
      <c r="AC151" s="25"/>
      <c r="AD151" s="25"/>
      <c r="AE151" s="25"/>
      <c r="AF151" s="25">
        <f t="shared" si="6"/>
        <v>0.64681208718712757</v>
      </c>
      <c r="AG151" s="25">
        <f t="shared" si="7"/>
        <v>2.792015047257802E-2</v>
      </c>
      <c r="AH151" s="26">
        <f t="shared" si="8"/>
        <v>8</v>
      </c>
    </row>
    <row r="152" spans="1:34" x14ac:dyDescent="0.25">
      <c r="A152" s="18">
        <v>28234</v>
      </c>
      <c r="B152" s="18">
        <v>801</v>
      </c>
      <c r="C152" s="18">
        <v>1</v>
      </c>
      <c r="D152" s="1" t="s">
        <v>0</v>
      </c>
      <c r="E152" s="18" t="s">
        <v>21</v>
      </c>
      <c r="F152" s="18"/>
      <c r="G152" s="18"/>
      <c r="H152" s="18"/>
      <c r="I152" s="18"/>
      <c r="J152" s="18"/>
      <c r="K152" s="18"/>
      <c r="L152" s="14">
        <v>1</v>
      </c>
      <c r="N152" s="23">
        <v>28234</v>
      </c>
      <c r="O152" s="23">
        <v>801</v>
      </c>
      <c r="P152" s="27">
        <v>0.70198675496688745</v>
      </c>
      <c r="Q152" s="24">
        <f>151/(151+42)</f>
        <v>0.78238341968911918</v>
      </c>
      <c r="R152" s="24">
        <v>0.75457875460000001</v>
      </c>
      <c r="S152" s="24">
        <v>0.76249999999999996</v>
      </c>
      <c r="T152" s="24">
        <v>0.75704989150000002</v>
      </c>
      <c r="U152" s="24">
        <v>0.77458033573141483</v>
      </c>
      <c r="V152" s="24">
        <v>0.69444444439999997</v>
      </c>
      <c r="W152" s="24"/>
      <c r="X152" s="24"/>
      <c r="Y152" s="24"/>
      <c r="Z152" s="24"/>
      <c r="AA152" s="24"/>
      <c r="AB152" s="24"/>
      <c r="AC152" s="24"/>
      <c r="AD152" s="24"/>
      <c r="AE152" s="24"/>
      <c r="AF152" s="24">
        <f t="shared" si="6"/>
        <v>0.7467890858410603</v>
      </c>
      <c r="AG152" s="24">
        <f t="shared" si="7"/>
        <v>3.4639371644997002E-2</v>
      </c>
      <c r="AH152" s="24">
        <f t="shared" si="8"/>
        <v>7</v>
      </c>
    </row>
    <row r="153" spans="1:34" x14ac:dyDescent="0.25">
      <c r="A153" s="3">
        <v>28235</v>
      </c>
      <c r="B153" s="3">
        <v>802</v>
      </c>
      <c r="C153" s="3">
        <v>2</v>
      </c>
      <c r="D153" s="1" t="s">
        <v>58</v>
      </c>
      <c r="E153" s="3" t="s">
        <v>21</v>
      </c>
      <c r="F153" s="1" t="s">
        <v>14</v>
      </c>
      <c r="G153" s="3" t="s">
        <v>3</v>
      </c>
      <c r="H153" s="3"/>
      <c r="I153" s="3"/>
      <c r="J153" s="3"/>
      <c r="K153" s="3"/>
      <c r="L153" s="14">
        <v>1</v>
      </c>
      <c r="N153" s="23">
        <v>28235</v>
      </c>
      <c r="O153" s="23">
        <v>802</v>
      </c>
      <c r="P153" s="24">
        <f>84/(84+22)</f>
        <v>0.79245283018867929</v>
      </c>
      <c r="Q153" s="24">
        <f>92/(92+42)</f>
        <v>0.68656716417910446</v>
      </c>
      <c r="R153" s="27">
        <v>0.71473354231974917</v>
      </c>
      <c r="S153" s="24">
        <f>168/(91+168)</f>
        <v>0.64864864864864868</v>
      </c>
      <c r="T153" s="27">
        <v>0.74231678486997632</v>
      </c>
      <c r="U153" s="24">
        <f>139/(139+57)</f>
        <v>0.70918367346938771</v>
      </c>
      <c r="V153" s="24">
        <f>113/(113+51)</f>
        <v>0.68902439024390238</v>
      </c>
      <c r="W153" s="24"/>
      <c r="X153" s="24"/>
      <c r="Y153" s="24"/>
      <c r="Z153" s="24"/>
      <c r="AA153" s="24"/>
      <c r="AB153" s="24"/>
      <c r="AC153" s="24"/>
      <c r="AD153" s="24"/>
      <c r="AE153" s="24"/>
      <c r="AF153" s="24">
        <f t="shared" si="6"/>
        <v>0.71184671913134978</v>
      </c>
      <c r="AG153" s="24">
        <f t="shared" si="7"/>
        <v>4.5816857002251181E-2</v>
      </c>
      <c r="AH153" s="24">
        <f t="shared" si="8"/>
        <v>7</v>
      </c>
    </row>
    <row r="154" spans="1:34" x14ac:dyDescent="0.25">
      <c r="A154" s="3">
        <v>28236</v>
      </c>
      <c r="B154" s="3">
        <v>804</v>
      </c>
      <c r="C154" s="3">
        <v>2</v>
      </c>
      <c r="D154" s="1" t="s">
        <v>39</v>
      </c>
      <c r="E154" s="3" t="s">
        <v>40</v>
      </c>
      <c r="F154" s="1" t="s">
        <v>55</v>
      </c>
      <c r="G154" s="3" t="s">
        <v>40</v>
      </c>
      <c r="H154" s="18"/>
      <c r="I154" s="3"/>
      <c r="J154" s="18"/>
      <c r="K154" s="3"/>
      <c r="L154" s="14">
        <v>1</v>
      </c>
      <c r="N154" s="23">
        <v>28236</v>
      </c>
      <c r="O154" s="23">
        <v>804</v>
      </c>
      <c r="P154" s="24">
        <v>0.64777327935222673</v>
      </c>
      <c r="Q154" s="24">
        <v>0.69</v>
      </c>
      <c r="R154" s="24">
        <v>0.68807339449541283</v>
      </c>
      <c r="S154" s="24">
        <v>0.7407407407407407</v>
      </c>
      <c r="T154" s="24">
        <v>0.7239263803680982</v>
      </c>
      <c r="U154" s="24">
        <v>0.70621468926553677</v>
      </c>
      <c r="V154" s="24">
        <v>0.63934426229508201</v>
      </c>
      <c r="W154" s="24"/>
      <c r="X154" s="24"/>
      <c r="Y154" s="24"/>
      <c r="Z154" s="24"/>
      <c r="AA154" s="24"/>
      <c r="AB154" s="24"/>
      <c r="AC154" s="24"/>
      <c r="AD154" s="24"/>
      <c r="AE154" s="24"/>
      <c r="AF154" s="24">
        <f t="shared" si="6"/>
        <v>0.69086753521672828</v>
      </c>
      <c r="AG154" s="24">
        <f t="shared" si="7"/>
        <v>3.7273943960396891E-2</v>
      </c>
      <c r="AH154" s="24">
        <f t="shared" si="8"/>
        <v>7</v>
      </c>
    </row>
    <row r="155" spans="1:34" x14ac:dyDescent="0.25">
      <c r="A155" s="18">
        <v>28237</v>
      </c>
      <c r="B155" s="18">
        <v>805</v>
      </c>
      <c r="C155" s="18">
        <v>2</v>
      </c>
      <c r="D155" s="1" t="s">
        <v>63</v>
      </c>
      <c r="E155" s="18" t="s">
        <v>3</v>
      </c>
      <c r="F155" s="1" t="s">
        <v>5</v>
      </c>
      <c r="G155" s="18" t="s">
        <v>3</v>
      </c>
      <c r="H155" s="18"/>
      <c r="I155" s="18"/>
      <c r="J155" s="18"/>
      <c r="K155" s="18"/>
      <c r="L155" s="14">
        <v>1</v>
      </c>
      <c r="N155" s="23">
        <v>28237</v>
      </c>
      <c r="O155" s="23">
        <v>805</v>
      </c>
      <c r="P155" s="24">
        <f>81/(81+43)</f>
        <v>0.65322580645161288</v>
      </c>
      <c r="Q155" s="24">
        <f>91/(91+52)</f>
        <v>0.63636363636363635</v>
      </c>
      <c r="R155" s="24">
        <f>73/(140)</f>
        <v>0.52142857142857146</v>
      </c>
      <c r="S155" s="24">
        <f>129/(93+129)</f>
        <v>0.58108108108108103</v>
      </c>
      <c r="T155" s="24">
        <f>111/(111+75)</f>
        <v>0.59677419354838712</v>
      </c>
      <c r="U155" s="24">
        <f>44/(44+38)</f>
        <v>0.53658536585365857</v>
      </c>
      <c r="V155" s="24">
        <f>136/(136+70)</f>
        <v>0.66019417475728159</v>
      </c>
      <c r="W155" s="24">
        <f>86/(86+70)</f>
        <v>0.55128205128205132</v>
      </c>
      <c r="X155" s="24">
        <f>97/(97+65)</f>
        <v>0.59876543209876543</v>
      </c>
      <c r="Y155" s="24"/>
      <c r="Z155" s="24"/>
      <c r="AA155" s="24"/>
      <c r="AB155" s="24"/>
      <c r="AC155" s="24"/>
      <c r="AD155" s="24"/>
      <c r="AE155" s="24"/>
      <c r="AF155" s="24">
        <f t="shared" si="6"/>
        <v>0.59285559031833834</v>
      </c>
      <c r="AG155" s="24">
        <f t="shared" si="7"/>
        <v>5.0320764981525608E-2</v>
      </c>
      <c r="AH155" s="24">
        <f t="shared" si="8"/>
        <v>9</v>
      </c>
    </row>
    <row r="156" spans="1:34" x14ac:dyDescent="0.25">
      <c r="A156" s="5">
        <v>28238</v>
      </c>
      <c r="B156" s="5">
        <v>808</v>
      </c>
      <c r="C156" s="5">
        <v>2</v>
      </c>
      <c r="D156" s="1" t="s">
        <v>7</v>
      </c>
      <c r="E156" s="5" t="s">
        <v>3</v>
      </c>
      <c r="F156" s="1" t="s">
        <v>51</v>
      </c>
      <c r="G156" s="5" t="s">
        <v>40</v>
      </c>
      <c r="H156" s="18"/>
      <c r="I156" s="5"/>
      <c r="J156" s="5"/>
      <c r="K156" s="5"/>
      <c r="L156" s="14">
        <v>1</v>
      </c>
      <c r="N156" s="23">
        <v>28238</v>
      </c>
      <c r="O156" s="23">
        <v>808</v>
      </c>
      <c r="P156" s="24">
        <v>0.69014084507042295</v>
      </c>
      <c r="Q156" s="24">
        <v>0.67307692307692313</v>
      </c>
      <c r="R156" s="24">
        <v>0.66666666666666663</v>
      </c>
      <c r="S156" s="24">
        <v>0.64356435643564358</v>
      </c>
      <c r="T156" s="24">
        <v>0.5714285714285714</v>
      </c>
      <c r="U156" s="24">
        <f>180/256</f>
        <v>0.703125</v>
      </c>
      <c r="V156" s="24">
        <f>167/267</f>
        <v>0.62546816479400746</v>
      </c>
      <c r="W156" s="24"/>
      <c r="X156" s="24"/>
      <c r="Y156" s="24"/>
      <c r="Z156" s="24"/>
      <c r="AA156" s="24"/>
      <c r="AB156" s="24"/>
      <c r="AC156" s="24"/>
      <c r="AD156" s="24"/>
      <c r="AE156" s="24"/>
      <c r="AF156" s="24">
        <f t="shared" si="6"/>
        <v>0.65335293249603354</v>
      </c>
      <c r="AG156" s="24">
        <f t="shared" si="7"/>
        <v>4.4687578372144827E-2</v>
      </c>
      <c r="AH156" s="24">
        <f t="shared" si="8"/>
        <v>7</v>
      </c>
    </row>
    <row r="157" spans="1:34" x14ac:dyDescent="0.25">
      <c r="A157" s="5">
        <v>28239</v>
      </c>
      <c r="B157" s="5">
        <v>810</v>
      </c>
      <c r="C157" s="5">
        <v>2</v>
      </c>
      <c r="D157" s="1" t="s">
        <v>63</v>
      </c>
      <c r="E157" s="5" t="s">
        <v>3</v>
      </c>
      <c r="F157" s="1" t="s">
        <v>51</v>
      </c>
      <c r="G157" s="5" t="s">
        <v>40</v>
      </c>
      <c r="H157" s="5"/>
      <c r="I157" s="5"/>
      <c r="J157" s="5"/>
      <c r="K157" s="5"/>
      <c r="L157" s="14">
        <v>1</v>
      </c>
      <c r="N157" s="23">
        <v>28239</v>
      </c>
      <c r="O157" s="23">
        <v>810</v>
      </c>
      <c r="P157" s="24">
        <v>0.70454545454545459</v>
      </c>
      <c r="Q157" s="24">
        <v>0.68888888888888888</v>
      </c>
      <c r="R157" s="24">
        <v>0.74747474747474751</v>
      </c>
      <c r="S157" s="24">
        <v>0.72580645161290325</v>
      </c>
      <c r="T157" s="24">
        <v>0.65789473684210531</v>
      </c>
      <c r="U157" s="24">
        <f>112/(112+65)</f>
        <v>0.63276836158192096</v>
      </c>
      <c r="V157" s="24">
        <f>112/(112+65)</f>
        <v>0.63276836158192096</v>
      </c>
      <c r="W157" s="24">
        <f>174/(174+42)</f>
        <v>0.80555555555555558</v>
      </c>
      <c r="X157" s="24">
        <f>169/(169+44)</f>
        <v>0.79342723004694837</v>
      </c>
      <c r="Y157" s="24">
        <f>145/(145+82)</f>
        <v>0.63876651982378851</v>
      </c>
      <c r="Z157" s="24">
        <f>130/(130+44)</f>
        <v>0.74712643678160917</v>
      </c>
      <c r="AA157" s="24">
        <f>130/(130+68)</f>
        <v>0.65656565656565657</v>
      </c>
      <c r="AB157" s="24">
        <f>67/(67+28)</f>
        <v>0.70526315789473681</v>
      </c>
      <c r="AC157" s="24">
        <f>173/(173+73)</f>
        <v>0.7032520325203252</v>
      </c>
      <c r="AD157" s="24"/>
      <c r="AE157" s="24"/>
      <c r="AF157" s="24">
        <f t="shared" si="6"/>
        <v>0.70286454226546879</v>
      </c>
      <c r="AG157" s="24">
        <f t="shared" si="7"/>
        <v>5.6519557675533183E-2</v>
      </c>
      <c r="AH157" s="24">
        <f t="shared" si="8"/>
        <v>14</v>
      </c>
    </row>
    <row r="158" spans="1:34" x14ac:dyDescent="0.25">
      <c r="A158" s="5">
        <v>28240</v>
      </c>
      <c r="B158" s="5">
        <v>812</v>
      </c>
      <c r="C158" s="5">
        <v>1</v>
      </c>
      <c r="D158" s="1" t="s">
        <v>51</v>
      </c>
      <c r="E158" s="5" t="s">
        <v>40</v>
      </c>
      <c r="F158" s="18"/>
      <c r="G158" s="5"/>
      <c r="H158" s="5"/>
      <c r="I158" s="5"/>
      <c r="J158" s="5"/>
      <c r="K158" s="5"/>
      <c r="L158" s="14">
        <v>1</v>
      </c>
      <c r="N158" s="23">
        <v>28240</v>
      </c>
      <c r="O158" s="23">
        <v>812</v>
      </c>
      <c r="P158" s="24">
        <v>0.69072164948453607</v>
      </c>
      <c r="Q158" s="24">
        <v>0.62857142857142856</v>
      </c>
      <c r="R158" s="24">
        <v>0.67088607594936711</v>
      </c>
      <c r="S158" s="24">
        <v>0.55813953488372092</v>
      </c>
      <c r="T158" s="24">
        <v>0.69117647058823528</v>
      </c>
      <c r="U158" s="24">
        <v>0.78</v>
      </c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>
        <f t="shared" si="6"/>
        <v>0.66991585991288138</v>
      </c>
      <c r="AG158" s="24">
        <f t="shared" si="7"/>
        <v>7.3766743867190801E-2</v>
      </c>
      <c r="AH158" s="24">
        <f t="shared" si="8"/>
        <v>6</v>
      </c>
    </row>
    <row r="159" spans="1:34" x14ac:dyDescent="0.25">
      <c r="A159" s="5">
        <v>28241</v>
      </c>
      <c r="B159" s="5">
        <v>818</v>
      </c>
      <c r="C159" s="5">
        <v>1</v>
      </c>
      <c r="D159" s="1" t="s">
        <v>56</v>
      </c>
      <c r="E159" s="5" t="s">
        <v>40</v>
      </c>
      <c r="F159" s="18"/>
      <c r="G159" s="5"/>
      <c r="H159" s="5"/>
      <c r="I159" s="5"/>
      <c r="J159" s="5"/>
      <c r="K159" s="5"/>
      <c r="L159" s="14">
        <v>1</v>
      </c>
      <c r="N159" s="23">
        <v>28241</v>
      </c>
      <c r="O159" s="23">
        <v>818</v>
      </c>
      <c r="P159" s="24">
        <f>120/(120+53)</f>
        <v>0.69364161849710981</v>
      </c>
      <c r="Q159" s="27">
        <v>0.64141414141414144</v>
      </c>
      <c r="R159" s="24">
        <f>62/(62+20)</f>
        <v>0.75609756097560976</v>
      </c>
      <c r="S159" s="24">
        <v>0.66812227074235808</v>
      </c>
      <c r="T159" s="24">
        <v>0.67727272727272725</v>
      </c>
      <c r="U159" s="24">
        <v>0.6983240223463687</v>
      </c>
      <c r="V159" s="24">
        <v>0.59154929577464788</v>
      </c>
      <c r="W159" s="24">
        <f>78/(78+46)</f>
        <v>0.62903225806451613</v>
      </c>
      <c r="X159" s="24"/>
      <c r="Y159" s="24"/>
      <c r="Z159" s="24"/>
      <c r="AA159" s="24"/>
      <c r="AB159" s="24"/>
      <c r="AC159" s="24"/>
      <c r="AD159" s="24"/>
      <c r="AE159" s="24"/>
      <c r="AF159" s="24">
        <f t="shared" si="6"/>
        <v>0.66943173688593494</v>
      </c>
      <c r="AG159" s="24">
        <f t="shared" si="7"/>
        <v>4.9968306529868257E-2</v>
      </c>
      <c r="AH159" s="24">
        <f t="shared" si="8"/>
        <v>8</v>
      </c>
    </row>
    <row r="160" spans="1:34" x14ac:dyDescent="0.25">
      <c r="A160" s="7">
        <v>28242</v>
      </c>
      <c r="B160" s="7">
        <v>819</v>
      </c>
      <c r="C160" s="7">
        <v>1</v>
      </c>
      <c r="D160" s="1" t="s">
        <v>14</v>
      </c>
      <c r="E160" s="7" t="s">
        <v>3</v>
      </c>
      <c r="F160" s="18"/>
      <c r="G160" s="7"/>
      <c r="H160" s="7"/>
      <c r="I160" s="7"/>
      <c r="J160" s="7"/>
      <c r="K160" s="7"/>
      <c r="L160" s="14">
        <v>1</v>
      </c>
      <c r="N160" s="23">
        <v>28242</v>
      </c>
      <c r="O160" s="23">
        <v>819</v>
      </c>
      <c r="P160" s="24">
        <v>0.64021164021164023</v>
      </c>
      <c r="Q160" s="24">
        <v>0.52671755725190839</v>
      </c>
      <c r="R160" s="24">
        <v>0.70370370370370372</v>
      </c>
      <c r="S160" s="24">
        <v>0.61111111111111116</v>
      </c>
      <c r="T160" s="24">
        <v>0.28925619834710742</v>
      </c>
      <c r="U160" s="24">
        <v>0.3888888888888889</v>
      </c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>
        <f t="shared" si="6"/>
        <v>0.52664818325239338</v>
      </c>
      <c r="AG160" s="24">
        <f t="shared" si="7"/>
        <v>0.15919289227527694</v>
      </c>
      <c r="AH160" s="24">
        <f t="shared" si="8"/>
        <v>6</v>
      </c>
    </row>
    <row r="161" spans="1:34" x14ac:dyDescent="0.25">
      <c r="A161" s="7">
        <v>25208</v>
      </c>
      <c r="B161" s="7">
        <v>820</v>
      </c>
      <c r="C161" s="7">
        <v>2</v>
      </c>
      <c r="D161" s="1" t="s">
        <v>29</v>
      </c>
      <c r="E161" s="7" t="s">
        <v>21</v>
      </c>
      <c r="F161" s="1" t="s">
        <v>31</v>
      </c>
      <c r="G161" s="7" t="s">
        <v>21</v>
      </c>
      <c r="H161" s="7"/>
      <c r="I161" s="7"/>
      <c r="J161" s="7"/>
      <c r="K161" s="7"/>
      <c r="L161" s="14">
        <v>1</v>
      </c>
      <c r="N161" s="21">
        <v>25208</v>
      </c>
      <c r="O161" s="21">
        <v>820</v>
      </c>
      <c r="P161" s="25">
        <v>0.51351351351351349</v>
      </c>
      <c r="Q161" s="25">
        <v>0.39037433155080209</v>
      </c>
      <c r="R161" s="25">
        <v>0.60509554140127386</v>
      </c>
      <c r="S161" s="25">
        <v>0.50354609929078009</v>
      </c>
      <c r="T161" s="25">
        <v>0.5532994923857868</v>
      </c>
      <c r="U161" s="25">
        <v>0.35616438356164382</v>
      </c>
      <c r="V161" s="25">
        <v>0.49382716049382708</v>
      </c>
      <c r="W161" s="25">
        <v>0.43421052631578949</v>
      </c>
      <c r="X161" s="25"/>
      <c r="Y161" s="25"/>
      <c r="Z161" s="25"/>
      <c r="AA161" s="25"/>
      <c r="AB161" s="25"/>
      <c r="AC161" s="25"/>
      <c r="AD161" s="25"/>
      <c r="AE161" s="25"/>
      <c r="AF161" s="25">
        <f t="shared" si="6"/>
        <v>0.4812538810641771</v>
      </c>
      <c r="AG161" s="25">
        <f t="shared" si="7"/>
        <v>8.3102856502195024E-2</v>
      </c>
      <c r="AH161" s="26">
        <f t="shared" si="8"/>
        <v>8</v>
      </c>
    </row>
    <row r="162" spans="1:34" x14ac:dyDescent="0.25">
      <c r="A162" s="7">
        <v>28243</v>
      </c>
      <c r="B162" s="7">
        <v>821</v>
      </c>
      <c r="C162" s="7">
        <v>1</v>
      </c>
      <c r="D162" s="1" t="s">
        <v>30</v>
      </c>
      <c r="E162" s="7" t="s">
        <v>21</v>
      </c>
      <c r="F162" s="18"/>
      <c r="G162" s="7"/>
      <c r="H162" s="7"/>
      <c r="I162" s="7"/>
      <c r="J162" s="7"/>
      <c r="K162" s="7"/>
      <c r="L162" s="14">
        <v>1</v>
      </c>
      <c r="N162" s="23">
        <v>28243</v>
      </c>
      <c r="O162" s="23">
        <v>821</v>
      </c>
      <c r="P162" s="24">
        <v>0.71900826446280997</v>
      </c>
      <c r="Q162" s="24">
        <v>0.5992366412213741</v>
      </c>
      <c r="R162" s="24">
        <v>0.64563106796116509</v>
      </c>
      <c r="S162" s="24">
        <v>0.64102564102564108</v>
      </c>
      <c r="T162" s="24">
        <v>0.70802919708029199</v>
      </c>
      <c r="U162" s="24">
        <v>0.65517241379310343</v>
      </c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>
        <f t="shared" si="6"/>
        <v>0.66135053759073081</v>
      </c>
      <c r="AG162" s="24">
        <f t="shared" si="7"/>
        <v>4.4854919911769119E-2</v>
      </c>
      <c r="AH162" s="24">
        <f t="shared" si="8"/>
        <v>6</v>
      </c>
    </row>
    <row r="163" spans="1:34" x14ac:dyDescent="0.25">
      <c r="A163" s="7">
        <v>28244</v>
      </c>
      <c r="B163" s="7">
        <v>822</v>
      </c>
      <c r="C163" s="7">
        <v>1</v>
      </c>
      <c r="D163" s="1" t="s">
        <v>20</v>
      </c>
      <c r="E163" s="7" t="s">
        <v>21</v>
      </c>
      <c r="F163" s="18"/>
      <c r="G163" s="7"/>
      <c r="H163" s="7"/>
      <c r="I163" s="7"/>
      <c r="J163" s="7"/>
      <c r="K163" s="7"/>
      <c r="L163" s="14">
        <v>1</v>
      </c>
      <c r="N163" s="23">
        <v>28244</v>
      </c>
      <c r="O163" s="23">
        <v>822</v>
      </c>
      <c r="P163" s="24">
        <f>146/(146+70)</f>
        <v>0.67592592592592593</v>
      </c>
      <c r="Q163" s="24">
        <f>103/(103+89)</f>
        <v>0.53645833333333337</v>
      </c>
      <c r="R163" s="24">
        <f>122/(122+79)</f>
        <v>0.60696517412935325</v>
      </c>
      <c r="S163" s="24">
        <f>159/(159+96)</f>
        <v>0.62352941176470589</v>
      </c>
      <c r="T163" s="24">
        <v>0.58602150537634412</v>
      </c>
      <c r="U163" s="24">
        <v>0.589622641509434</v>
      </c>
      <c r="V163" s="24">
        <f>59/(59+31)</f>
        <v>0.65555555555555556</v>
      </c>
      <c r="W163" s="24">
        <f>128/(128+61)</f>
        <v>0.67724867724867721</v>
      </c>
      <c r="X163" s="24"/>
      <c r="Y163" s="24"/>
      <c r="Z163" s="24"/>
      <c r="AA163" s="24"/>
      <c r="AB163" s="24"/>
      <c r="AC163" s="24"/>
      <c r="AD163" s="24"/>
      <c r="AE163" s="24"/>
      <c r="AF163" s="24">
        <f t="shared" si="6"/>
        <v>0.61891590310541611</v>
      </c>
      <c r="AG163" s="24">
        <f t="shared" si="7"/>
        <v>4.9133653214946463E-2</v>
      </c>
      <c r="AH163" s="24">
        <f t="shared" si="8"/>
        <v>8</v>
      </c>
    </row>
    <row r="164" spans="1:34" x14ac:dyDescent="0.25">
      <c r="A164" s="7">
        <v>28245</v>
      </c>
      <c r="B164" s="7">
        <v>832</v>
      </c>
      <c r="C164" s="7">
        <v>1</v>
      </c>
      <c r="D164" s="1" t="s">
        <v>4</v>
      </c>
      <c r="E164" s="7" t="s">
        <v>3</v>
      </c>
      <c r="F164" s="18"/>
      <c r="G164" s="7"/>
      <c r="H164" s="7"/>
      <c r="I164" s="7"/>
      <c r="J164" s="7"/>
      <c r="K164" s="7"/>
      <c r="L164" s="14">
        <v>1</v>
      </c>
      <c r="N164" s="23">
        <v>28245</v>
      </c>
      <c r="O164" s="23">
        <v>832</v>
      </c>
      <c r="P164" s="24">
        <f>200/262</f>
        <v>0.76335877862595425</v>
      </c>
      <c r="Q164" s="24">
        <f>142/(142+49)</f>
        <v>0.74345549738219896</v>
      </c>
      <c r="R164" s="24">
        <f>147/(147+54)</f>
        <v>0.73134328358208955</v>
      </c>
      <c r="S164" s="24">
        <f>111/(111+53)</f>
        <v>0.67682926829268297</v>
      </c>
      <c r="T164" s="24">
        <f>113/(113+41)</f>
        <v>0.73376623376623373</v>
      </c>
      <c r="U164" s="24">
        <f>202/(202+86)</f>
        <v>0.70138888888888884</v>
      </c>
      <c r="V164" s="24">
        <f>198/(198+60)</f>
        <v>0.76744186046511631</v>
      </c>
      <c r="W164" s="24">
        <f>165/(165+40)</f>
        <v>0.80487804878048785</v>
      </c>
      <c r="X164" s="24">
        <f>82/(82+47)</f>
        <v>0.63565891472868219</v>
      </c>
      <c r="Y164" s="24">
        <f>186/(186+72)</f>
        <v>0.72093023255813948</v>
      </c>
      <c r="Z164" s="24">
        <f>150/(150+79)</f>
        <v>0.65502183406113534</v>
      </c>
      <c r="AA164" s="24">
        <f>159/(159+53)</f>
        <v>0.75</v>
      </c>
      <c r="AB164" s="24">
        <f>130/(130+69)</f>
        <v>0.65326633165829151</v>
      </c>
      <c r="AC164" s="24">
        <f>124/(124+33)</f>
        <v>0.78980891719745228</v>
      </c>
      <c r="AD164" s="24">
        <f>183/(183+51)</f>
        <v>0.78205128205128205</v>
      </c>
      <c r="AE164" s="24">
        <f>119/(119+25)</f>
        <v>0.82638888888888884</v>
      </c>
      <c r="AF164" s="24">
        <f t="shared" si="6"/>
        <v>0.73347426630797041</v>
      </c>
      <c r="AG164" s="24">
        <f t="shared" si="7"/>
        <v>5.6710139738491067E-2</v>
      </c>
      <c r="AH164" s="24">
        <f t="shared" si="8"/>
        <v>16</v>
      </c>
    </row>
    <row r="165" spans="1:34" x14ac:dyDescent="0.25">
      <c r="A165" s="7">
        <v>28246</v>
      </c>
      <c r="B165" s="7">
        <v>837</v>
      </c>
      <c r="C165" s="7">
        <v>1</v>
      </c>
      <c r="D165" s="1" t="s">
        <v>46</v>
      </c>
      <c r="E165" s="7" t="s">
        <v>40</v>
      </c>
      <c r="F165" s="18"/>
      <c r="G165" s="7"/>
      <c r="H165" s="7"/>
      <c r="I165" s="7"/>
      <c r="J165" s="7"/>
      <c r="K165" s="7"/>
      <c r="L165" s="14">
        <v>1</v>
      </c>
      <c r="N165" s="23">
        <v>28246</v>
      </c>
      <c r="O165" s="23">
        <v>837</v>
      </c>
      <c r="P165" s="24">
        <f>151/(151+59)</f>
        <v>0.71904761904761905</v>
      </c>
      <c r="Q165" s="24">
        <f>154/(154+56)</f>
        <v>0.73333333333333328</v>
      </c>
      <c r="R165" s="24">
        <f>140/(140+42)</f>
        <v>0.76923076923076927</v>
      </c>
      <c r="S165" s="24">
        <f>144/(144+64)</f>
        <v>0.69230769230769229</v>
      </c>
      <c r="T165" s="24">
        <f>44/(44+24)</f>
        <v>0.6470588235294118</v>
      </c>
      <c r="U165" s="24">
        <f>97/(97+34)</f>
        <v>0.74045801526717558</v>
      </c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>
        <f t="shared" si="6"/>
        <v>0.71690604211933362</v>
      </c>
      <c r="AG165" s="24">
        <f t="shared" si="7"/>
        <v>4.2545804759144906E-2</v>
      </c>
      <c r="AH165" s="24">
        <f t="shared" si="8"/>
        <v>6</v>
      </c>
    </row>
    <row r="166" spans="1:34" x14ac:dyDescent="0.25">
      <c r="A166" s="7">
        <v>28247</v>
      </c>
      <c r="B166" s="7">
        <v>843</v>
      </c>
      <c r="C166" s="7">
        <v>1</v>
      </c>
      <c r="D166" s="1" t="s">
        <v>31</v>
      </c>
      <c r="E166" s="7" t="s">
        <v>21</v>
      </c>
      <c r="F166" s="18"/>
      <c r="G166" s="7"/>
      <c r="H166" s="18"/>
      <c r="I166" s="7"/>
      <c r="J166" s="7"/>
      <c r="K166" s="7"/>
      <c r="L166" s="14">
        <v>1</v>
      </c>
      <c r="N166" s="23">
        <v>28247</v>
      </c>
      <c r="O166" s="23">
        <v>843</v>
      </c>
      <c r="P166" s="24">
        <f>101/(101+36)</f>
        <v>0.73722627737226276</v>
      </c>
      <c r="Q166" s="27">
        <v>0.71376811594202894</v>
      </c>
      <c r="R166" s="24">
        <f>141/(141+51)</f>
        <v>0.734375</v>
      </c>
      <c r="S166" s="27">
        <v>0.74725274725274726</v>
      </c>
      <c r="T166" s="24">
        <f>132/(132+42)</f>
        <v>0.75862068965517238</v>
      </c>
      <c r="U166" s="27">
        <v>0.70810810810810809</v>
      </c>
      <c r="V166" s="24">
        <f>213/(213+87)</f>
        <v>0.71</v>
      </c>
      <c r="W166" s="24"/>
      <c r="X166" s="24"/>
      <c r="Y166" s="24"/>
      <c r="Z166" s="24"/>
      <c r="AA166" s="24"/>
      <c r="AB166" s="24"/>
      <c r="AC166" s="24"/>
      <c r="AD166" s="24"/>
      <c r="AE166" s="24"/>
      <c r="AF166" s="24">
        <f t="shared" si="6"/>
        <v>0.72990727690433144</v>
      </c>
      <c r="AG166" s="24">
        <f t="shared" si="7"/>
        <v>1.970968324384469E-2</v>
      </c>
      <c r="AH166" s="24">
        <f t="shared" si="8"/>
        <v>7</v>
      </c>
    </row>
    <row r="167" spans="1:34" x14ac:dyDescent="0.25">
      <c r="A167" s="7">
        <v>28248</v>
      </c>
      <c r="B167" s="7">
        <v>849</v>
      </c>
      <c r="C167" s="7">
        <v>1</v>
      </c>
      <c r="D167" s="1" t="s">
        <v>31</v>
      </c>
      <c r="E167" s="7" t="s">
        <v>21</v>
      </c>
      <c r="F167" s="18"/>
      <c r="G167" s="7"/>
      <c r="H167" s="18"/>
      <c r="I167" s="7"/>
      <c r="J167" s="18"/>
      <c r="K167" s="7"/>
      <c r="L167" s="14">
        <v>1</v>
      </c>
      <c r="N167" s="23">
        <v>28248</v>
      </c>
      <c r="O167" s="23">
        <v>849</v>
      </c>
      <c r="P167" s="24">
        <f>114/(114+73)</f>
        <v>0.60962566844919786</v>
      </c>
      <c r="Q167" s="24">
        <f>97/(97+60)</f>
        <v>0.61783439490445857</v>
      </c>
      <c r="R167" s="24">
        <f>96/(96+55)</f>
        <v>0.63576158940397354</v>
      </c>
      <c r="S167" s="24">
        <f>81/(81+47)</f>
        <v>0.6328125</v>
      </c>
      <c r="T167" s="24">
        <f>48/(48+31)</f>
        <v>0.60759493670886078</v>
      </c>
      <c r="U167" s="24">
        <f>71/(71+43)</f>
        <v>0.6228070175438597</v>
      </c>
      <c r="V167" s="24">
        <f>108/(108+88)</f>
        <v>0.55102040816326525</v>
      </c>
      <c r="W167" s="24">
        <f>91/(91+58)</f>
        <v>0.61073825503355705</v>
      </c>
      <c r="X167" s="24"/>
      <c r="Y167" s="24"/>
      <c r="Z167" s="24"/>
      <c r="AA167" s="24"/>
      <c r="AB167" s="24"/>
      <c r="AC167" s="24"/>
      <c r="AD167" s="24"/>
      <c r="AE167" s="24"/>
      <c r="AF167" s="24">
        <f t="shared" si="6"/>
        <v>0.61102434627589663</v>
      </c>
      <c r="AG167" s="24">
        <f t="shared" si="7"/>
        <v>2.6420053346111992E-2</v>
      </c>
      <c r="AH167" s="24">
        <f t="shared" si="8"/>
        <v>8</v>
      </c>
    </row>
    <row r="168" spans="1:34" s="6" customFormat="1" x14ac:dyDescent="0.25">
      <c r="A168" s="7">
        <v>28249</v>
      </c>
      <c r="B168" s="7">
        <v>850</v>
      </c>
      <c r="C168" s="7">
        <v>1</v>
      </c>
      <c r="D168" s="1" t="s">
        <v>56</v>
      </c>
      <c r="E168" s="7" t="s">
        <v>40</v>
      </c>
      <c r="F168" s="18"/>
      <c r="G168" s="7"/>
      <c r="H168" s="7"/>
      <c r="I168" s="7"/>
      <c r="J168" s="7"/>
      <c r="K168" s="7"/>
      <c r="L168" s="14">
        <v>1</v>
      </c>
      <c r="M168" s="14"/>
      <c r="N168" s="23">
        <v>28249</v>
      </c>
      <c r="O168" s="23">
        <v>850</v>
      </c>
      <c r="P168" s="27">
        <v>0.54666666666666663</v>
      </c>
      <c r="Q168" s="24">
        <f>176/(176+37)</f>
        <v>0.82629107981220662</v>
      </c>
      <c r="R168" s="27">
        <v>0.79393939393939394</v>
      </c>
      <c r="S168" s="24">
        <v>0.61627906976744184</v>
      </c>
      <c r="T168" s="24">
        <v>0.56097560975609762</v>
      </c>
      <c r="U168" s="24">
        <v>0.574585635359116</v>
      </c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>
        <f t="shared" si="6"/>
        <v>0.65312290921682037</v>
      </c>
      <c r="AG168" s="24">
        <f t="shared" si="7"/>
        <v>0.12423053243317314</v>
      </c>
      <c r="AH168" s="24">
        <f t="shared" si="8"/>
        <v>6</v>
      </c>
    </row>
    <row r="169" spans="1:34" s="6" customFormat="1" x14ac:dyDescent="0.25">
      <c r="A169" s="7">
        <v>25209</v>
      </c>
      <c r="B169" s="7">
        <v>852</v>
      </c>
      <c r="C169" s="7">
        <v>1</v>
      </c>
      <c r="D169" s="1" t="s">
        <v>43</v>
      </c>
      <c r="E169" s="7" t="s">
        <v>40</v>
      </c>
      <c r="F169" s="18"/>
      <c r="G169" s="7"/>
      <c r="H169" s="18"/>
      <c r="I169" s="7"/>
      <c r="J169" s="18"/>
      <c r="K169" s="7"/>
      <c r="L169" s="14">
        <v>1</v>
      </c>
      <c r="M169" s="14"/>
      <c r="N169" s="21">
        <v>25209</v>
      </c>
      <c r="O169" s="21">
        <v>852</v>
      </c>
      <c r="P169" s="25">
        <f>106/(106+62)</f>
        <v>0.63095238095238093</v>
      </c>
      <c r="Q169" s="25">
        <f>65/(65+32)</f>
        <v>0.67010309278350511</v>
      </c>
      <c r="R169" s="25">
        <f>62/(62+52)</f>
        <v>0.54385964912280704</v>
      </c>
      <c r="S169" s="25">
        <f>96/(96+69)</f>
        <v>0.58181818181818179</v>
      </c>
      <c r="T169" s="25">
        <f>65/(65+35)</f>
        <v>0.65</v>
      </c>
      <c r="U169" s="25">
        <f>94/(63+94)</f>
        <v>0.59872611464968151</v>
      </c>
      <c r="V169" s="25">
        <f>106/(71+106)</f>
        <v>0.59887005649717517</v>
      </c>
      <c r="W169" s="25"/>
      <c r="X169" s="25"/>
      <c r="Y169" s="25"/>
      <c r="Z169" s="25"/>
      <c r="AA169" s="25"/>
      <c r="AB169" s="25"/>
      <c r="AC169" s="25"/>
      <c r="AD169" s="25"/>
      <c r="AE169" s="25"/>
      <c r="AF169" s="25">
        <f t="shared" si="6"/>
        <v>0.61061849654624722</v>
      </c>
      <c r="AG169" s="25">
        <f t="shared" si="7"/>
        <v>4.2950442930063282E-2</v>
      </c>
      <c r="AH169" s="26">
        <f t="shared" si="8"/>
        <v>7</v>
      </c>
    </row>
    <row r="170" spans="1:34" s="6" customFormat="1" x14ac:dyDescent="0.25">
      <c r="A170" s="7">
        <v>28250</v>
      </c>
      <c r="B170" s="7">
        <v>853</v>
      </c>
      <c r="C170" s="7">
        <v>1</v>
      </c>
      <c r="D170" s="1" t="s">
        <v>0</v>
      </c>
      <c r="E170" s="7" t="s">
        <v>21</v>
      </c>
      <c r="F170" s="18"/>
      <c r="G170" s="7"/>
      <c r="H170" s="18"/>
      <c r="I170" s="7"/>
      <c r="J170" s="18"/>
      <c r="K170" s="7"/>
      <c r="L170" s="14">
        <v>1</v>
      </c>
      <c r="M170" s="14"/>
      <c r="N170" s="23">
        <v>28250</v>
      </c>
      <c r="O170" s="23">
        <v>853</v>
      </c>
      <c r="P170" s="24">
        <v>0.60215053760000004</v>
      </c>
      <c r="Q170" s="24">
        <f>111/(111+62)</f>
        <v>0.64161849710982655</v>
      </c>
      <c r="R170" s="24">
        <v>0.56521739130000004</v>
      </c>
      <c r="S170" s="24">
        <f>86/(86+58)</f>
        <v>0.59722222222222221</v>
      </c>
      <c r="T170" s="24">
        <f>126/(126+57)</f>
        <v>0.68852459016393441</v>
      </c>
      <c r="U170" s="24">
        <v>0.60211267609999997</v>
      </c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>
        <f t="shared" si="6"/>
        <v>0.61614098574933052</v>
      </c>
      <c r="AG170" s="24">
        <f t="shared" si="7"/>
        <v>4.2970101161726865E-2</v>
      </c>
      <c r="AH170" s="24">
        <f t="shared" si="8"/>
        <v>6</v>
      </c>
    </row>
    <row r="171" spans="1:34" s="6" customFormat="1" x14ac:dyDescent="0.25">
      <c r="A171" s="7">
        <v>28251</v>
      </c>
      <c r="B171" s="7">
        <v>855</v>
      </c>
      <c r="C171" s="7">
        <v>2</v>
      </c>
      <c r="D171" s="1" t="s">
        <v>59</v>
      </c>
      <c r="E171" s="7" t="s">
        <v>3</v>
      </c>
      <c r="F171" s="1" t="s">
        <v>8</v>
      </c>
      <c r="G171" s="7" t="s">
        <v>3</v>
      </c>
      <c r="H171" s="18"/>
      <c r="I171" s="7"/>
      <c r="J171" s="18"/>
      <c r="K171" s="7"/>
      <c r="L171" s="14">
        <v>1</v>
      </c>
      <c r="M171" s="14"/>
      <c r="N171" s="23">
        <v>28251</v>
      </c>
      <c r="O171" s="23">
        <v>855</v>
      </c>
      <c r="P171" s="24">
        <v>0.71653543307086609</v>
      </c>
      <c r="Q171" s="24">
        <v>0.6</v>
      </c>
      <c r="R171" s="24">
        <v>0.68181818181818177</v>
      </c>
      <c r="S171" s="24">
        <v>0.64954682779456197</v>
      </c>
      <c r="T171" s="24">
        <v>0.55421686746987953</v>
      </c>
      <c r="U171" s="24">
        <v>0.60752688172043012</v>
      </c>
      <c r="V171" s="24">
        <v>0.50961538461538458</v>
      </c>
      <c r="W171" s="24">
        <v>0.50326797385620914</v>
      </c>
      <c r="X171" s="24">
        <v>0.4</v>
      </c>
      <c r="Y171" s="24"/>
      <c r="Z171" s="24"/>
      <c r="AA171" s="24"/>
      <c r="AB171" s="24"/>
      <c r="AC171" s="24"/>
      <c r="AD171" s="24"/>
      <c r="AE171" s="24"/>
      <c r="AF171" s="24">
        <f t="shared" si="6"/>
        <v>0.58028083892727922</v>
      </c>
      <c r="AG171" s="24">
        <f t="shared" si="7"/>
        <v>9.9315919616177695E-2</v>
      </c>
      <c r="AH171" s="24">
        <f t="shared" si="8"/>
        <v>9</v>
      </c>
    </row>
    <row r="172" spans="1:34" s="12" customFormat="1" x14ac:dyDescent="0.25">
      <c r="A172" s="7">
        <v>28252</v>
      </c>
      <c r="B172" s="7">
        <v>857</v>
      </c>
      <c r="C172" s="7">
        <v>2</v>
      </c>
      <c r="D172" s="1" t="s">
        <v>28</v>
      </c>
      <c r="E172" s="7" t="s">
        <v>21</v>
      </c>
      <c r="F172" s="1" t="s">
        <v>48</v>
      </c>
      <c r="G172" s="7" t="s">
        <v>40</v>
      </c>
      <c r="H172" s="18"/>
      <c r="I172" s="7"/>
      <c r="J172" s="18"/>
      <c r="K172" s="7"/>
      <c r="L172" s="14">
        <v>1</v>
      </c>
      <c r="M172" s="14"/>
      <c r="N172" s="23">
        <v>28252</v>
      </c>
      <c r="O172" s="23">
        <v>857</v>
      </c>
      <c r="P172" s="24">
        <v>0.56122448000000003</v>
      </c>
      <c r="Q172" s="24">
        <v>0.60762941999999998</v>
      </c>
      <c r="R172" s="24">
        <v>0.55719556999999997</v>
      </c>
      <c r="S172" s="24">
        <v>0.59146341000000002</v>
      </c>
      <c r="T172" s="24">
        <v>0.57189542000000004</v>
      </c>
      <c r="U172" s="24">
        <v>0.57093424999999998</v>
      </c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>
        <f t="shared" si="6"/>
        <v>0.57672375833333334</v>
      </c>
      <c r="AG172" s="24">
        <f t="shared" si="7"/>
        <v>1.9239679210154636E-2</v>
      </c>
      <c r="AH172" s="24">
        <f t="shared" si="8"/>
        <v>6</v>
      </c>
    </row>
    <row r="173" spans="1:34" x14ac:dyDescent="0.25">
      <c r="A173" s="18">
        <v>25210</v>
      </c>
      <c r="B173" s="18">
        <v>859</v>
      </c>
      <c r="C173" s="18">
        <v>1</v>
      </c>
      <c r="D173" s="1" t="s">
        <v>76</v>
      </c>
      <c r="E173" s="18" t="s">
        <v>40</v>
      </c>
      <c r="F173" s="18"/>
      <c r="G173" s="18"/>
      <c r="H173" s="18"/>
      <c r="I173" s="18"/>
      <c r="J173" s="18"/>
      <c r="K173" s="18"/>
      <c r="L173" s="14">
        <v>1</v>
      </c>
      <c r="M173" s="14" t="s">
        <v>119</v>
      </c>
      <c r="N173" s="21">
        <v>25210</v>
      </c>
      <c r="O173" s="21">
        <v>859</v>
      </c>
      <c r="P173" s="25">
        <f>36/(36+27)</f>
        <v>0.5714285714285714</v>
      </c>
      <c r="Q173" s="25">
        <f>44/(44+34)</f>
        <v>0.5641025641025641</v>
      </c>
      <c r="R173" s="25">
        <f>62/(44+62)</f>
        <v>0.58490566037735847</v>
      </c>
      <c r="S173" s="25">
        <f>43/(43+30)</f>
        <v>0.58904109589041098</v>
      </c>
      <c r="T173" s="25">
        <f>44/(38+44)</f>
        <v>0.53658536585365857</v>
      </c>
      <c r="U173" s="25">
        <f>30/(56)</f>
        <v>0.5357142857142857</v>
      </c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>
        <f t="shared" si="6"/>
        <v>0.56362959056114159</v>
      </c>
      <c r="AG173" s="25">
        <f t="shared" si="7"/>
        <v>2.3108950176012645E-2</v>
      </c>
      <c r="AH173" s="26">
        <f t="shared" si="8"/>
        <v>6</v>
      </c>
    </row>
    <row r="174" spans="1:34" x14ac:dyDescent="0.25">
      <c r="A174" s="18">
        <v>28253</v>
      </c>
      <c r="B174" s="18">
        <v>861</v>
      </c>
      <c r="C174" s="18">
        <v>2</v>
      </c>
      <c r="D174" s="1" t="s">
        <v>4</v>
      </c>
      <c r="E174" s="18" t="s">
        <v>3</v>
      </c>
      <c r="F174" s="1" t="s">
        <v>71</v>
      </c>
      <c r="G174" s="18" t="s">
        <v>40</v>
      </c>
      <c r="H174" s="18"/>
      <c r="I174" s="18"/>
      <c r="J174" s="18"/>
      <c r="K174" s="18"/>
      <c r="L174">
        <v>1</v>
      </c>
      <c r="N174" s="23">
        <v>28253</v>
      </c>
      <c r="O174" s="23">
        <v>861</v>
      </c>
      <c r="P174" s="24">
        <v>0.60357142857142854</v>
      </c>
      <c r="Q174" s="24">
        <v>0.54054054054054057</v>
      </c>
      <c r="R174" s="24">
        <v>0.52962962962962967</v>
      </c>
      <c r="S174" s="24">
        <f>1-102/257</f>
        <v>0.60311284046692615</v>
      </c>
      <c r="T174" s="24">
        <f>176/263</f>
        <v>0.66920152091254748</v>
      </c>
      <c r="U174" s="24">
        <f>128/230</f>
        <v>0.55652173913043479</v>
      </c>
      <c r="V174" s="24">
        <f>1-119/250</f>
        <v>0.52400000000000002</v>
      </c>
      <c r="W174" s="24"/>
      <c r="X174" s="24"/>
      <c r="Y174" s="24"/>
      <c r="Z174" s="24"/>
      <c r="AA174" s="24"/>
      <c r="AB174" s="24"/>
      <c r="AC174" s="24"/>
      <c r="AD174" s="24"/>
      <c r="AE174" s="24"/>
      <c r="AF174" s="24">
        <f t="shared" si="6"/>
        <v>0.57522538560735814</v>
      </c>
      <c r="AG174" s="24">
        <f t="shared" si="7"/>
        <v>5.270768486000655E-2</v>
      </c>
      <c r="AH174" s="24">
        <f t="shared" si="8"/>
        <v>7</v>
      </c>
    </row>
    <row r="175" spans="1:34" x14ac:dyDescent="0.25">
      <c r="A175" s="18">
        <v>28254</v>
      </c>
      <c r="B175" s="18">
        <v>879</v>
      </c>
      <c r="C175" s="18">
        <v>1</v>
      </c>
      <c r="D175" s="1" t="s">
        <v>0</v>
      </c>
      <c r="E175" s="18" t="s">
        <v>21</v>
      </c>
      <c r="F175" s="18"/>
      <c r="G175" s="18"/>
      <c r="H175" s="18"/>
      <c r="I175" s="18"/>
      <c r="J175" s="18"/>
      <c r="K175" s="18"/>
      <c r="L175">
        <v>1</v>
      </c>
      <c r="N175" s="23">
        <v>28254</v>
      </c>
      <c r="O175" s="23">
        <v>879</v>
      </c>
      <c r="P175" s="24">
        <f>161/(161+70)</f>
        <v>0.69696969696969702</v>
      </c>
      <c r="Q175" s="24">
        <f>131/(131+62)</f>
        <v>0.67875647668393779</v>
      </c>
      <c r="R175" s="24">
        <f>143/(143+63)</f>
        <v>0.69417475728155342</v>
      </c>
      <c r="S175" s="24">
        <v>0.68474576269999998</v>
      </c>
      <c r="T175" s="24">
        <v>0.6455399061</v>
      </c>
      <c r="U175" s="24">
        <v>0.67268041239999998</v>
      </c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>
        <f t="shared" si="6"/>
        <v>0.67881116868919811</v>
      </c>
      <c r="AG175" s="24">
        <f t="shared" si="7"/>
        <v>1.8684525618779996E-2</v>
      </c>
      <c r="AH175" s="24">
        <f t="shared" si="8"/>
        <v>6</v>
      </c>
    </row>
    <row r="176" spans="1:34" x14ac:dyDescent="0.25">
      <c r="A176" s="18">
        <v>28255</v>
      </c>
      <c r="B176" s="18">
        <v>882</v>
      </c>
      <c r="C176" s="18">
        <v>2</v>
      </c>
      <c r="D176" s="1" t="s">
        <v>59</v>
      </c>
      <c r="E176" s="18" t="s">
        <v>3</v>
      </c>
      <c r="F176" s="1" t="s">
        <v>61</v>
      </c>
      <c r="G176" s="18" t="s">
        <v>3</v>
      </c>
      <c r="H176" s="18"/>
      <c r="I176" s="18"/>
      <c r="J176" s="18"/>
      <c r="K176" s="18"/>
      <c r="L176">
        <v>1</v>
      </c>
      <c r="N176" s="23">
        <v>28255</v>
      </c>
      <c r="O176" s="23">
        <v>882</v>
      </c>
      <c r="P176" s="24">
        <f>64/(64+43)</f>
        <v>0.59813084112149528</v>
      </c>
      <c r="Q176" s="24">
        <f>173/(173+65)</f>
        <v>0.72689075630252098</v>
      </c>
      <c r="R176" s="24">
        <f>179/(179+61)</f>
        <v>0.74583333333333335</v>
      </c>
      <c r="S176" s="24">
        <f>143/(143+117)</f>
        <v>0.55000000000000004</v>
      </c>
      <c r="T176" s="24">
        <f>200/(200+77)</f>
        <v>0.72202166064981954</v>
      </c>
      <c r="U176" s="24">
        <f>191/(191+70)</f>
        <v>0.73180076628352486</v>
      </c>
      <c r="V176" s="24">
        <f>157/(157+54)</f>
        <v>0.74407582938388628</v>
      </c>
      <c r="W176" s="24">
        <f>115/(115+38)</f>
        <v>0.75163398692810457</v>
      </c>
      <c r="X176" s="24">
        <f>159/(159+86)</f>
        <v>0.6489795918367347</v>
      </c>
      <c r="Y176" s="24">
        <f>167/(167+82)</f>
        <v>0.67068273092369479</v>
      </c>
      <c r="Z176" s="24">
        <f>111/(111+53)</f>
        <v>0.67682926829268297</v>
      </c>
      <c r="AA176" s="24">
        <f>153/(153+64)</f>
        <v>0.70506912442396308</v>
      </c>
      <c r="AB176" s="24">
        <f>149/(149+79)</f>
        <v>0.65350877192982459</v>
      </c>
      <c r="AC176" s="24"/>
      <c r="AD176" s="24"/>
      <c r="AE176" s="24"/>
      <c r="AF176" s="24">
        <f t="shared" si="6"/>
        <v>0.68657358933919899</v>
      </c>
      <c r="AG176" s="24">
        <f t="shared" si="7"/>
        <v>6.1677406220127864E-2</v>
      </c>
      <c r="AH176" s="24">
        <f t="shared" si="8"/>
        <v>13</v>
      </c>
    </row>
    <row r="177" spans="1:34" s="8" customFormat="1" x14ac:dyDescent="0.25">
      <c r="A177" s="18">
        <v>28256</v>
      </c>
      <c r="B177" s="18">
        <v>884</v>
      </c>
      <c r="C177" s="18">
        <v>2</v>
      </c>
      <c r="D177" s="1" t="s">
        <v>13</v>
      </c>
      <c r="E177" s="18" t="s">
        <v>3</v>
      </c>
      <c r="F177" s="1" t="s">
        <v>53</v>
      </c>
      <c r="G177" s="18" t="s">
        <v>40</v>
      </c>
      <c r="H177" s="18"/>
      <c r="I177" s="18"/>
      <c r="J177" s="18"/>
      <c r="K177" s="18"/>
      <c r="L177">
        <v>1</v>
      </c>
      <c r="M177" s="14"/>
      <c r="N177" s="23">
        <v>28256</v>
      </c>
      <c r="O177" s="23">
        <v>884</v>
      </c>
      <c r="P177" s="24">
        <v>0.629893238434164</v>
      </c>
      <c r="Q177" s="24">
        <v>0.6785714285714286</v>
      </c>
      <c r="R177" s="24">
        <v>0.62916666666666665</v>
      </c>
      <c r="S177" s="24">
        <v>0.62962962962962965</v>
      </c>
      <c r="T177" s="24">
        <v>0.66800000000000004</v>
      </c>
      <c r="U177" s="24">
        <f>129/(129+42)</f>
        <v>0.75438596491228072</v>
      </c>
      <c r="V177" s="24">
        <f>123/(123+46)</f>
        <v>0.72781065088757402</v>
      </c>
      <c r="W177" s="24"/>
      <c r="X177" s="24"/>
      <c r="Y177" s="24"/>
      <c r="Z177" s="24"/>
      <c r="AA177" s="24"/>
      <c r="AB177" s="24"/>
      <c r="AC177" s="24"/>
      <c r="AD177" s="24"/>
      <c r="AE177" s="24"/>
      <c r="AF177" s="24">
        <f t="shared" si="6"/>
        <v>0.67392251130024916</v>
      </c>
      <c r="AG177" s="24">
        <f t="shared" si="7"/>
        <v>5.0561034720298645E-2</v>
      </c>
      <c r="AH177" s="24">
        <f t="shared" si="8"/>
        <v>7</v>
      </c>
    </row>
    <row r="178" spans="1:34" s="8" customFormat="1" x14ac:dyDescent="0.25">
      <c r="A178" s="18">
        <v>28279</v>
      </c>
      <c r="B178" s="18">
        <v>887</v>
      </c>
      <c r="C178" s="18">
        <v>1</v>
      </c>
      <c r="D178" s="1" t="s">
        <v>56</v>
      </c>
      <c r="E178" s="18" t="s">
        <v>40</v>
      </c>
      <c r="F178" s="18"/>
      <c r="G178" s="18"/>
      <c r="H178" s="18"/>
      <c r="I178" s="18"/>
      <c r="J178" s="18"/>
      <c r="K178" s="18"/>
      <c r="L178" s="8">
        <v>1</v>
      </c>
      <c r="M178" s="14"/>
      <c r="N178" s="21">
        <v>28279</v>
      </c>
      <c r="O178" s="21">
        <v>887</v>
      </c>
      <c r="P178" s="28">
        <v>0.473015873015873</v>
      </c>
      <c r="Q178" s="25">
        <f>95/(60+95)</f>
        <v>0.61290322580645162</v>
      </c>
      <c r="R178" s="25">
        <f>75/(75+57)</f>
        <v>0.56818181818181823</v>
      </c>
      <c r="S178" s="28">
        <v>0.54146341463414638</v>
      </c>
      <c r="T178" s="25">
        <f>113/(113+87)</f>
        <v>0.56499999999999995</v>
      </c>
      <c r="U178" s="25">
        <f>135/(135+73)</f>
        <v>0.64903846153846156</v>
      </c>
      <c r="V178" s="28">
        <v>0.51724137931034486</v>
      </c>
      <c r="W178" s="25"/>
      <c r="X178" s="25"/>
      <c r="Y178" s="25"/>
      <c r="Z178" s="25"/>
      <c r="AA178" s="25"/>
      <c r="AB178" s="25"/>
      <c r="AC178" s="25"/>
      <c r="AD178" s="25"/>
      <c r="AE178" s="25"/>
      <c r="AF178" s="25">
        <f t="shared" si="6"/>
        <v>0.56097773892672798</v>
      </c>
      <c r="AG178" s="25">
        <f t="shared" si="7"/>
        <v>5.8523488527059346E-2</v>
      </c>
      <c r="AH178" s="26">
        <f t="shared" si="8"/>
        <v>7</v>
      </c>
    </row>
    <row r="179" spans="1:34" s="13" customFormat="1" x14ac:dyDescent="0.25">
      <c r="A179" s="18">
        <v>28257</v>
      </c>
      <c r="B179" s="18">
        <v>890</v>
      </c>
      <c r="C179" s="18">
        <v>2</v>
      </c>
      <c r="D179" s="1" t="s">
        <v>36</v>
      </c>
      <c r="E179" s="18" t="s">
        <v>3</v>
      </c>
      <c r="F179" s="1" t="s">
        <v>39</v>
      </c>
      <c r="G179" s="18" t="s">
        <v>40</v>
      </c>
      <c r="H179" s="18"/>
      <c r="I179" s="18"/>
      <c r="J179" s="18"/>
      <c r="K179" s="18"/>
      <c r="L179" s="8">
        <v>1</v>
      </c>
      <c r="M179" s="14"/>
      <c r="N179" s="23">
        <v>28257</v>
      </c>
      <c r="O179" s="23">
        <v>890</v>
      </c>
      <c r="P179" s="24">
        <v>0.64197530800000002</v>
      </c>
      <c r="Q179" s="24">
        <v>0.65975103700000004</v>
      </c>
      <c r="R179" s="24">
        <v>0.67123287600000003</v>
      </c>
      <c r="S179" s="26">
        <f>63/(93)</f>
        <v>0.67741935483870963</v>
      </c>
      <c r="T179" s="26">
        <f>68/(68+77)</f>
        <v>0.4689655172413793</v>
      </c>
      <c r="U179" s="26">
        <f>80/121</f>
        <v>0.66115702479338845</v>
      </c>
      <c r="V179" s="26">
        <f>46/80</f>
        <v>0.57499999999999996</v>
      </c>
      <c r="W179" s="26">
        <f>165/(165+81)</f>
        <v>0.67073170731707321</v>
      </c>
      <c r="X179" s="26">
        <f>201/(201+92)</f>
        <v>0.68600682593856654</v>
      </c>
      <c r="Y179" s="24"/>
      <c r="Z179" s="24"/>
      <c r="AA179" s="24"/>
      <c r="AB179" s="24"/>
      <c r="AC179" s="24"/>
      <c r="AD179" s="24"/>
      <c r="AE179" s="24"/>
      <c r="AF179" s="24">
        <f t="shared" si="6"/>
        <v>0.63469329456990187</v>
      </c>
      <c r="AG179" s="24">
        <f t="shared" si="7"/>
        <v>7.0269779883969027E-2</v>
      </c>
      <c r="AH179" s="24">
        <f t="shared" si="8"/>
        <v>9</v>
      </c>
    </row>
    <row r="180" spans="1:34" s="10" customFormat="1" x14ac:dyDescent="0.25">
      <c r="A180" s="18">
        <v>28258</v>
      </c>
      <c r="B180" s="18">
        <v>892</v>
      </c>
      <c r="C180" s="18">
        <v>2</v>
      </c>
      <c r="D180" s="1" t="s">
        <v>4</v>
      </c>
      <c r="E180" s="18" t="s">
        <v>3</v>
      </c>
      <c r="F180" s="1" t="s">
        <v>0</v>
      </c>
      <c r="G180" s="18" t="s">
        <v>21</v>
      </c>
      <c r="H180" s="18"/>
      <c r="I180" s="18"/>
      <c r="J180" s="18"/>
      <c r="K180" s="18"/>
      <c r="L180" s="13">
        <v>1</v>
      </c>
      <c r="M180" s="14"/>
      <c r="N180" s="23">
        <v>28258</v>
      </c>
      <c r="O180" s="23">
        <v>892</v>
      </c>
      <c r="P180" s="24">
        <f>73/(73+51)</f>
        <v>0.58870967741935487</v>
      </c>
      <c r="Q180" s="24">
        <f>81/(81+35)</f>
        <v>0.69827586206896552</v>
      </c>
      <c r="R180" s="24">
        <f>61/(61+35)</f>
        <v>0.63541666666666663</v>
      </c>
      <c r="S180" s="24">
        <f>90/(90+45)</f>
        <v>0.66666666666666663</v>
      </c>
      <c r="T180" s="24">
        <v>0.61016949152542377</v>
      </c>
      <c r="U180" s="24">
        <v>0.56481481481481477</v>
      </c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>
        <f t="shared" si="6"/>
        <v>0.62734219652698198</v>
      </c>
      <c r="AG180" s="24">
        <f t="shared" si="7"/>
        <v>4.9679457969016468E-2</v>
      </c>
      <c r="AH180" s="24">
        <f t="shared" si="8"/>
        <v>6</v>
      </c>
    </row>
    <row r="181" spans="1:34" s="10" customFormat="1" x14ac:dyDescent="0.25">
      <c r="A181" s="18">
        <v>28259</v>
      </c>
      <c r="B181" s="18">
        <v>894</v>
      </c>
      <c r="C181" s="18">
        <v>1</v>
      </c>
      <c r="D181" s="1" t="s">
        <v>15</v>
      </c>
      <c r="E181" s="18" t="s">
        <v>3</v>
      </c>
      <c r="F181" s="18"/>
      <c r="G181" s="18"/>
      <c r="H181" s="18"/>
      <c r="I181" s="18"/>
      <c r="J181" s="18"/>
      <c r="K181" s="18"/>
      <c r="L181" s="10">
        <v>1</v>
      </c>
      <c r="M181" s="14"/>
      <c r="N181" s="23">
        <v>28259</v>
      </c>
      <c r="O181" s="23">
        <v>894</v>
      </c>
      <c r="P181" s="24">
        <f>34/(34+43)</f>
        <v>0.44155844155844154</v>
      </c>
      <c r="Q181" s="24">
        <f>16/(53+16)</f>
        <v>0.2318840579710145</v>
      </c>
      <c r="R181" s="24">
        <f>30/(44+30)</f>
        <v>0.40540540540540543</v>
      </c>
      <c r="S181" s="24">
        <f>40/(40+73)</f>
        <v>0.35398230088495575</v>
      </c>
      <c r="T181" s="24">
        <f>45/(91+45)</f>
        <v>0.33088235294117646</v>
      </c>
      <c r="U181" s="24">
        <f>38/(38+86)</f>
        <v>0.30645161290322581</v>
      </c>
      <c r="V181" s="24">
        <f>24/(37+24)</f>
        <v>0.39344262295081966</v>
      </c>
      <c r="W181" s="24"/>
      <c r="X181" s="24"/>
      <c r="Y181" s="24"/>
      <c r="Z181" s="24"/>
      <c r="AA181" s="24"/>
      <c r="AB181" s="24"/>
      <c r="AC181" s="24"/>
      <c r="AD181" s="24"/>
      <c r="AE181" s="24"/>
      <c r="AF181" s="24">
        <f t="shared" si="6"/>
        <v>0.35194382780214845</v>
      </c>
      <c r="AG181" s="24">
        <f t="shared" si="7"/>
        <v>7.0169675693342703E-2</v>
      </c>
      <c r="AH181" s="24">
        <f t="shared" si="8"/>
        <v>7</v>
      </c>
    </row>
    <row r="182" spans="1:34" x14ac:dyDescent="0.25">
      <c r="A182" s="18">
        <v>28260</v>
      </c>
      <c r="B182" s="18">
        <v>897</v>
      </c>
      <c r="C182" s="18">
        <v>2</v>
      </c>
      <c r="D182" s="1" t="s">
        <v>5</v>
      </c>
      <c r="E182" s="18" t="s">
        <v>3</v>
      </c>
      <c r="F182" s="1" t="s">
        <v>63</v>
      </c>
      <c r="G182" s="18" t="s">
        <v>3</v>
      </c>
      <c r="H182" s="18"/>
      <c r="I182" s="18"/>
      <c r="J182" s="18"/>
      <c r="K182" s="18"/>
      <c r="L182" s="10">
        <v>1</v>
      </c>
      <c r="N182" s="23">
        <v>28260</v>
      </c>
      <c r="O182" s="23">
        <v>897</v>
      </c>
      <c r="P182" s="24">
        <f>60/(131)</f>
        <v>0.4580152671755725</v>
      </c>
      <c r="Q182" s="24">
        <f>81/(81+100)</f>
        <v>0.44751381215469616</v>
      </c>
      <c r="R182" s="24">
        <f>63/(50+63)</f>
        <v>0.55752212389380529</v>
      </c>
      <c r="S182" s="24">
        <f>53/(83+53)</f>
        <v>0.38970588235294118</v>
      </c>
      <c r="T182" s="24">
        <f>38/(84+38)</f>
        <v>0.31147540983606559</v>
      </c>
      <c r="U182" s="24">
        <f>116/(116+74)</f>
        <v>0.61052631578947369</v>
      </c>
      <c r="V182" s="24">
        <f>116/(116+61)</f>
        <v>0.65536723163841804</v>
      </c>
      <c r="W182" s="24">
        <f>135/(135+80)</f>
        <v>0.62790697674418605</v>
      </c>
      <c r="X182" s="24">
        <f>118/(118+83)</f>
        <v>0.58706467661691542</v>
      </c>
      <c r="Y182" s="24">
        <f>79/(79+48)</f>
        <v>0.62204724409448819</v>
      </c>
      <c r="Z182" s="24">
        <f>107/(107+57)</f>
        <v>0.65243902439024393</v>
      </c>
      <c r="AA182" s="24"/>
      <c r="AB182" s="24"/>
      <c r="AC182" s="24"/>
      <c r="AD182" s="24"/>
      <c r="AE182" s="24"/>
      <c r="AF182" s="24">
        <f t="shared" si="6"/>
        <v>0.53814399678970959</v>
      </c>
      <c r="AG182" s="24">
        <f t="shared" si="7"/>
        <v>0.11745496934376892</v>
      </c>
      <c r="AH182" s="24">
        <f t="shared" si="8"/>
        <v>11</v>
      </c>
    </row>
    <row r="183" spans="1:34" x14ac:dyDescent="0.25">
      <c r="A183" s="18">
        <v>28261</v>
      </c>
      <c r="B183" s="18">
        <v>900</v>
      </c>
      <c r="C183" s="18">
        <v>1</v>
      </c>
      <c r="D183" s="1">
        <v>41896</v>
      </c>
      <c r="E183" s="18" t="s">
        <v>21</v>
      </c>
      <c r="F183" s="18"/>
      <c r="G183" s="18"/>
      <c r="H183" s="18"/>
      <c r="I183" s="18"/>
      <c r="J183" s="18"/>
      <c r="K183" s="18"/>
      <c r="L183">
        <v>1</v>
      </c>
      <c r="N183" s="21">
        <v>28261</v>
      </c>
      <c r="O183" s="21">
        <v>900</v>
      </c>
      <c r="P183" s="25">
        <f>122/(122+52)</f>
        <v>0.70114942528735635</v>
      </c>
      <c r="Q183" s="25">
        <f>145/(103+145)</f>
        <v>0.58467741935483875</v>
      </c>
      <c r="R183" s="25">
        <f>115/(115+80)</f>
        <v>0.58974358974358976</v>
      </c>
      <c r="S183" s="25">
        <f>108/(108+71)</f>
        <v>0.6033519553072626</v>
      </c>
      <c r="T183" s="25">
        <f>108/(108+67)</f>
        <v>0.6171428571428571</v>
      </c>
      <c r="U183" s="25">
        <f>127/(127+69)</f>
        <v>0.64795918367346939</v>
      </c>
      <c r="V183" s="25">
        <f>70/(70+52)</f>
        <v>0.57377049180327866</v>
      </c>
      <c r="W183" s="25"/>
      <c r="X183" s="25"/>
      <c r="Y183" s="25"/>
      <c r="Z183" s="25"/>
      <c r="AA183" s="25"/>
      <c r="AB183" s="25"/>
      <c r="AC183" s="25"/>
      <c r="AD183" s="25"/>
      <c r="AE183" s="25"/>
      <c r="AF183" s="25">
        <f t="shared" si="6"/>
        <v>0.61682784604466456</v>
      </c>
      <c r="AG183" s="25">
        <f t="shared" si="7"/>
        <v>4.4501180511845109E-2</v>
      </c>
      <c r="AH183" s="26">
        <f t="shared" si="8"/>
        <v>7</v>
      </c>
    </row>
    <row r="184" spans="1:34" x14ac:dyDescent="0.25">
      <c r="A184" s="18">
        <v>28262</v>
      </c>
      <c r="B184" s="18">
        <v>907</v>
      </c>
      <c r="C184" s="18">
        <v>1</v>
      </c>
      <c r="D184" s="1" t="s">
        <v>16</v>
      </c>
      <c r="E184" s="18" t="s">
        <v>3</v>
      </c>
      <c r="F184" s="18"/>
      <c r="G184" s="18"/>
      <c r="H184" s="18"/>
      <c r="I184" s="18"/>
      <c r="J184" s="18"/>
      <c r="K184" s="18"/>
      <c r="L184">
        <v>1</v>
      </c>
      <c r="N184" s="21">
        <v>28262</v>
      </c>
      <c r="O184" s="21">
        <v>907</v>
      </c>
      <c r="P184" s="25">
        <v>0.703125</v>
      </c>
      <c r="Q184" s="25">
        <v>0.65691489361702127</v>
      </c>
      <c r="R184" s="25">
        <v>0.58399999999999996</v>
      </c>
      <c r="S184" s="25">
        <v>0.71144278606965172</v>
      </c>
      <c r="T184" s="25">
        <v>0.65660377358490563</v>
      </c>
      <c r="U184" s="25">
        <v>0.67069486404833834</v>
      </c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>
        <f t="shared" si="6"/>
        <v>0.66379688621998623</v>
      </c>
      <c r="AG184" s="25">
        <f t="shared" si="7"/>
        <v>4.545560503628162E-2</v>
      </c>
      <c r="AH184" s="26">
        <f t="shared" si="8"/>
        <v>6</v>
      </c>
    </row>
    <row r="185" spans="1:34" x14ac:dyDescent="0.25">
      <c r="A185" s="18">
        <v>28263</v>
      </c>
      <c r="B185" s="18">
        <v>908</v>
      </c>
      <c r="C185" s="18">
        <v>1</v>
      </c>
      <c r="D185" s="1" t="s">
        <v>57</v>
      </c>
      <c r="E185" s="18" t="s">
        <v>40</v>
      </c>
      <c r="F185" s="18"/>
      <c r="G185" s="18"/>
      <c r="H185" s="18"/>
      <c r="I185" s="18"/>
      <c r="J185" s="18"/>
      <c r="K185" s="18"/>
      <c r="L185">
        <v>1</v>
      </c>
      <c r="N185" s="21">
        <v>28263</v>
      </c>
      <c r="O185" s="21">
        <v>908</v>
      </c>
      <c r="P185" s="28">
        <v>0.59530791788856308</v>
      </c>
      <c r="Q185" s="25">
        <f>97/(97+70)</f>
        <v>0.58083832335329344</v>
      </c>
      <c r="R185" s="28">
        <v>0.58103975535168195</v>
      </c>
      <c r="S185" s="25">
        <f>95/(95+65)</f>
        <v>0.59375</v>
      </c>
      <c r="T185" s="25">
        <f>175/(175+103)</f>
        <v>0.62949640287769781</v>
      </c>
      <c r="U185" s="25">
        <f>127/(127+79)</f>
        <v>0.61650485436893199</v>
      </c>
      <c r="V185" s="28">
        <v>0.625</v>
      </c>
      <c r="W185" s="25"/>
      <c r="X185" s="25"/>
      <c r="Y185" s="25"/>
      <c r="Z185" s="25"/>
      <c r="AA185" s="25"/>
      <c r="AB185" s="25"/>
      <c r="AC185" s="25"/>
      <c r="AD185" s="25"/>
      <c r="AE185" s="25"/>
      <c r="AF185" s="25">
        <f t="shared" si="6"/>
        <v>0.60313389340573831</v>
      </c>
      <c r="AG185" s="25">
        <f t="shared" si="7"/>
        <v>2.0356971978869556E-2</v>
      </c>
      <c r="AH185" s="26">
        <f t="shared" si="8"/>
        <v>7</v>
      </c>
    </row>
    <row r="186" spans="1:34" x14ac:dyDescent="0.25">
      <c r="A186" s="18">
        <v>28264</v>
      </c>
      <c r="B186" s="18">
        <v>911</v>
      </c>
      <c r="C186" s="18">
        <v>1</v>
      </c>
      <c r="D186" s="1" t="s">
        <v>10</v>
      </c>
      <c r="E186" s="18" t="s">
        <v>3</v>
      </c>
      <c r="F186" s="18"/>
      <c r="G186" s="18"/>
      <c r="H186" s="18"/>
      <c r="I186" s="18"/>
      <c r="J186" s="18"/>
      <c r="K186" s="18"/>
      <c r="L186">
        <v>1</v>
      </c>
      <c r="N186" s="21">
        <v>28264</v>
      </c>
      <c r="O186" s="21">
        <v>911</v>
      </c>
      <c r="P186" s="25">
        <f>129/(129+67)</f>
        <v>0.65816326530612246</v>
      </c>
      <c r="Q186" s="25">
        <f>119/(119+37)</f>
        <v>0.76282051282051277</v>
      </c>
      <c r="R186" s="25">
        <f>142/(142+60)</f>
        <v>0.70297029702970293</v>
      </c>
      <c r="S186" s="25">
        <f>168/(168+57)</f>
        <v>0.7466666666666667</v>
      </c>
      <c r="T186" s="25">
        <f>130/(63+130)</f>
        <v>0.67357512953367871</v>
      </c>
      <c r="U186" s="25">
        <f>123/(60+123)</f>
        <v>0.67213114754098358</v>
      </c>
      <c r="V186" s="25">
        <f>135/(54+135)</f>
        <v>0.7142857142857143</v>
      </c>
      <c r="W186" s="25">
        <f>166/(98+166)</f>
        <v>0.62878787878787878</v>
      </c>
      <c r="X186" s="25"/>
      <c r="Y186" s="25"/>
      <c r="Z186" s="25"/>
      <c r="AA186" s="25"/>
      <c r="AB186" s="25"/>
      <c r="AC186" s="25"/>
      <c r="AD186" s="25"/>
      <c r="AE186" s="25"/>
      <c r="AF186" s="25">
        <f t="shared" si="6"/>
        <v>0.69492507649640756</v>
      </c>
      <c r="AG186" s="25">
        <f t="shared" si="7"/>
        <v>4.5399001580099629E-2</v>
      </c>
      <c r="AH186" s="26">
        <f t="shared" si="8"/>
        <v>8</v>
      </c>
    </row>
    <row r="187" spans="1:34" x14ac:dyDescent="0.25">
      <c r="A187" s="18">
        <v>28265</v>
      </c>
      <c r="B187" s="18">
        <v>913</v>
      </c>
      <c r="C187" s="18">
        <v>1</v>
      </c>
      <c r="D187" s="1" t="s">
        <v>32</v>
      </c>
      <c r="E187" s="18" t="s">
        <v>21</v>
      </c>
      <c r="F187" s="18"/>
      <c r="G187" s="18"/>
      <c r="H187" s="18"/>
      <c r="I187" s="18"/>
      <c r="J187" s="18"/>
      <c r="K187" s="18"/>
      <c r="L187">
        <v>1</v>
      </c>
      <c r="N187" s="21">
        <v>28265</v>
      </c>
      <c r="O187" s="21">
        <v>913</v>
      </c>
      <c r="P187" s="25">
        <f>117/(117+73)</f>
        <v>0.61578947368421055</v>
      </c>
      <c r="Q187" s="25">
        <f>117/(117+70)</f>
        <v>0.62566844919786091</v>
      </c>
      <c r="R187" s="25">
        <f>124/(124+86)</f>
        <v>0.59047619047619049</v>
      </c>
      <c r="S187" s="25">
        <f>117/(90+117)</f>
        <v>0.56521739130434778</v>
      </c>
      <c r="T187" s="25">
        <f>171/(85+171)</f>
        <v>0.66796875</v>
      </c>
      <c r="U187" s="25">
        <f>89/(89+58)</f>
        <v>0.60544217687074831</v>
      </c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>
        <f t="shared" si="6"/>
        <v>0.61176040525555964</v>
      </c>
      <c r="AG187" s="25">
        <f t="shared" si="7"/>
        <v>3.4722428065943903E-2</v>
      </c>
      <c r="AH187" s="26">
        <f t="shared" si="8"/>
        <v>6</v>
      </c>
    </row>
    <row r="188" spans="1:34" x14ac:dyDescent="0.25">
      <c r="A188" s="9">
        <v>55015</v>
      </c>
      <c r="B188" s="9">
        <v>32</v>
      </c>
      <c r="C188" s="9">
        <v>1</v>
      </c>
      <c r="D188" s="2">
        <v>42014</v>
      </c>
      <c r="E188" s="9" t="s">
        <v>77</v>
      </c>
      <c r="F188" s="9"/>
      <c r="G188" s="9"/>
      <c r="H188" s="9"/>
      <c r="I188" s="9"/>
      <c r="J188" s="9"/>
      <c r="K188" s="9"/>
      <c r="L188">
        <v>2</v>
      </c>
      <c r="M188" s="14" t="s">
        <v>111</v>
      </c>
      <c r="N188" s="21">
        <v>55015</v>
      </c>
      <c r="O188" s="21">
        <v>32</v>
      </c>
      <c r="P188" s="39">
        <v>0.55038759689922478</v>
      </c>
      <c r="Q188" s="39">
        <v>0.60869565217391308</v>
      </c>
      <c r="R188" s="39">
        <v>0.61083743842364535</v>
      </c>
      <c r="S188" s="39">
        <v>0.5859375</v>
      </c>
      <c r="T188" s="39">
        <v>0.6132075471698113</v>
      </c>
      <c r="U188" s="39">
        <v>0.68041237113402064</v>
      </c>
      <c r="V188" s="39">
        <v>0.55645161290322576</v>
      </c>
      <c r="W188" s="39">
        <v>0.58715596330275233</v>
      </c>
      <c r="X188" s="25"/>
      <c r="Y188" s="25"/>
      <c r="Z188" s="25"/>
      <c r="AA188" s="25"/>
      <c r="AB188" s="25"/>
      <c r="AC188" s="25"/>
      <c r="AD188" s="25"/>
      <c r="AE188" s="25"/>
      <c r="AF188" s="25">
        <f t="shared" si="6"/>
        <v>0.59913571025082424</v>
      </c>
      <c r="AG188" s="25">
        <f t="shared" si="7"/>
        <v>4.0617119794639292E-2</v>
      </c>
      <c r="AH188" s="26">
        <f t="shared" si="8"/>
        <v>8</v>
      </c>
    </row>
    <row r="189" spans="1:34" ht="15.75" x14ac:dyDescent="0.25">
      <c r="A189" s="9">
        <v>28144</v>
      </c>
      <c r="B189" s="9">
        <v>142</v>
      </c>
      <c r="C189" s="9">
        <v>1</v>
      </c>
      <c r="D189" s="2" t="s">
        <v>38</v>
      </c>
      <c r="E189" s="9" t="s">
        <v>77</v>
      </c>
      <c r="F189" s="9"/>
      <c r="G189" s="9"/>
      <c r="H189" s="9"/>
      <c r="I189" s="9"/>
      <c r="J189" s="9"/>
      <c r="K189" s="9"/>
      <c r="L189">
        <v>2</v>
      </c>
      <c r="M189" s="14" t="s">
        <v>111</v>
      </c>
      <c r="N189" s="23">
        <v>28144</v>
      </c>
      <c r="O189" s="23">
        <v>142</v>
      </c>
      <c r="P189" s="38">
        <f>106/183</f>
        <v>0.57923497267759561</v>
      </c>
      <c r="Q189" s="38">
        <f>82/146</f>
        <v>0.56164383561643838</v>
      </c>
      <c r="R189" s="38">
        <f>27/43</f>
        <v>0.62790697674418605</v>
      </c>
      <c r="S189" s="38">
        <f>57/107</f>
        <v>0.53271028037383172</v>
      </c>
      <c r="T189" s="38">
        <f>99/180</f>
        <v>0.55000000000000004</v>
      </c>
      <c r="U189" s="38">
        <f>99/180</f>
        <v>0.55000000000000004</v>
      </c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>
        <f t="shared" si="6"/>
        <v>0.5669160109020086</v>
      </c>
      <c r="AG189" s="24">
        <f t="shared" si="7"/>
        <v>3.3591026827031661E-2</v>
      </c>
      <c r="AH189" s="24">
        <f t="shared" si="8"/>
        <v>6</v>
      </c>
    </row>
    <row r="190" spans="1:34" x14ac:dyDescent="0.25">
      <c r="A190" s="9">
        <v>28150</v>
      </c>
      <c r="B190" s="9">
        <v>177</v>
      </c>
      <c r="C190" s="9">
        <v>1</v>
      </c>
      <c r="D190" s="2" t="s">
        <v>79</v>
      </c>
      <c r="E190" s="9" t="s">
        <v>77</v>
      </c>
      <c r="F190" s="9"/>
      <c r="G190" s="9"/>
      <c r="H190" s="9"/>
      <c r="I190" s="9"/>
      <c r="J190" s="9"/>
      <c r="K190" s="9"/>
      <c r="L190">
        <v>2</v>
      </c>
      <c r="M190" s="14" t="s">
        <v>112</v>
      </c>
      <c r="N190" s="23">
        <v>28150</v>
      </c>
      <c r="O190" s="23">
        <v>177</v>
      </c>
      <c r="P190" s="37">
        <v>0.40178599999999998</v>
      </c>
      <c r="Q190" s="37">
        <v>0.33571399999999996</v>
      </c>
      <c r="R190" s="37">
        <v>0.37333300000000003</v>
      </c>
      <c r="S190" s="37">
        <v>0.32894699999999999</v>
      </c>
      <c r="T190" s="37">
        <v>0.33333299999999999</v>
      </c>
      <c r="U190" s="37">
        <v>0.30400000000000005</v>
      </c>
      <c r="V190" s="37">
        <v>0.32768399999999998</v>
      </c>
      <c r="W190" s="24"/>
      <c r="X190" s="24"/>
      <c r="Y190" s="24"/>
      <c r="Z190" s="24"/>
      <c r="AA190" s="24"/>
      <c r="AB190" s="24"/>
      <c r="AC190" s="24"/>
      <c r="AD190" s="24"/>
      <c r="AE190" s="24"/>
      <c r="AF190" s="24">
        <f t="shared" si="6"/>
        <v>0.34354242857142853</v>
      </c>
      <c r="AG190" s="24">
        <f t="shared" si="7"/>
        <v>3.284668535716169E-2</v>
      </c>
      <c r="AH190" s="24">
        <f t="shared" si="8"/>
        <v>7</v>
      </c>
    </row>
    <row r="191" spans="1:34" x14ac:dyDescent="0.25">
      <c r="A191" s="9">
        <v>25176</v>
      </c>
      <c r="B191" s="9">
        <v>303</v>
      </c>
      <c r="C191" s="9">
        <v>1</v>
      </c>
      <c r="D191" s="2" t="s">
        <v>64</v>
      </c>
      <c r="E191" s="9" t="s">
        <v>77</v>
      </c>
      <c r="F191" s="9"/>
      <c r="G191" s="9"/>
      <c r="H191" s="9"/>
      <c r="I191" s="9"/>
      <c r="J191" s="9"/>
      <c r="K191" s="9"/>
      <c r="L191">
        <v>2</v>
      </c>
      <c r="M191" s="14" t="s">
        <v>120</v>
      </c>
      <c r="N191" s="29">
        <v>25176</v>
      </c>
      <c r="O191" s="29">
        <v>303</v>
      </c>
      <c r="P191" s="37">
        <v>0.29565217391304344</v>
      </c>
      <c r="Q191" s="37">
        <v>0.2857142857142857</v>
      </c>
      <c r="R191" s="37">
        <v>0.3571428571428571</v>
      </c>
      <c r="S191" s="37">
        <v>0.29870129870129869</v>
      </c>
      <c r="T191" s="37">
        <v>0.27631578947368418</v>
      </c>
      <c r="U191" s="37">
        <v>0.38536585365853659</v>
      </c>
      <c r="V191" s="37">
        <v>0.27536231884057971</v>
      </c>
      <c r="W191" s="26"/>
      <c r="X191" s="26"/>
      <c r="Y191" s="26"/>
      <c r="Z191" s="26"/>
      <c r="AA191" s="26"/>
      <c r="AB191" s="26"/>
      <c r="AC191" s="26"/>
      <c r="AD191" s="26"/>
      <c r="AE191" s="26"/>
      <c r="AF191" s="25">
        <f>AVERAGE(P191:AE191)</f>
        <v>0.31060779677775502</v>
      </c>
      <c r="AG191" s="25">
        <f>STDEV(P191:AE191)</f>
        <v>4.3123053843080961E-2</v>
      </c>
      <c r="AH191" s="26">
        <f>COUNT(P191:AE191)</f>
        <v>7</v>
      </c>
    </row>
    <row r="192" spans="1:34" x14ac:dyDescent="0.25">
      <c r="A192" s="9">
        <v>25186</v>
      </c>
      <c r="B192" s="9">
        <v>360</v>
      </c>
      <c r="C192" s="9">
        <v>1</v>
      </c>
      <c r="D192" s="2" t="s">
        <v>80</v>
      </c>
      <c r="E192" s="9" t="s">
        <v>77</v>
      </c>
      <c r="F192" s="9"/>
      <c r="G192" s="9"/>
      <c r="H192" s="9"/>
      <c r="I192" s="9"/>
      <c r="J192" s="9"/>
      <c r="K192" s="9"/>
      <c r="L192">
        <v>2</v>
      </c>
      <c r="M192" s="14" t="s">
        <v>120</v>
      </c>
      <c r="N192" s="31">
        <v>25186</v>
      </c>
      <c r="O192" s="31">
        <v>360</v>
      </c>
      <c r="P192" s="40">
        <v>0.3571428571428571</v>
      </c>
      <c r="Q192" s="40">
        <v>0.51704545454545459</v>
      </c>
      <c r="R192" s="40">
        <v>0.58333333333333326</v>
      </c>
      <c r="S192" s="40">
        <v>0.43206521739130432</v>
      </c>
      <c r="T192" s="40">
        <v>0.32661290322580649</v>
      </c>
      <c r="U192" s="40">
        <v>0.34285714285714286</v>
      </c>
      <c r="V192" s="40">
        <v>0.50549450549450547</v>
      </c>
      <c r="W192" s="30"/>
      <c r="X192" s="26"/>
      <c r="Y192" s="26"/>
      <c r="Z192" s="26"/>
      <c r="AA192" s="26"/>
      <c r="AB192" s="26"/>
      <c r="AC192" s="26"/>
      <c r="AD192" s="26"/>
      <c r="AE192" s="26"/>
      <c r="AF192" s="24">
        <f>AVERAGE(P192:AE192)</f>
        <v>0.43779305914148631</v>
      </c>
      <c r="AG192" s="24">
        <f>STDEV(P192:AE192)</f>
        <v>9.996459202397065E-2</v>
      </c>
      <c r="AH192" s="24">
        <f>COUNT(P192:AE192)</f>
        <v>7</v>
      </c>
    </row>
    <row r="193" spans="1:34" ht="15.75" x14ac:dyDescent="0.25">
      <c r="A193" s="9">
        <v>25188</v>
      </c>
      <c r="B193" s="9">
        <v>375</v>
      </c>
      <c r="C193" s="9">
        <v>1</v>
      </c>
      <c r="D193" s="2">
        <v>42014</v>
      </c>
      <c r="E193" s="9" t="s">
        <v>77</v>
      </c>
      <c r="F193" s="2"/>
      <c r="G193" s="9"/>
      <c r="H193" s="2"/>
      <c r="I193" s="9"/>
      <c r="J193" s="2"/>
      <c r="K193" s="9"/>
      <c r="L193">
        <v>2</v>
      </c>
      <c r="M193" s="14" t="s">
        <v>111</v>
      </c>
      <c r="N193" s="21">
        <v>25188</v>
      </c>
      <c r="O193" s="21">
        <v>375</v>
      </c>
      <c r="P193" s="38">
        <f>112/205</f>
        <v>0.54634146341463419</v>
      </c>
      <c r="Q193" s="38">
        <f>74/125</f>
        <v>0.59199999999999997</v>
      </c>
      <c r="R193" s="38">
        <f>58/94</f>
        <v>0.61702127659574468</v>
      </c>
      <c r="S193" s="38">
        <f>125/226</f>
        <v>0.55309734513274333</v>
      </c>
      <c r="T193" s="38">
        <f>16/47</f>
        <v>0.34042553191489361</v>
      </c>
      <c r="U193" s="38">
        <f>125/221</f>
        <v>0.56561085972850678</v>
      </c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>
        <f>AVERAGE(P193:AE193)</f>
        <v>0.53574941279775379</v>
      </c>
      <c r="AG193" s="25">
        <f>STDEV(P193:AE193)</f>
        <v>9.9222488533906986E-2</v>
      </c>
      <c r="AH193" s="26">
        <f>COUNT(P193:AE193)</f>
        <v>6</v>
      </c>
    </row>
    <row r="194" spans="1:34" x14ac:dyDescent="0.25">
      <c r="A194" s="9">
        <v>28222</v>
      </c>
      <c r="B194" s="9">
        <v>737</v>
      </c>
      <c r="C194" s="9">
        <v>1</v>
      </c>
      <c r="D194" s="2" t="s">
        <v>78</v>
      </c>
      <c r="E194" s="9" t="s">
        <v>77</v>
      </c>
      <c r="F194" s="9"/>
      <c r="G194" s="9"/>
      <c r="H194" s="9"/>
      <c r="I194" s="9"/>
      <c r="J194" s="9"/>
      <c r="K194" s="9"/>
      <c r="L194">
        <v>2</v>
      </c>
      <c r="M194" s="14" t="s">
        <v>110</v>
      </c>
      <c r="N194" s="23">
        <v>28222</v>
      </c>
      <c r="O194" s="23">
        <v>737</v>
      </c>
      <c r="P194" s="36">
        <v>0.70848708487084866</v>
      </c>
      <c r="Q194" s="36">
        <v>0.70370370370370372</v>
      </c>
      <c r="R194" s="36">
        <v>0.72377622377622375</v>
      </c>
      <c r="S194" s="36">
        <v>0.70671378091872794</v>
      </c>
      <c r="T194" s="36">
        <v>0.73270440251572322</v>
      </c>
      <c r="U194" s="36">
        <v>0.71812080536912748</v>
      </c>
      <c r="V194" s="36">
        <v>0.59466666666666668</v>
      </c>
      <c r="W194" s="36">
        <v>0.76950354609929073</v>
      </c>
      <c r="X194" s="36">
        <v>0.70627062706270627</v>
      </c>
      <c r="Y194" s="24"/>
      <c r="Z194" s="24"/>
      <c r="AA194" s="24"/>
      <c r="AB194" s="24"/>
      <c r="AC194" s="24"/>
      <c r="AD194" s="24"/>
      <c r="AE194" s="24"/>
      <c r="AF194" s="24">
        <f t="shared" ref="AF194:AF204" si="9">AVERAGE(P194:AE194)</f>
        <v>0.70710520455366888</v>
      </c>
      <c r="AG194" s="24">
        <f t="shared" ref="AG194:AG204" si="10">STDEV(P194:AE194)</f>
        <v>4.6910676613444592E-2</v>
      </c>
      <c r="AH194" s="24">
        <f t="shared" ref="AH194:AH204" si="11">COUNT(P194:AE194)</f>
        <v>9</v>
      </c>
    </row>
    <row r="195" spans="1:34" s="11" customFormat="1" x14ac:dyDescent="0.25">
      <c r="A195" s="15">
        <v>28122</v>
      </c>
      <c r="B195" s="15">
        <v>21</v>
      </c>
      <c r="C195" s="15">
        <v>3</v>
      </c>
      <c r="D195" s="17" t="s">
        <v>16</v>
      </c>
      <c r="E195" s="15" t="s">
        <v>40</v>
      </c>
      <c r="F195" s="17" t="s">
        <v>82</v>
      </c>
      <c r="G195" s="15" t="s">
        <v>77</v>
      </c>
      <c r="H195" s="17" t="s">
        <v>83</v>
      </c>
      <c r="I195" s="15" t="s">
        <v>77</v>
      </c>
      <c r="J195" s="15"/>
      <c r="K195" s="15"/>
      <c r="L195">
        <v>3</v>
      </c>
      <c r="M195" s="14" t="s">
        <v>117</v>
      </c>
      <c r="N195" s="21">
        <v>28122</v>
      </c>
      <c r="O195" s="21">
        <v>21</v>
      </c>
      <c r="P195" s="37">
        <v>0.44444444444444442</v>
      </c>
      <c r="Q195" s="37">
        <v>0.55294117647058827</v>
      </c>
      <c r="R195" s="37">
        <v>0.50877192982456143</v>
      </c>
      <c r="S195" s="36">
        <f>73/(73+97)</f>
        <v>0.42941176470588233</v>
      </c>
      <c r="T195" s="36">
        <f>83/(83+89)</f>
        <v>0.48255813953488375</v>
      </c>
      <c r="U195" s="36">
        <f>80/(80+101)</f>
        <v>0.44198895027624308</v>
      </c>
      <c r="V195" s="35">
        <v>0.40666666666666668</v>
      </c>
      <c r="W195" s="35">
        <v>0.44866920152091255</v>
      </c>
      <c r="X195" s="36">
        <f>78/(78+105)</f>
        <v>0.42622950819672129</v>
      </c>
      <c r="Y195" s="35">
        <v>0.46232876712328769</v>
      </c>
      <c r="Z195" s="25"/>
      <c r="AA195" s="25"/>
      <c r="AB195" s="25"/>
      <c r="AC195" s="25"/>
      <c r="AD195" s="25"/>
      <c r="AE195" s="25"/>
      <c r="AF195" s="25">
        <f t="shared" si="9"/>
        <v>0.46040105487641914</v>
      </c>
      <c r="AG195" s="25">
        <f t="shared" si="10"/>
        <v>4.3645973089615729E-2</v>
      </c>
      <c r="AH195" s="26">
        <f t="shared" si="11"/>
        <v>10</v>
      </c>
    </row>
    <row r="196" spans="1:34" s="11" customFormat="1" x14ac:dyDescent="0.25">
      <c r="A196" s="15">
        <v>29651</v>
      </c>
      <c r="B196" s="15">
        <v>40</v>
      </c>
      <c r="C196" s="15">
        <v>3</v>
      </c>
      <c r="D196" s="17" t="s">
        <v>38</v>
      </c>
      <c r="E196" s="15" t="s">
        <v>77</v>
      </c>
      <c r="F196" s="17" t="s">
        <v>0</v>
      </c>
      <c r="G196" s="15" t="s">
        <v>21</v>
      </c>
      <c r="H196" s="17" t="s">
        <v>32</v>
      </c>
      <c r="I196" s="15" t="s">
        <v>21</v>
      </c>
      <c r="J196" s="15"/>
      <c r="K196" s="15"/>
      <c r="L196" s="11">
        <v>3</v>
      </c>
      <c r="M196" s="14" t="s">
        <v>118</v>
      </c>
      <c r="N196" s="21">
        <v>29651</v>
      </c>
      <c r="O196" s="21">
        <v>40</v>
      </c>
      <c r="P196" s="37">
        <v>0.46385542168674698</v>
      </c>
      <c r="Q196" s="37">
        <v>0.43859649122807021</v>
      </c>
      <c r="R196" s="37">
        <v>0.44715447154471544</v>
      </c>
      <c r="S196" s="37">
        <v>0.37391304347826082</v>
      </c>
      <c r="T196" s="37">
        <v>0.41605839416058399</v>
      </c>
      <c r="U196" s="37">
        <v>0.44378698224852076</v>
      </c>
      <c r="V196" s="37">
        <v>0.46575342465753422</v>
      </c>
      <c r="W196" s="25"/>
      <c r="X196" s="25"/>
      <c r="Y196" s="25"/>
      <c r="Z196" s="25"/>
      <c r="AA196" s="25"/>
      <c r="AB196" s="25"/>
      <c r="AC196" s="25"/>
      <c r="AD196" s="25"/>
      <c r="AE196" s="25"/>
      <c r="AF196" s="25">
        <f t="shared" si="9"/>
        <v>0.43558831842920476</v>
      </c>
      <c r="AG196" s="25">
        <f t="shared" si="10"/>
        <v>3.1896351234514224E-2</v>
      </c>
      <c r="AH196" s="26">
        <f t="shared" si="11"/>
        <v>7</v>
      </c>
    </row>
    <row r="197" spans="1:34" x14ac:dyDescent="0.25">
      <c r="A197" s="15">
        <v>28152</v>
      </c>
      <c r="B197" s="15">
        <v>189</v>
      </c>
      <c r="C197" s="15">
        <v>4</v>
      </c>
      <c r="D197" s="17" t="s">
        <v>16</v>
      </c>
      <c r="E197" s="15" t="s">
        <v>21</v>
      </c>
      <c r="F197" s="17" t="s">
        <v>58</v>
      </c>
      <c r="G197" s="15" t="s">
        <v>21</v>
      </c>
      <c r="H197" s="17" t="s">
        <v>79</v>
      </c>
      <c r="I197" s="15" t="s">
        <v>77</v>
      </c>
      <c r="J197" s="17" t="s">
        <v>70</v>
      </c>
      <c r="K197" s="15" t="s">
        <v>3</v>
      </c>
      <c r="L197" s="11">
        <v>3</v>
      </c>
      <c r="M197" s="14" t="s">
        <v>113</v>
      </c>
      <c r="N197" s="23">
        <v>28152</v>
      </c>
      <c r="O197" s="23">
        <v>189</v>
      </c>
      <c r="P197" s="36">
        <f>99/(99+54)</f>
        <v>0.6470588235294118</v>
      </c>
      <c r="Q197" s="36">
        <f>137/(137+56)</f>
        <v>0.7098445595854922</v>
      </c>
      <c r="R197" s="35">
        <v>0.67713004484304928</v>
      </c>
      <c r="S197" s="35">
        <v>0.69148936170212771</v>
      </c>
      <c r="T197" s="36">
        <f>141/(141+60)</f>
        <v>0.70149253731343286</v>
      </c>
      <c r="U197" s="36">
        <f>148/(148+68)</f>
        <v>0.68518518518518523</v>
      </c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>
        <f t="shared" si="9"/>
        <v>0.68536675202644981</v>
      </c>
      <c r="AG197" s="24">
        <f t="shared" si="10"/>
        <v>2.2054768467327887E-2</v>
      </c>
      <c r="AH197" s="24">
        <f t="shared" si="11"/>
        <v>6</v>
      </c>
    </row>
    <row r="198" spans="1:34" x14ac:dyDescent="0.25">
      <c r="A198" s="15">
        <v>25181</v>
      </c>
      <c r="B198" s="15">
        <v>315</v>
      </c>
      <c r="C198" s="15">
        <v>3</v>
      </c>
      <c r="D198" s="17" t="s">
        <v>6</v>
      </c>
      <c r="E198" s="15" t="s">
        <v>3</v>
      </c>
      <c r="F198" s="17" t="s">
        <v>13</v>
      </c>
      <c r="G198" s="15" t="s">
        <v>3</v>
      </c>
      <c r="H198" s="17" t="s">
        <v>79</v>
      </c>
      <c r="I198" s="15" t="s">
        <v>77</v>
      </c>
      <c r="J198" s="15"/>
      <c r="K198" s="15"/>
      <c r="L198">
        <v>3</v>
      </c>
      <c r="M198" s="14" t="s">
        <v>117</v>
      </c>
      <c r="N198" s="21">
        <v>25181</v>
      </c>
      <c r="O198" s="21">
        <v>315</v>
      </c>
      <c r="P198" s="37">
        <v>0.51658767800000005</v>
      </c>
      <c r="Q198" s="37">
        <v>0.48618784599999998</v>
      </c>
      <c r="R198" s="37">
        <v>0.56888888889</v>
      </c>
      <c r="S198" s="37">
        <v>0.5</v>
      </c>
      <c r="T198" s="36">
        <f>128/(128+72)</f>
        <v>0.64</v>
      </c>
      <c r="U198" s="36">
        <f>118/(118+83)</f>
        <v>0.58706467661691542</v>
      </c>
      <c r="V198" s="36">
        <f>100/(197)</f>
        <v>0.50761421319796951</v>
      </c>
      <c r="W198" s="36">
        <f>155/(155+89)</f>
        <v>0.63524590163934425</v>
      </c>
      <c r="X198" s="36">
        <f>84/(84+99)</f>
        <v>0.45901639344262296</v>
      </c>
      <c r="Y198" s="36">
        <f>165/(165+104)</f>
        <v>0.61338289962825276</v>
      </c>
      <c r="Z198" s="36">
        <f>65/(65+61)</f>
        <v>0.51587301587301593</v>
      </c>
      <c r="AA198" s="36">
        <f>140/210</f>
        <v>0.66666666666666663</v>
      </c>
      <c r="AB198" s="36">
        <f>104/(104+83)</f>
        <v>0.55614973262032086</v>
      </c>
      <c r="AC198" s="25"/>
      <c r="AD198" s="25"/>
      <c r="AE198" s="25"/>
      <c r="AF198" s="25">
        <f t="shared" si="9"/>
        <v>0.55789830096731596</v>
      </c>
      <c r="AG198" s="25">
        <f t="shared" si="10"/>
        <v>6.6382968601500822E-2</v>
      </c>
      <c r="AH198" s="26">
        <f t="shared" si="11"/>
        <v>13</v>
      </c>
    </row>
    <row r="199" spans="1:34" x14ac:dyDescent="0.25">
      <c r="A199" s="15">
        <v>25445</v>
      </c>
      <c r="B199" s="15">
        <v>365</v>
      </c>
      <c r="C199" s="15">
        <v>2</v>
      </c>
      <c r="D199" s="17" t="s">
        <v>62</v>
      </c>
      <c r="E199" s="15" t="s">
        <v>3</v>
      </c>
      <c r="F199" s="17" t="s">
        <v>49</v>
      </c>
      <c r="G199" s="15" t="s">
        <v>77</v>
      </c>
      <c r="H199" s="15"/>
      <c r="I199" s="15"/>
      <c r="J199" s="15"/>
      <c r="K199" s="15"/>
      <c r="L199">
        <v>3</v>
      </c>
      <c r="M199" s="14" t="s">
        <v>117</v>
      </c>
      <c r="N199" s="21">
        <v>25445</v>
      </c>
      <c r="O199" s="21">
        <v>365</v>
      </c>
      <c r="P199" s="36">
        <f>133/(133+53)</f>
        <v>0.71505376344086025</v>
      </c>
      <c r="Q199" s="36">
        <f>66/(66+31)</f>
        <v>0.68041237113402064</v>
      </c>
      <c r="R199" s="36">
        <f>74/(74+54)</f>
        <v>0.578125</v>
      </c>
      <c r="S199" s="36">
        <f>129/(129+52)</f>
        <v>0.71270718232044195</v>
      </c>
      <c r="T199" s="36">
        <f>151/(221)</f>
        <v>0.68325791855203621</v>
      </c>
      <c r="U199" s="36">
        <f>87/(87+37)</f>
        <v>0.70161290322580649</v>
      </c>
      <c r="V199" s="36">
        <f>95/(95+43)</f>
        <v>0.68840579710144922</v>
      </c>
      <c r="W199" s="36">
        <f>129/(129+62)</f>
        <v>0.67539267015706805</v>
      </c>
      <c r="X199" s="25"/>
      <c r="Y199" s="25"/>
      <c r="Z199" s="25"/>
      <c r="AA199" s="25"/>
      <c r="AB199" s="25"/>
      <c r="AC199" s="25"/>
      <c r="AD199" s="25"/>
      <c r="AE199" s="25"/>
      <c r="AF199" s="25">
        <f t="shared" si="9"/>
        <v>0.67937095074146026</v>
      </c>
      <c r="AG199" s="25">
        <f t="shared" si="10"/>
        <v>4.3496572426928608E-2</v>
      </c>
      <c r="AH199" s="26">
        <f t="shared" si="11"/>
        <v>8</v>
      </c>
    </row>
    <row r="200" spans="1:34" x14ac:dyDescent="0.25">
      <c r="A200" s="15">
        <v>28185</v>
      </c>
      <c r="B200" s="15">
        <v>374</v>
      </c>
      <c r="C200" s="15">
        <v>2</v>
      </c>
      <c r="D200" s="17" t="s">
        <v>79</v>
      </c>
      <c r="E200" s="15" t="s">
        <v>77</v>
      </c>
      <c r="F200" s="17" t="s">
        <v>71</v>
      </c>
      <c r="G200" s="15" t="s">
        <v>21</v>
      </c>
      <c r="H200" s="15"/>
      <c r="I200" s="15"/>
      <c r="J200" s="15"/>
      <c r="K200" s="15"/>
      <c r="L200">
        <v>3</v>
      </c>
      <c r="M200" s="14" t="s">
        <v>116</v>
      </c>
      <c r="N200" s="23">
        <v>28185</v>
      </c>
      <c r="O200" s="23">
        <v>374</v>
      </c>
      <c r="P200" s="36">
        <v>0.45918367346938782</v>
      </c>
      <c r="Q200" s="36">
        <v>0.52892561983471076</v>
      </c>
      <c r="R200" s="36">
        <v>0.43902439024390238</v>
      </c>
      <c r="S200" s="36">
        <f>1-202/330</f>
        <v>0.38787878787878793</v>
      </c>
      <c r="T200" s="36">
        <f>1-201/318</f>
        <v>0.36792452830188682</v>
      </c>
      <c r="U200" s="36">
        <f>1-199/336</f>
        <v>0.40773809523809523</v>
      </c>
      <c r="V200" s="36">
        <f>1-176/319</f>
        <v>0.44827586206896552</v>
      </c>
      <c r="W200" s="24"/>
      <c r="X200" s="24"/>
      <c r="Y200" s="24"/>
      <c r="Z200" s="24"/>
      <c r="AA200" s="24"/>
      <c r="AB200" s="24"/>
      <c r="AC200" s="24"/>
      <c r="AD200" s="24"/>
      <c r="AE200" s="24"/>
      <c r="AF200" s="24">
        <f t="shared" si="9"/>
        <v>0.43413585100510527</v>
      </c>
      <c r="AG200" s="24">
        <f t="shared" si="10"/>
        <v>5.3317958304346241E-2</v>
      </c>
      <c r="AH200" s="24">
        <f t="shared" si="11"/>
        <v>7</v>
      </c>
    </row>
    <row r="201" spans="1:34" x14ac:dyDescent="0.25">
      <c r="A201" s="15">
        <v>29656</v>
      </c>
      <c r="B201" s="15">
        <v>405</v>
      </c>
      <c r="C201" s="15">
        <v>2</v>
      </c>
      <c r="D201" s="17" t="s">
        <v>27</v>
      </c>
      <c r="E201" s="15" t="s">
        <v>77</v>
      </c>
      <c r="F201" s="4">
        <v>42089</v>
      </c>
      <c r="G201" s="15" t="s">
        <v>40</v>
      </c>
      <c r="H201" s="15"/>
      <c r="I201" s="15"/>
      <c r="J201" s="15"/>
      <c r="K201" s="15"/>
      <c r="L201">
        <v>3</v>
      </c>
      <c r="M201" s="14" t="s">
        <v>115</v>
      </c>
      <c r="N201" s="21">
        <v>29656</v>
      </c>
      <c r="O201" s="21">
        <v>405</v>
      </c>
      <c r="P201" s="35">
        <v>0.67249999999999999</v>
      </c>
      <c r="Q201" s="35">
        <v>0.53913043478260869</v>
      </c>
      <c r="R201" s="35">
        <v>0.65313653136531369</v>
      </c>
      <c r="S201" s="35">
        <v>0.53926701570680624</v>
      </c>
      <c r="T201" s="35">
        <v>0.61176470588235299</v>
      </c>
      <c r="U201" s="35">
        <v>0.67845659163987138</v>
      </c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>
        <f t="shared" si="9"/>
        <v>0.61570921322949212</v>
      </c>
      <c r="AG201" s="25">
        <f t="shared" si="10"/>
        <v>6.3696953005547188E-2</v>
      </c>
      <c r="AH201" s="26">
        <f t="shared" si="11"/>
        <v>6</v>
      </c>
    </row>
    <row r="202" spans="1:34" x14ac:dyDescent="0.25">
      <c r="A202" s="15">
        <v>25195</v>
      </c>
      <c r="B202" s="15">
        <v>486</v>
      </c>
      <c r="C202" s="15">
        <v>2</v>
      </c>
      <c r="D202" s="17" t="s">
        <v>6</v>
      </c>
      <c r="E202" s="15" t="s">
        <v>3</v>
      </c>
      <c r="F202" s="17" t="s">
        <v>82</v>
      </c>
      <c r="G202" s="15" t="s">
        <v>77</v>
      </c>
      <c r="H202" s="15"/>
      <c r="I202" s="15"/>
      <c r="J202" s="15"/>
      <c r="K202" s="15"/>
      <c r="L202">
        <v>3</v>
      </c>
      <c r="M202" s="14" t="s">
        <v>114</v>
      </c>
      <c r="N202" s="21">
        <v>25195</v>
      </c>
      <c r="O202" s="21">
        <v>486</v>
      </c>
      <c r="P202" s="36">
        <v>0.51136363636363635</v>
      </c>
      <c r="Q202" s="36">
        <v>0.50420168067226889</v>
      </c>
      <c r="R202" s="37">
        <v>0.52727272727272734</v>
      </c>
      <c r="S202" s="37">
        <v>0.53082191780821919</v>
      </c>
      <c r="T202" s="37">
        <v>0.56849315068493156</v>
      </c>
      <c r="U202" s="37">
        <v>0.52898550724637683</v>
      </c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>
        <f t="shared" si="9"/>
        <v>0.5285231033413601</v>
      </c>
      <c r="AG202" s="25">
        <f t="shared" si="10"/>
        <v>2.2318805514153054E-2</v>
      </c>
      <c r="AH202" s="26">
        <f t="shared" si="11"/>
        <v>6</v>
      </c>
    </row>
    <row r="203" spans="1:34" ht="15.75" x14ac:dyDescent="0.25">
      <c r="A203" s="15">
        <v>55030</v>
      </c>
      <c r="B203" s="15">
        <v>627</v>
      </c>
      <c r="C203" s="15">
        <v>3</v>
      </c>
      <c r="D203" s="17" t="s">
        <v>27</v>
      </c>
      <c r="E203" s="15" t="s">
        <v>77</v>
      </c>
      <c r="F203" s="17" t="s">
        <v>23</v>
      </c>
      <c r="G203" s="15" t="s">
        <v>21</v>
      </c>
      <c r="H203" s="17" t="s">
        <v>34</v>
      </c>
      <c r="I203" s="15" t="s">
        <v>3</v>
      </c>
      <c r="J203" s="15"/>
      <c r="K203" s="15"/>
      <c r="L203">
        <v>3</v>
      </c>
      <c r="M203" s="14" t="s">
        <v>117</v>
      </c>
      <c r="N203" s="21">
        <v>55030</v>
      </c>
      <c r="O203" s="21">
        <v>627</v>
      </c>
      <c r="P203" s="38">
        <f>87/135</f>
        <v>0.64444444444444449</v>
      </c>
      <c r="Q203" s="38">
        <f>170/242</f>
        <v>0.7024793388429752</v>
      </c>
      <c r="R203" s="38">
        <f>248/349</f>
        <v>0.71060171919770776</v>
      </c>
      <c r="S203" s="38">
        <f>269/392</f>
        <v>0.68622448979591832</v>
      </c>
      <c r="T203" s="38">
        <f>172/296</f>
        <v>0.58108108108108103</v>
      </c>
      <c r="U203" s="36">
        <f>143/(143+96)</f>
        <v>0.59832635983263593</v>
      </c>
      <c r="V203" s="36">
        <f>132/(132+130)</f>
        <v>0.50381679389312972</v>
      </c>
      <c r="W203" s="36">
        <f>118/(118+96)</f>
        <v>0.55140186915887845</v>
      </c>
      <c r="Y203" s="26"/>
      <c r="Z203" s="26"/>
      <c r="AA203" s="26"/>
      <c r="AB203" s="26"/>
      <c r="AC203" s="26"/>
      <c r="AD203" s="25"/>
      <c r="AE203" s="25"/>
      <c r="AF203" s="25">
        <f t="shared" si="9"/>
        <v>0.62229701203084631</v>
      </c>
      <c r="AG203" s="25">
        <f t="shared" si="10"/>
        <v>7.5726185809148902E-2</v>
      </c>
      <c r="AH203" s="26">
        <f t="shared" si="11"/>
        <v>8</v>
      </c>
    </row>
    <row r="204" spans="1:34" x14ac:dyDescent="0.25">
      <c r="A204" s="15">
        <v>28221</v>
      </c>
      <c r="B204" s="15">
        <v>727</v>
      </c>
      <c r="C204" s="15">
        <v>3</v>
      </c>
      <c r="D204" s="17" t="s">
        <v>85</v>
      </c>
      <c r="E204" s="15" t="s">
        <v>40</v>
      </c>
      <c r="F204" s="17" t="s">
        <v>86</v>
      </c>
      <c r="G204" s="15" t="s">
        <v>77</v>
      </c>
      <c r="H204" s="15"/>
      <c r="I204" s="15"/>
      <c r="J204" s="15"/>
      <c r="K204" s="15"/>
      <c r="L204">
        <v>3</v>
      </c>
      <c r="M204" s="14" t="s">
        <v>110</v>
      </c>
      <c r="N204" s="23">
        <v>28221</v>
      </c>
      <c r="O204" s="23">
        <v>727</v>
      </c>
      <c r="P204" s="36">
        <f>73/(73+49)</f>
        <v>0.59836065573770492</v>
      </c>
      <c r="Q204" s="36">
        <f>88/(88+36)</f>
        <v>0.70967741935483875</v>
      </c>
      <c r="R204" s="36">
        <f>53/(53+21)</f>
        <v>0.71621621621621623</v>
      </c>
      <c r="S204" s="36">
        <f>139/(139+68)</f>
        <v>0.67149758454106279</v>
      </c>
      <c r="T204" s="36">
        <f>99/(99+63)</f>
        <v>0.61111111111111116</v>
      </c>
      <c r="U204" s="36">
        <f>81/(81+45)</f>
        <v>0.6428571428571429</v>
      </c>
      <c r="V204" s="36">
        <f>68/(68+39)</f>
        <v>0.63551401869158874</v>
      </c>
      <c r="W204" s="36">
        <f>119/(119+58)</f>
        <v>0.67231638418079098</v>
      </c>
      <c r="X204" s="24"/>
      <c r="Y204" s="24"/>
      <c r="Z204" s="24"/>
      <c r="AA204" s="24"/>
      <c r="AB204" s="24"/>
      <c r="AC204" s="24"/>
      <c r="AD204" s="24"/>
      <c r="AE204" s="24"/>
      <c r="AF204" s="24">
        <f t="shared" si="9"/>
        <v>0.65719381658630693</v>
      </c>
      <c r="AG204" s="24">
        <f t="shared" si="10"/>
        <v>4.2981677916649953E-2</v>
      </c>
      <c r="AH204" s="24">
        <f t="shared" si="11"/>
        <v>8</v>
      </c>
    </row>
    <row r="206" spans="1:34" x14ac:dyDescent="0.25">
      <c r="P206" s="34"/>
      <c r="Q206" s="34"/>
      <c r="R206" s="34"/>
      <c r="S206" s="34"/>
      <c r="T206" s="34"/>
      <c r="U206" s="34"/>
      <c r="V206" s="34"/>
      <c r="W206" s="34"/>
    </row>
    <row r="216" spans="12:12" x14ac:dyDescent="0.25">
      <c r="L216" s="41"/>
    </row>
  </sheetData>
  <sortState ref="A2:AH204">
    <sortCondition ref="L2:L204"/>
    <sortCondition ref="B2:B204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6"/>
  <sheetViews>
    <sheetView tabSelected="1" workbookViewId="0">
      <selection sqref="A1:U1048576"/>
    </sheetView>
  </sheetViews>
  <sheetFormatPr defaultRowHeight="15" x14ac:dyDescent="0.25"/>
  <cols>
    <col min="1" max="21" width="9.140625" style="14"/>
  </cols>
  <sheetData>
    <row r="1" spans="1:21" ht="30" x14ac:dyDescent="0.25">
      <c r="A1" s="21" t="s">
        <v>89</v>
      </c>
      <c r="B1" s="21" t="s">
        <v>90</v>
      </c>
      <c r="C1" s="22" t="s">
        <v>91</v>
      </c>
      <c r="D1" s="22" t="s">
        <v>92</v>
      </c>
      <c r="E1" s="22" t="s">
        <v>93</v>
      </c>
      <c r="F1" s="22" t="s">
        <v>94</v>
      </c>
      <c r="G1" s="22" t="s">
        <v>95</v>
      </c>
      <c r="H1" s="22" t="s">
        <v>96</v>
      </c>
      <c r="I1" s="22" t="s">
        <v>97</v>
      </c>
      <c r="J1" s="22" t="s">
        <v>98</v>
      </c>
      <c r="K1" s="22" t="s">
        <v>99</v>
      </c>
      <c r="L1" s="22" t="s">
        <v>100</v>
      </c>
      <c r="M1" s="22" t="s">
        <v>101</v>
      </c>
      <c r="N1" s="22" t="s">
        <v>102</v>
      </c>
      <c r="O1" s="22" t="s">
        <v>103</v>
      </c>
      <c r="P1" s="22" t="s">
        <v>104</v>
      </c>
      <c r="Q1" s="22" t="s">
        <v>105</v>
      </c>
      <c r="R1" s="22" t="s">
        <v>106</v>
      </c>
      <c r="S1" s="22" t="s">
        <v>107</v>
      </c>
      <c r="T1" s="22" t="s">
        <v>108</v>
      </c>
      <c r="U1" s="22" t="s">
        <v>109</v>
      </c>
    </row>
    <row r="2" spans="1:21" x14ac:dyDescent="0.25">
      <c r="A2" s="21">
        <v>28123</v>
      </c>
      <c r="B2" s="21">
        <v>26</v>
      </c>
      <c r="C2" s="25">
        <v>0.58536585365853655</v>
      </c>
      <c r="D2" s="25">
        <v>0.5934959349593496</v>
      </c>
      <c r="E2" s="25">
        <v>0.7098445595854922</v>
      </c>
      <c r="F2" s="25">
        <v>0.64830508474576276</v>
      </c>
      <c r="G2" s="25">
        <v>0.5714285714285714</v>
      </c>
      <c r="H2" s="25">
        <v>0.67727272727272725</v>
      </c>
      <c r="I2" s="25">
        <v>0.61267605633802813</v>
      </c>
      <c r="J2" s="25"/>
      <c r="K2" s="25"/>
      <c r="L2" s="25"/>
      <c r="M2" s="25"/>
      <c r="N2" s="25"/>
      <c r="O2" s="25"/>
      <c r="P2" s="25"/>
      <c r="Q2" s="25"/>
      <c r="R2" s="25"/>
      <c r="S2" s="25">
        <f t="shared" ref="S2:S65" si="0">AVERAGE(C2:R2)</f>
        <v>0.62834125542692398</v>
      </c>
      <c r="T2" s="25">
        <f t="shared" ref="T2:T65" si="1">STDEV(C2:R2)</f>
        <v>5.1609375092880501E-2</v>
      </c>
      <c r="U2" s="26">
        <f t="shared" ref="U2:U65" si="2">COUNT(C2:R2)</f>
        <v>7</v>
      </c>
    </row>
    <row r="3" spans="1:21" x14ac:dyDescent="0.25">
      <c r="A3" s="21">
        <v>28124</v>
      </c>
      <c r="B3" s="21">
        <v>28</v>
      </c>
      <c r="C3" s="25">
        <v>0.42</v>
      </c>
      <c r="D3" s="25">
        <v>0.46046511627906977</v>
      </c>
      <c r="E3" s="25">
        <v>0.55214723926380371</v>
      </c>
      <c r="F3" s="25">
        <v>0.5161290322580645</v>
      </c>
      <c r="G3" s="25">
        <v>0.47804878048780491</v>
      </c>
      <c r="H3" s="25">
        <v>0.54135338345864659</v>
      </c>
      <c r="I3" s="25"/>
      <c r="J3" s="25"/>
      <c r="K3" s="25"/>
      <c r="L3" s="25"/>
      <c r="M3" s="25"/>
      <c r="N3" s="25"/>
      <c r="O3" s="25"/>
      <c r="P3" s="25"/>
      <c r="Q3" s="25"/>
      <c r="R3" s="25"/>
      <c r="S3" s="25">
        <f t="shared" si="0"/>
        <v>0.49469059195789827</v>
      </c>
      <c r="T3" s="25">
        <f t="shared" si="1"/>
        <v>5.0922110628391637E-2</v>
      </c>
      <c r="U3" s="26">
        <f t="shared" si="2"/>
        <v>6</v>
      </c>
    </row>
    <row r="4" spans="1:21" x14ac:dyDescent="0.25">
      <c r="A4" s="21">
        <v>55014</v>
      </c>
      <c r="B4" s="21">
        <v>31</v>
      </c>
      <c r="C4" s="25">
        <f>164/(164+94)</f>
        <v>0.63565891472868219</v>
      </c>
      <c r="D4" s="25">
        <f>(109)/(109+94)</f>
        <v>0.53694581280788178</v>
      </c>
      <c r="E4" s="25">
        <f>127/(127+53)</f>
        <v>0.7055555555555556</v>
      </c>
      <c r="F4" s="25">
        <f>142/(142+66)</f>
        <v>0.68269230769230771</v>
      </c>
      <c r="G4" s="25">
        <f>122/(122+104)</f>
        <v>0.53982300884955747</v>
      </c>
      <c r="H4" s="25">
        <f>123/(123+63)</f>
        <v>0.66129032258064513</v>
      </c>
      <c r="I4" s="25">
        <f>166/(166+53)</f>
        <v>0.75799086757990863</v>
      </c>
      <c r="J4" s="25"/>
      <c r="K4" s="25"/>
      <c r="L4" s="25"/>
      <c r="M4" s="25"/>
      <c r="N4" s="25"/>
      <c r="O4" s="25"/>
      <c r="P4" s="25"/>
      <c r="Q4" s="25"/>
      <c r="R4" s="25"/>
      <c r="S4" s="25">
        <f t="shared" si="0"/>
        <v>0.64570811282779128</v>
      </c>
      <c r="T4" s="25">
        <f t="shared" si="1"/>
        <v>8.2605133899042144E-2</v>
      </c>
      <c r="U4" s="26">
        <f t="shared" si="2"/>
        <v>7</v>
      </c>
    </row>
    <row r="5" spans="1:21" x14ac:dyDescent="0.25">
      <c r="A5" s="29">
        <v>28125</v>
      </c>
      <c r="B5" s="29">
        <v>38</v>
      </c>
      <c r="C5" s="26">
        <f>69/(69+33)</f>
        <v>0.67647058823529416</v>
      </c>
      <c r="D5" s="26">
        <f>141/(141+57)</f>
        <v>0.71212121212121215</v>
      </c>
      <c r="E5" s="26">
        <f>132/(132+58)</f>
        <v>0.69473684210526321</v>
      </c>
      <c r="F5" s="26">
        <f>70/(70+42)</f>
        <v>0.625</v>
      </c>
      <c r="G5" s="26">
        <f>64/(64+44)</f>
        <v>0.59259259259259256</v>
      </c>
      <c r="H5" s="26">
        <f>50/75</f>
        <v>0.66666666666666663</v>
      </c>
      <c r="I5" s="26"/>
      <c r="J5" s="26"/>
      <c r="K5" s="26"/>
      <c r="L5" s="26"/>
      <c r="M5" s="26"/>
      <c r="N5" s="26"/>
      <c r="O5" s="26"/>
      <c r="P5" s="26"/>
      <c r="Q5" s="26"/>
      <c r="R5" s="26"/>
      <c r="S5" s="25">
        <f t="shared" si="0"/>
        <v>0.66126465028683812</v>
      </c>
      <c r="T5" s="25">
        <f t="shared" si="1"/>
        <v>4.4717236508960707E-2</v>
      </c>
      <c r="U5" s="26">
        <f t="shared" si="2"/>
        <v>6</v>
      </c>
    </row>
    <row r="6" spans="1:21" x14ac:dyDescent="0.25">
      <c r="A6" s="29">
        <v>28126</v>
      </c>
      <c r="B6" s="29">
        <v>41</v>
      </c>
      <c r="C6" s="26">
        <v>0.71212121210000001</v>
      </c>
      <c r="D6" s="26">
        <v>0.67415730340000002</v>
      </c>
      <c r="E6" s="26">
        <v>0.6888888889</v>
      </c>
      <c r="F6" s="26">
        <v>0.71849865950000003</v>
      </c>
      <c r="G6" s="26">
        <v>0.69961977190000002</v>
      </c>
      <c r="H6" s="26">
        <v>0.65582655830000003</v>
      </c>
      <c r="I6" s="26">
        <v>0.64766839379999996</v>
      </c>
      <c r="J6" s="26"/>
      <c r="K6" s="26"/>
      <c r="L6" s="26"/>
      <c r="M6" s="26"/>
      <c r="N6" s="26"/>
      <c r="O6" s="26"/>
      <c r="P6" s="26"/>
      <c r="Q6" s="26"/>
      <c r="R6" s="26"/>
      <c r="S6" s="25">
        <f t="shared" si="0"/>
        <v>0.68525439827142864</v>
      </c>
      <c r="T6" s="25">
        <f t="shared" si="1"/>
        <v>2.7228756501310614E-2</v>
      </c>
      <c r="U6" s="26">
        <f t="shared" si="2"/>
        <v>7</v>
      </c>
    </row>
    <row r="7" spans="1:21" x14ac:dyDescent="0.25">
      <c r="A7" s="29">
        <v>28127</v>
      </c>
      <c r="B7" s="29">
        <v>42</v>
      </c>
      <c r="C7" s="26">
        <f>84/209</f>
        <v>0.40191387559808611</v>
      </c>
      <c r="D7" s="26">
        <f>150/348</f>
        <v>0.43103448275862066</v>
      </c>
      <c r="E7" s="26">
        <f>136/278</f>
        <v>0.48920863309352519</v>
      </c>
      <c r="F7" s="26">
        <f>36/90</f>
        <v>0.4</v>
      </c>
      <c r="G7" s="26">
        <f>57/120</f>
        <v>0.47499999999999998</v>
      </c>
      <c r="H7" s="26">
        <f>83/154</f>
        <v>0.53896103896103897</v>
      </c>
      <c r="I7" s="26">
        <f>36/89</f>
        <v>0.4044943820224719</v>
      </c>
      <c r="J7" s="26">
        <f>24/56</f>
        <v>0.42857142857142855</v>
      </c>
      <c r="K7" s="26"/>
      <c r="L7" s="26"/>
      <c r="M7" s="26"/>
      <c r="N7" s="26"/>
      <c r="O7" s="26"/>
      <c r="P7" s="26"/>
      <c r="Q7" s="26"/>
      <c r="R7" s="26"/>
      <c r="S7" s="25">
        <f t="shared" si="0"/>
        <v>0.44614798012564644</v>
      </c>
      <c r="T7" s="25">
        <f t="shared" si="1"/>
        <v>5.0227468367711449E-2</v>
      </c>
      <c r="U7" s="26">
        <f t="shared" si="2"/>
        <v>8</v>
      </c>
    </row>
    <row r="8" spans="1:21" x14ac:dyDescent="0.25">
      <c r="A8" s="21">
        <v>28128</v>
      </c>
      <c r="B8" s="21">
        <v>45</v>
      </c>
      <c r="C8" s="25">
        <v>0.5787234042553191</v>
      </c>
      <c r="D8" s="25">
        <v>0.45705521472392641</v>
      </c>
      <c r="E8" s="25">
        <v>0.54121863799283154</v>
      </c>
      <c r="F8" s="25">
        <v>0.47349823321554768</v>
      </c>
      <c r="G8" s="25">
        <v>0.52906976744186052</v>
      </c>
      <c r="H8" s="25">
        <v>0.50602409638554213</v>
      </c>
      <c r="I8" s="25">
        <v>0.46402877697841732</v>
      </c>
      <c r="J8" s="25"/>
      <c r="K8" s="25"/>
      <c r="L8" s="25"/>
      <c r="M8" s="25"/>
      <c r="N8" s="25"/>
      <c r="O8" s="25"/>
      <c r="P8" s="25"/>
      <c r="Q8" s="25"/>
      <c r="R8" s="25"/>
      <c r="S8" s="25">
        <f t="shared" si="0"/>
        <v>0.50708830442763497</v>
      </c>
      <c r="T8" s="25">
        <f t="shared" si="1"/>
        <v>4.5215245041687072E-2</v>
      </c>
      <c r="U8" s="26">
        <f t="shared" si="2"/>
        <v>7</v>
      </c>
    </row>
    <row r="9" spans="1:21" x14ac:dyDescent="0.25">
      <c r="A9" s="21">
        <v>55016</v>
      </c>
      <c r="B9" s="21">
        <v>48</v>
      </c>
      <c r="C9" s="25">
        <v>0.56439393940000004</v>
      </c>
      <c r="D9" s="25">
        <v>0.56923076920000004</v>
      </c>
      <c r="E9" s="25">
        <v>0.65986394559999995</v>
      </c>
      <c r="F9" s="25">
        <f>144/(144+55)</f>
        <v>0.72361809045226133</v>
      </c>
      <c r="G9" s="25">
        <f>81/(81+73)</f>
        <v>0.52597402597402598</v>
      </c>
      <c r="H9" s="25">
        <f>92/(101+92)</f>
        <v>0.47668393782383417</v>
      </c>
      <c r="I9" s="25">
        <v>0.51702786379999999</v>
      </c>
      <c r="J9" s="25">
        <v>0.52610441770000005</v>
      </c>
      <c r="K9" s="25"/>
      <c r="L9" s="25"/>
      <c r="M9" s="25"/>
      <c r="N9" s="25"/>
      <c r="O9" s="25"/>
      <c r="P9" s="25"/>
      <c r="Q9" s="25"/>
      <c r="R9" s="25"/>
      <c r="S9" s="25">
        <f t="shared" si="0"/>
        <v>0.57036212374376527</v>
      </c>
      <c r="T9" s="25">
        <f t="shared" si="1"/>
        <v>8.2013988531291521E-2</v>
      </c>
      <c r="U9" s="26">
        <f t="shared" si="2"/>
        <v>8</v>
      </c>
    </row>
    <row r="10" spans="1:21" x14ac:dyDescent="0.25">
      <c r="A10" s="21">
        <v>29652</v>
      </c>
      <c r="B10" s="21">
        <v>57</v>
      </c>
      <c r="C10" s="25">
        <f>(55/(85+55))</f>
        <v>0.39285714285714285</v>
      </c>
      <c r="D10" s="25">
        <f>127/(108+127)</f>
        <v>0.54042553191489362</v>
      </c>
      <c r="E10" s="25">
        <f>65/(89+65)</f>
        <v>0.42207792207792205</v>
      </c>
      <c r="F10" s="25">
        <f>35/(57+35)</f>
        <v>0.38043478260869568</v>
      </c>
      <c r="G10" s="25">
        <f>55/(55+79)</f>
        <v>0.41044776119402987</v>
      </c>
      <c r="H10" s="25">
        <f>115/(115+168)</f>
        <v>0.40636042402826855</v>
      </c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>
        <f t="shared" si="0"/>
        <v>0.42543392744682551</v>
      </c>
      <c r="T10" s="25">
        <f t="shared" si="1"/>
        <v>5.8153048952149955E-2</v>
      </c>
      <c r="U10" s="26">
        <f t="shared" si="2"/>
        <v>6</v>
      </c>
    </row>
    <row r="11" spans="1:21" x14ac:dyDescent="0.25">
      <c r="A11" s="21">
        <v>28129</v>
      </c>
      <c r="B11" s="21">
        <v>59</v>
      </c>
      <c r="C11" s="25">
        <v>0.59595959600000004</v>
      </c>
      <c r="D11" s="25">
        <v>0.57142857140000003</v>
      </c>
      <c r="E11" s="25">
        <v>0.65909090910000001</v>
      </c>
      <c r="F11" s="25">
        <v>0.55639097739999999</v>
      </c>
      <c r="G11" s="25">
        <v>0.62539682539999997</v>
      </c>
      <c r="H11" s="25">
        <v>0.56378600820000002</v>
      </c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>
        <f t="shared" si="0"/>
        <v>0.59534214791666662</v>
      </c>
      <c r="T11" s="25">
        <f t="shared" si="1"/>
        <v>4.0130816621213081E-2</v>
      </c>
      <c r="U11" s="26">
        <f t="shared" si="2"/>
        <v>6</v>
      </c>
    </row>
    <row r="12" spans="1:21" x14ac:dyDescent="0.25">
      <c r="A12" s="21">
        <v>28130</v>
      </c>
      <c r="B12" s="21">
        <v>69</v>
      </c>
      <c r="C12" s="25">
        <f>230/(230+98)</f>
        <v>0.70121951219512191</v>
      </c>
      <c r="D12" s="25">
        <f>169/(169+147)</f>
        <v>0.53481012658227844</v>
      </c>
      <c r="E12" s="25">
        <f>200/297</f>
        <v>0.67340067340067344</v>
      </c>
      <c r="F12" s="25">
        <f>144/(144+102)</f>
        <v>0.58536585365853655</v>
      </c>
      <c r="G12" s="25">
        <f>209/(209+93)</f>
        <v>0.69205298013245031</v>
      </c>
      <c r="H12" s="25">
        <f>230/(230+124)</f>
        <v>0.64971751412429379</v>
      </c>
      <c r="I12" s="25">
        <f>240/(240+103)</f>
        <v>0.69970845481049559</v>
      </c>
      <c r="J12" s="25"/>
      <c r="K12" s="25"/>
      <c r="L12" s="25"/>
      <c r="M12" s="25"/>
      <c r="N12" s="25"/>
      <c r="O12" s="25"/>
      <c r="P12" s="25"/>
      <c r="Q12" s="25"/>
      <c r="R12" s="25"/>
      <c r="S12" s="25">
        <f t="shared" si="0"/>
        <v>0.64803930212912142</v>
      </c>
      <c r="T12" s="25">
        <f t="shared" si="1"/>
        <v>6.432970130422247E-2</v>
      </c>
      <c r="U12" s="26">
        <f t="shared" si="2"/>
        <v>7</v>
      </c>
    </row>
    <row r="13" spans="1:21" x14ac:dyDescent="0.25">
      <c r="A13" s="21">
        <v>28131</v>
      </c>
      <c r="B13" s="21">
        <v>73</v>
      </c>
      <c r="C13" s="25">
        <v>0.59485530546623799</v>
      </c>
      <c r="D13" s="25">
        <v>0.67886178861788615</v>
      </c>
      <c r="E13" s="25">
        <v>0.61694915254237293</v>
      </c>
      <c r="F13" s="25">
        <v>0.65292096219931273</v>
      </c>
      <c r="G13" s="25">
        <v>0.62068965517241381</v>
      </c>
      <c r="H13" s="25">
        <v>0.68235294117647061</v>
      </c>
      <c r="I13" s="25">
        <v>0.65937500000000004</v>
      </c>
      <c r="J13" s="25">
        <v>0.49640287769784175</v>
      </c>
      <c r="K13" s="25"/>
      <c r="L13" s="25"/>
      <c r="M13" s="25"/>
      <c r="N13" s="25"/>
      <c r="O13" s="25"/>
      <c r="P13" s="25"/>
      <c r="Q13" s="25"/>
      <c r="R13" s="25"/>
      <c r="S13" s="25">
        <f t="shared" si="0"/>
        <v>0.6253009603590669</v>
      </c>
      <c r="T13" s="25">
        <f t="shared" si="1"/>
        <v>6.056904674241257E-2</v>
      </c>
      <c r="U13" s="26">
        <f t="shared" si="2"/>
        <v>8</v>
      </c>
    </row>
    <row r="14" spans="1:21" x14ac:dyDescent="0.25">
      <c r="A14" s="21">
        <v>28132</v>
      </c>
      <c r="B14" s="21">
        <v>75</v>
      </c>
      <c r="C14" s="25">
        <f>55/(150+55)</f>
        <v>0.26829268292682928</v>
      </c>
      <c r="D14" s="25">
        <f>118/(118+82)</f>
        <v>0.59</v>
      </c>
      <c r="E14" s="25">
        <f>100/(180)</f>
        <v>0.55555555555555558</v>
      </c>
      <c r="F14" s="25">
        <f>81/(81+57)</f>
        <v>0.58695652173913049</v>
      </c>
      <c r="G14" s="25">
        <f>77/(77+88)</f>
        <v>0.46666666666666667</v>
      </c>
      <c r="H14" s="25">
        <f>83/(118+83)</f>
        <v>0.41293532338308458</v>
      </c>
      <c r="I14" s="25">
        <f>145/(145+87)</f>
        <v>0.625</v>
      </c>
      <c r="J14" s="25"/>
      <c r="K14" s="25"/>
      <c r="L14" s="25"/>
      <c r="M14" s="25"/>
      <c r="N14" s="25"/>
      <c r="O14" s="25"/>
      <c r="P14" s="25"/>
      <c r="Q14" s="25"/>
      <c r="R14" s="25"/>
      <c r="S14" s="25">
        <f t="shared" si="0"/>
        <v>0.50077239289589515</v>
      </c>
      <c r="T14" s="25">
        <f t="shared" si="1"/>
        <v>0.12698315511733649</v>
      </c>
      <c r="U14" s="26">
        <f t="shared" si="2"/>
        <v>7</v>
      </c>
    </row>
    <row r="15" spans="1:21" x14ac:dyDescent="0.25">
      <c r="A15" s="21">
        <v>28134</v>
      </c>
      <c r="B15" s="21">
        <v>83</v>
      </c>
      <c r="C15" s="25">
        <v>0.48717948717948723</v>
      </c>
      <c r="D15" s="25">
        <v>0.57553956834532372</v>
      </c>
      <c r="E15" s="25">
        <v>0.47151898734177222</v>
      </c>
      <c r="F15" s="25">
        <v>0.52479338842975209</v>
      </c>
      <c r="G15" s="25">
        <v>0.45081967213114749</v>
      </c>
      <c r="H15" s="25">
        <f>102/201</f>
        <v>0.5074626865671642</v>
      </c>
      <c r="I15" s="25">
        <f>148/291</f>
        <v>0.50859106529209619</v>
      </c>
      <c r="J15" s="25"/>
      <c r="K15" s="25"/>
      <c r="L15" s="25"/>
      <c r="M15" s="25"/>
      <c r="N15" s="25"/>
      <c r="O15" s="25"/>
      <c r="P15" s="25"/>
      <c r="Q15" s="25"/>
      <c r="R15" s="25"/>
      <c r="S15" s="25">
        <f t="shared" si="0"/>
        <v>0.50370069361239189</v>
      </c>
      <c r="T15" s="25">
        <f t="shared" si="1"/>
        <v>4.0308826446773208E-2</v>
      </c>
      <c r="U15" s="26">
        <f t="shared" si="2"/>
        <v>7</v>
      </c>
    </row>
    <row r="16" spans="1:21" x14ac:dyDescent="0.25">
      <c r="A16" s="21">
        <v>28274</v>
      </c>
      <c r="B16" s="21">
        <v>85</v>
      </c>
      <c r="C16" s="25">
        <v>0.70048309178743962</v>
      </c>
      <c r="D16" s="25">
        <v>0.76855895196506552</v>
      </c>
      <c r="E16" s="25">
        <v>0.73333333333333328</v>
      </c>
      <c r="F16" s="25">
        <v>0.73958333333333337</v>
      </c>
      <c r="G16" s="25">
        <v>0.69506726457399104</v>
      </c>
      <c r="H16" s="25">
        <v>0.72670807453416153</v>
      </c>
      <c r="I16" s="25">
        <v>0.72868217054263562</v>
      </c>
      <c r="J16" s="25">
        <v>0.67027027027027031</v>
      </c>
      <c r="K16" s="25">
        <v>0.70204081632653059</v>
      </c>
      <c r="L16" s="25">
        <v>0.63090128755364805</v>
      </c>
      <c r="M16" s="25">
        <v>0.7814569536423841</v>
      </c>
      <c r="N16" s="25">
        <v>0.7752808988764045</v>
      </c>
      <c r="O16" s="25">
        <v>0.6899696048632219</v>
      </c>
      <c r="P16" s="25">
        <v>0.7168141592920354</v>
      </c>
      <c r="Q16" s="25">
        <v>0.74904942965779464</v>
      </c>
      <c r="R16" s="25"/>
      <c r="S16" s="25">
        <f t="shared" si="0"/>
        <v>0.72054664270348334</v>
      </c>
      <c r="T16" s="25">
        <f t="shared" si="1"/>
        <v>4.0848711275964941E-2</v>
      </c>
      <c r="U16" s="26">
        <f t="shared" si="2"/>
        <v>15</v>
      </c>
    </row>
    <row r="17" spans="1:21" x14ac:dyDescent="0.25">
      <c r="A17" s="29">
        <v>28135</v>
      </c>
      <c r="B17" s="29">
        <v>88</v>
      </c>
      <c r="C17" s="26">
        <f>170/292</f>
        <v>0.5821917808219178</v>
      </c>
      <c r="D17" s="26">
        <f>161/260</f>
        <v>0.61923076923076925</v>
      </c>
      <c r="E17" s="26">
        <f>32/60</f>
        <v>0.53333333333333333</v>
      </c>
      <c r="F17" s="26">
        <f>164/254</f>
        <v>0.64566929133858264</v>
      </c>
      <c r="G17" s="26">
        <f>48/72</f>
        <v>0.66666666666666663</v>
      </c>
      <c r="H17" s="26">
        <f>84/145</f>
        <v>0.57931034482758625</v>
      </c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5">
        <f t="shared" si="0"/>
        <v>0.60440036436980915</v>
      </c>
      <c r="T17" s="25">
        <f t="shared" si="1"/>
        <v>4.8935489795014421E-2</v>
      </c>
      <c r="U17" s="26">
        <f t="shared" si="2"/>
        <v>6</v>
      </c>
    </row>
    <row r="18" spans="1:21" x14ac:dyDescent="0.25">
      <c r="A18" s="21">
        <v>28136</v>
      </c>
      <c r="B18" s="21">
        <v>91</v>
      </c>
      <c r="C18" s="25">
        <v>0.5401785714285714</v>
      </c>
      <c r="D18" s="25">
        <v>0.45955882352941174</v>
      </c>
      <c r="E18" s="25">
        <v>0.5286624203821656</v>
      </c>
      <c r="F18" s="25">
        <v>0.47079037800687284</v>
      </c>
      <c r="G18" s="25">
        <v>0.54109589041095896</v>
      </c>
      <c r="H18" s="25">
        <v>0.52188552188552184</v>
      </c>
      <c r="I18" s="25">
        <v>0.53456221198156684</v>
      </c>
      <c r="J18" s="25"/>
      <c r="K18" s="25"/>
      <c r="L18" s="25"/>
      <c r="M18" s="25"/>
      <c r="N18" s="25"/>
      <c r="O18" s="25"/>
      <c r="P18" s="25"/>
      <c r="Q18" s="25"/>
      <c r="R18" s="25"/>
      <c r="S18" s="25">
        <f t="shared" si="0"/>
        <v>0.51381911680358139</v>
      </c>
      <c r="T18" s="25">
        <f t="shared" si="1"/>
        <v>3.403469201864532E-2</v>
      </c>
      <c r="U18" s="26">
        <f t="shared" si="2"/>
        <v>7</v>
      </c>
    </row>
    <row r="19" spans="1:21" x14ac:dyDescent="0.25">
      <c r="A19" s="21">
        <v>28137</v>
      </c>
      <c r="B19" s="21">
        <v>93</v>
      </c>
      <c r="C19" s="25">
        <v>0.48358208899999999</v>
      </c>
      <c r="D19" s="25">
        <v>0.42528735600000001</v>
      </c>
      <c r="E19" s="25">
        <v>0.46875</v>
      </c>
      <c r="F19" s="26">
        <f>153/(153+112)</f>
        <v>0.57735849056603772</v>
      </c>
      <c r="G19" s="26">
        <f>134/(111+134)</f>
        <v>0.54693877551020409</v>
      </c>
      <c r="H19" s="26">
        <f>116/(116+45)</f>
        <v>0.72049689440993792</v>
      </c>
      <c r="I19" s="26">
        <f>205/(205+136)</f>
        <v>0.60117302052785926</v>
      </c>
      <c r="J19" s="26">
        <f>177/(177+93)</f>
        <v>0.65555555555555556</v>
      </c>
      <c r="K19" s="26">
        <f>129/(129+107)</f>
        <v>0.54661016949152541</v>
      </c>
      <c r="L19" s="25"/>
      <c r="M19" s="25"/>
      <c r="N19" s="25"/>
      <c r="O19" s="25"/>
      <c r="P19" s="25"/>
      <c r="Q19" s="25"/>
      <c r="R19" s="25"/>
      <c r="S19" s="25">
        <f t="shared" si="0"/>
        <v>0.55841692789567998</v>
      </c>
      <c r="T19" s="25">
        <f t="shared" si="1"/>
        <v>9.3225356189042222E-2</v>
      </c>
      <c r="U19" s="26">
        <f t="shared" si="2"/>
        <v>9</v>
      </c>
    </row>
    <row r="20" spans="1:21" x14ac:dyDescent="0.25">
      <c r="A20" s="21">
        <v>55017</v>
      </c>
      <c r="B20" s="21">
        <v>100</v>
      </c>
      <c r="C20" s="25">
        <v>0.60924369747899154</v>
      </c>
      <c r="D20" s="25">
        <v>0.59340659340659341</v>
      </c>
      <c r="E20" s="25">
        <v>0.69607843137254899</v>
      </c>
      <c r="F20" s="25">
        <v>0.6</v>
      </c>
      <c r="G20" s="25">
        <v>0.62995594713656389</v>
      </c>
      <c r="H20" s="25">
        <v>0.63522012578616349</v>
      </c>
      <c r="I20" s="25">
        <v>0.60162601626016265</v>
      </c>
      <c r="J20" s="25">
        <v>0.5957446808510638</v>
      </c>
      <c r="K20" s="25"/>
      <c r="L20" s="25"/>
      <c r="M20" s="25"/>
      <c r="N20" s="25"/>
      <c r="O20" s="25"/>
      <c r="P20" s="25"/>
      <c r="Q20" s="25"/>
      <c r="R20" s="25"/>
      <c r="S20" s="25">
        <f t="shared" si="0"/>
        <v>0.62015943653651107</v>
      </c>
      <c r="T20" s="25">
        <f t="shared" si="1"/>
        <v>3.4366363488614847E-2</v>
      </c>
      <c r="U20" s="26">
        <f t="shared" si="2"/>
        <v>8</v>
      </c>
    </row>
    <row r="21" spans="1:21" x14ac:dyDescent="0.25">
      <c r="A21" s="21">
        <v>28138</v>
      </c>
      <c r="B21" s="21">
        <v>101</v>
      </c>
      <c r="C21" s="28">
        <v>0.65991902834008098</v>
      </c>
      <c r="D21" s="25">
        <v>0.65829145728643212</v>
      </c>
      <c r="E21" s="25">
        <v>0.6371308016877637</v>
      </c>
      <c r="F21" s="25">
        <v>0.68220338983050843</v>
      </c>
      <c r="G21" s="25">
        <v>0.68949771689497719</v>
      </c>
      <c r="H21" s="25">
        <v>0.65436241610738255</v>
      </c>
      <c r="I21" s="25">
        <v>0.68821292775665399</v>
      </c>
      <c r="J21" s="25"/>
      <c r="K21" s="25"/>
      <c r="L21" s="25"/>
      <c r="M21" s="25"/>
      <c r="N21" s="25"/>
      <c r="O21" s="25"/>
      <c r="P21" s="25"/>
      <c r="Q21" s="25"/>
      <c r="R21" s="25"/>
      <c r="S21" s="25">
        <f t="shared" si="0"/>
        <v>0.66708824827197133</v>
      </c>
      <c r="T21" s="25">
        <f t="shared" si="1"/>
        <v>1.9853969073515606E-2</v>
      </c>
      <c r="U21" s="26">
        <f t="shared" si="2"/>
        <v>7</v>
      </c>
    </row>
    <row r="22" spans="1:21" x14ac:dyDescent="0.25">
      <c r="A22" s="21">
        <v>28139</v>
      </c>
      <c r="B22" s="21">
        <v>105</v>
      </c>
      <c r="C22" s="25">
        <v>0.38815789473684209</v>
      </c>
      <c r="D22" s="25">
        <v>0.43085106382978722</v>
      </c>
      <c r="E22" s="25">
        <v>0.42780748663101598</v>
      </c>
      <c r="F22" s="25">
        <v>0.46099290780141838</v>
      </c>
      <c r="G22" s="25">
        <v>0.41803278688524592</v>
      </c>
      <c r="H22" s="25">
        <f>79/187</f>
        <v>0.42245989304812837</v>
      </c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>
        <f t="shared" si="0"/>
        <v>0.42471700548873964</v>
      </c>
      <c r="T22" s="25">
        <f t="shared" si="1"/>
        <v>2.3449779307701459E-2</v>
      </c>
      <c r="U22" s="26">
        <f t="shared" si="2"/>
        <v>6</v>
      </c>
    </row>
    <row r="23" spans="1:21" x14ac:dyDescent="0.25">
      <c r="A23" s="21">
        <v>28140</v>
      </c>
      <c r="B23" s="21">
        <v>109</v>
      </c>
      <c r="C23" s="25">
        <v>0.38745387453874541</v>
      </c>
      <c r="D23" s="25">
        <v>0.40397350993377479</v>
      </c>
      <c r="E23" s="25">
        <v>0.40944881889763779</v>
      </c>
      <c r="F23" s="25">
        <v>0.43333333333333329</v>
      </c>
      <c r="G23" s="25">
        <v>0.39013452914798208</v>
      </c>
      <c r="H23" s="25">
        <v>0.44444444444444442</v>
      </c>
      <c r="I23" s="25">
        <v>0.37012987012987009</v>
      </c>
      <c r="J23" s="25"/>
      <c r="K23" s="25"/>
      <c r="L23" s="25"/>
      <c r="M23" s="25"/>
      <c r="N23" s="25"/>
      <c r="O23" s="25"/>
      <c r="P23" s="25"/>
      <c r="Q23" s="25"/>
      <c r="R23" s="25"/>
      <c r="S23" s="25">
        <f t="shared" si="0"/>
        <v>0.40555976863225535</v>
      </c>
      <c r="T23" s="25">
        <f t="shared" si="1"/>
        <v>2.6210904091653293E-2</v>
      </c>
      <c r="U23" s="26">
        <f t="shared" si="2"/>
        <v>7</v>
      </c>
    </row>
    <row r="24" spans="1:21" x14ac:dyDescent="0.25">
      <c r="A24" s="23">
        <v>28141</v>
      </c>
      <c r="B24" s="23">
        <v>129</v>
      </c>
      <c r="C24" s="24">
        <v>0.56321839080459768</v>
      </c>
      <c r="D24" s="24">
        <v>0.59322033898305082</v>
      </c>
      <c r="E24" s="24">
        <v>0.5662650602409639</v>
      </c>
      <c r="F24" s="24">
        <v>0.57423459667620413</v>
      </c>
      <c r="G24" s="24">
        <f>99/(99+71)</f>
        <v>0.58235294117647063</v>
      </c>
      <c r="H24" s="24">
        <f>125/(125+87)</f>
        <v>0.589622641509434</v>
      </c>
      <c r="I24" s="24">
        <f>189/(189+149)</f>
        <v>0.55917159763313606</v>
      </c>
      <c r="J24" s="24">
        <f>133/(133+75)</f>
        <v>0.63942307692307687</v>
      </c>
      <c r="K24" s="24">
        <f>165/(165+89)</f>
        <v>0.64960629921259838</v>
      </c>
      <c r="L24" s="24">
        <f>103/(103+74)</f>
        <v>0.58192090395480223</v>
      </c>
      <c r="M24" s="24">
        <f>109/(109+69)</f>
        <v>0.61235955056179781</v>
      </c>
      <c r="N24" s="24">
        <f>122/(122+103)</f>
        <v>0.54222222222222227</v>
      </c>
      <c r="O24" s="24">
        <f>81/(81+60)</f>
        <v>0.57446808510638303</v>
      </c>
      <c r="P24" s="24"/>
      <c r="Q24" s="24"/>
      <c r="R24" s="24"/>
      <c r="S24" s="24">
        <f t="shared" si="0"/>
        <v>0.58677582346190282</v>
      </c>
      <c r="T24" s="24">
        <f t="shared" si="1"/>
        <v>3.0954430024731777E-2</v>
      </c>
      <c r="U24" s="24">
        <f t="shared" si="2"/>
        <v>13</v>
      </c>
    </row>
    <row r="25" spans="1:21" x14ac:dyDescent="0.25">
      <c r="A25" s="23">
        <v>28142</v>
      </c>
      <c r="B25" s="23">
        <v>136</v>
      </c>
      <c r="C25" s="24">
        <v>0.63265306099999996</v>
      </c>
      <c r="D25" s="24">
        <v>0.67415730299999999</v>
      </c>
      <c r="E25" s="24">
        <v>0.62857142799999999</v>
      </c>
      <c r="F25" s="24">
        <v>0.57798165099999999</v>
      </c>
      <c r="G25" s="24">
        <v>0.70720720699999995</v>
      </c>
      <c r="H25" s="24">
        <v>0.60169491500000005</v>
      </c>
      <c r="I25" s="24">
        <v>0.65151515100000001</v>
      </c>
      <c r="J25" s="24"/>
      <c r="K25" s="24"/>
      <c r="L25" s="24"/>
      <c r="M25" s="24"/>
      <c r="N25" s="24"/>
      <c r="O25" s="24"/>
      <c r="P25" s="24"/>
      <c r="Q25" s="24"/>
      <c r="R25" s="24"/>
      <c r="S25" s="24">
        <f t="shared" si="0"/>
        <v>0.6391115308571429</v>
      </c>
      <c r="T25" s="24">
        <f t="shared" si="1"/>
        <v>4.3414183553639692E-2</v>
      </c>
      <c r="U25" s="24">
        <f t="shared" si="2"/>
        <v>7</v>
      </c>
    </row>
    <row r="26" spans="1:21" x14ac:dyDescent="0.25">
      <c r="A26" s="23">
        <v>28143</v>
      </c>
      <c r="B26" s="23">
        <v>138</v>
      </c>
      <c r="C26" s="24">
        <v>0.64351851851851849</v>
      </c>
      <c r="D26" s="24">
        <v>0.67169811320754713</v>
      </c>
      <c r="E26" s="24">
        <v>0.71272727272727276</v>
      </c>
      <c r="F26" s="24">
        <v>0.66486486486486485</v>
      </c>
      <c r="G26" s="24">
        <v>0.7230215827338129</v>
      </c>
      <c r="H26" s="24">
        <v>0.70034843205574915</v>
      </c>
      <c r="I26" s="24">
        <v>0.74538745387453875</v>
      </c>
      <c r="J26" s="24">
        <v>0.70220588235294112</v>
      </c>
      <c r="K26" s="24"/>
      <c r="L26" s="24"/>
      <c r="M26" s="24"/>
      <c r="N26" s="24"/>
      <c r="O26" s="24"/>
      <c r="P26" s="24"/>
      <c r="Q26" s="24"/>
      <c r="R26" s="24"/>
      <c r="S26" s="24">
        <f t="shared" si="0"/>
        <v>0.69547151504190563</v>
      </c>
      <c r="T26" s="24">
        <f t="shared" si="1"/>
        <v>3.3420609323556442E-2</v>
      </c>
      <c r="U26" s="24">
        <f t="shared" si="2"/>
        <v>8</v>
      </c>
    </row>
    <row r="27" spans="1:21" x14ac:dyDescent="0.25">
      <c r="A27" s="23">
        <v>28145</v>
      </c>
      <c r="B27" s="23">
        <v>149</v>
      </c>
      <c r="C27" s="24">
        <f>147/216</f>
        <v>0.68055555555555558</v>
      </c>
      <c r="D27" s="24">
        <f>104/167</f>
        <v>0.6227544910179641</v>
      </c>
      <c r="E27" s="24">
        <f>1/(176/117)</f>
        <v>0.66477272727272729</v>
      </c>
      <c r="F27" s="24">
        <f>99/157</f>
        <v>0.63057324840764328</v>
      </c>
      <c r="G27" s="24">
        <f>85/148</f>
        <v>0.57432432432432434</v>
      </c>
      <c r="H27" s="24">
        <f>115/175</f>
        <v>0.65714285714285714</v>
      </c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>
        <f t="shared" si="0"/>
        <v>0.63835386728684529</v>
      </c>
      <c r="T27" s="24">
        <f t="shared" si="1"/>
        <v>3.8041098137680508E-2</v>
      </c>
      <c r="U27" s="24">
        <f t="shared" si="2"/>
        <v>6</v>
      </c>
    </row>
    <row r="28" spans="1:21" x14ac:dyDescent="0.25">
      <c r="A28" s="23">
        <v>28146</v>
      </c>
      <c r="B28" s="23">
        <v>153</v>
      </c>
      <c r="C28" s="24">
        <v>0.42452830188679247</v>
      </c>
      <c r="D28" s="24">
        <v>0.38983050847457629</v>
      </c>
      <c r="E28" s="24">
        <v>0.48823529411764705</v>
      </c>
      <c r="F28" s="24">
        <v>0.49375000000000002</v>
      </c>
      <c r="G28" s="24">
        <f>134/(134+114)</f>
        <v>0.54032258064516125</v>
      </c>
      <c r="H28" s="24">
        <f>132/(132+140)</f>
        <v>0.48529411764705882</v>
      </c>
      <c r="I28" s="24">
        <f>54/(54+47)</f>
        <v>0.53465346534653468</v>
      </c>
      <c r="J28" s="24"/>
      <c r="K28" s="24"/>
      <c r="L28" s="24"/>
      <c r="M28" s="24"/>
      <c r="N28" s="24"/>
      <c r="O28" s="24"/>
      <c r="P28" s="24"/>
      <c r="Q28" s="24"/>
      <c r="R28" s="24"/>
      <c r="S28" s="24">
        <f t="shared" si="0"/>
        <v>0.47951632401682437</v>
      </c>
      <c r="T28" s="24">
        <f t="shared" si="1"/>
        <v>5.4949574091860541E-2</v>
      </c>
      <c r="U28" s="24">
        <f t="shared" si="2"/>
        <v>7</v>
      </c>
    </row>
    <row r="29" spans="1:21" x14ac:dyDescent="0.25">
      <c r="A29" s="23">
        <v>28147</v>
      </c>
      <c r="B29" s="23">
        <v>158</v>
      </c>
      <c r="C29" s="24">
        <v>0.37572254335260108</v>
      </c>
      <c r="D29" s="24">
        <v>0.30434782608695649</v>
      </c>
      <c r="E29" s="24">
        <v>0.33600000000000002</v>
      </c>
      <c r="F29" s="24">
        <v>0.40259740259740262</v>
      </c>
      <c r="G29" s="24">
        <v>0.36111111110999999</v>
      </c>
      <c r="H29" s="24">
        <v>0.28333333300000002</v>
      </c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>
        <f t="shared" si="0"/>
        <v>0.34385203602449338</v>
      </c>
      <c r="T29" s="24">
        <f t="shared" si="1"/>
        <v>4.4831626096382519E-2</v>
      </c>
      <c r="U29" s="24">
        <f t="shared" si="2"/>
        <v>6</v>
      </c>
    </row>
    <row r="30" spans="1:21" x14ac:dyDescent="0.25">
      <c r="A30" s="23">
        <v>28148</v>
      </c>
      <c r="B30" s="23">
        <v>161</v>
      </c>
      <c r="C30" s="24">
        <f>142/(118+142)</f>
        <v>0.5461538461538461</v>
      </c>
      <c r="D30" s="24">
        <f>106/(106+150)</f>
        <v>0.4140625</v>
      </c>
      <c r="E30" s="27">
        <v>0.4277456647398844</v>
      </c>
      <c r="F30" s="24">
        <f>111/(111+144)</f>
        <v>0.43529411764705883</v>
      </c>
      <c r="G30" s="24">
        <f>79/(133+79)</f>
        <v>0.37264150943396224</v>
      </c>
      <c r="H30" s="24">
        <f>148/(148+155)</f>
        <v>0.48844884488448848</v>
      </c>
      <c r="I30" s="24">
        <f>115/(115+126)</f>
        <v>0.47717842323651455</v>
      </c>
      <c r="J30" s="27">
        <v>0.38872403560830859</v>
      </c>
      <c r="K30" s="24">
        <f>140/(140+148)</f>
        <v>0.4861111111111111</v>
      </c>
      <c r="L30" s="24">
        <f>145/(145+133)</f>
        <v>0.52158273381294962</v>
      </c>
      <c r="M30" s="24"/>
      <c r="N30" s="24"/>
      <c r="O30" s="24"/>
      <c r="P30" s="24"/>
      <c r="Q30" s="24"/>
      <c r="R30" s="24"/>
      <c r="S30" s="24">
        <f t="shared" si="0"/>
        <v>0.45579427866281241</v>
      </c>
      <c r="T30" s="24">
        <f t="shared" si="1"/>
        <v>5.70545627360622E-2</v>
      </c>
      <c r="U30" s="24">
        <f t="shared" si="2"/>
        <v>10</v>
      </c>
    </row>
    <row r="31" spans="1:21" x14ac:dyDescent="0.25">
      <c r="A31" s="23">
        <v>28149</v>
      </c>
      <c r="B31" s="23">
        <v>176</v>
      </c>
      <c r="C31" s="24">
        <v>0.70142180089999995</v>
      </c>
      <c r="D31" s="24">
        <v>0.60909090909999997</v>
      </c>
      <c r="E31" s="24">
        <v>0.71259842520000005</v>
      </c>
      <c r="F31" s="24">
        <v>0.72384937240000002</v>
      </c>
      <c r="G31" s="24">
        <v>0.67500000000000004</v>
      </c>
      <c r="H31" s="24">
        <v>0.69270833330000003</v>
      </c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>
        <f t="shared" si="0"/>
        <v>0.68577814014999994</v>
      </c>
      <c r="T31" s="24">
        <f t="shared" si="1"/>
        <v>4.1130518657471915E-2</v>
      </c>
      <c r="U31" s="24">
        <f t="shared" si="2"/>
        <v>6</v>
      </c>
    </row>
    <row r="32" spans="1:21" x14ac:dyDescent="0.25">
      <c r="A32" s="23">
        <v>28151</v>
      </c>
      <c r="B32" s="23">
        <v>181</v>
      </c>
      <c r="C32" s="24">
        <f>111/(47+111)</f>
        <v>0.70253164556962022</v>
      </c>
      <c r="D32" s="24">
        <f>115/(115+48)</f>
        <v>0.70552147239263807</v>
      </c>
      <c r="E32" s="24">
        <f>115/(115+52)</f>
        <v>0.68862275449101795</v>
      </c>
      <c r="F32" s="24">
        <f>149/(149+64)</f>
        <v>0.69953051643192488</v>
      </c>
      <c r="G32" s="24">
        <f>73/(73+28)</f>
        <v>0.72277227722772275</v>
      </c>
      <c r="H32" s="24">
        <f>71/(71+33)</f>
        <v>0.68269230769230771</v>
      </c>
      <c r="I32" s="24">
        <f>99/(99+56)</f>
        <v>0.6387096774193548</v>
      </c>
      <c r="J32" s="24"/>
      <c r="K32" s="24"/>
      <c r="L32" s="24"/>
      <c r="M32" s="24"/>
      <c r="N32" s="24"/>
      <c r="O32" s="24"/>
      <c r="P32" s="24"/>
      <c r="Q32" s="24"/>
      <c r="R32" s="24"/>
      <c r="S32" s="24">
        <f t="shared" si="0"/>
        <v>0.69148295017494088</v>
      </c>
      <c r="T32" s="24">
        <f t="shared" si="1"/>
        <v>2.6562547311333461E-2</v>
      </c>
      <c r="U32" s="24">
        <f t="shared" si="2"/>
        <v>7</v>
      </c>
    </row>
    <row r="33" spans="1:21" x14ac:dyDescent="0.25">
      <c r="A33" s="23">
        <v>28153</v>
      </c>
      <c r="B33" s="23">
        <v>195</v>
      </c>
      <c r="C33" s="24">
        <f>146/207</f>
        <v>0.70531400966183577</v>
      </c>
      <c r="D33" s="24">
        <f>111/159</f>
        <v>0.69811320754716977</v>
      </c>
      <c r="E33" s="24">
        <f>153/181</f>
        <v>0.84530386740331487</v>
      </c>
      <c r="F33" s="24">
        <f>123/161</f>
        <v>0.7639751552795031</v>
      </c>
      <c r="G33" s="24">
        <f>201/267</f>
        <v>0.7528089887640449</v>
      </c>
      <c r="H33" s="24">
        <f>116/156</f>
        <v>0.74358974358974361</v>
      </c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>
        <f t="shared" si="0"/>
        <v>0.7515174953742686</v>
      </c>
      <c r="T33" s="24">
        <f t="shared" si="1"/>
        <v>5.2919512700924667E-2</v>
      </c>
      <c r="U33" s="24">
        <f t="shared" si="2"/>
        <v>6</v>
      </c>
    </row>
    <row r="34" spans="1:21" x14ac:dyDescent="0.25">
      <c r="A34" s="21">
        <v>25174</v>
      </c>
      <c r="B34" s="21">
        <v>208</v>
      </c>
      <c r="C34" s="25">
        <f>106/(106+81)</f>
        <v>0.5668449197860963</v>
      </c>
      <c r="D34" s="28">
        <v>0.59845559845559848</v>
      </c>
      <c r="E34" s="28">
        <v>0.64615384615384619</v>
      </c>
      <c r="F34" s="28">
        <v>0.62898550724637681</v>
      </c>
      <c r="G34" s="28">
        <v>0.53144654088050314</v>
      </c>
      <c r="H34" s="28">
        <v>0.67289719626168221</v>
      </c>
      <c r="I34" s="28">
        <v>0.69</v>
      </c>
      <c r="J34" s="26">
        <f>99/147</f>
        <v>0.67346938775510201</v>
      </c>
      <c r="K34" s="26">
        <f>101/168</f>
        <v>0.60119047619047616</v>
      </c>
      <c r="L34" s="26">
        <f>107/169</f>
        <v>0.63313609467455623</v>
      </c>
      <c r="M34" s="26">
        <f>42/85</f>
        <v>0.49411764705882355</v>
      </c>
      <c r="N34" s="26">
        <f>76/105</f>
        <v>0.72380952380952379</v>
      </c>
      <c r="O34" s="26">
        <f>111/157</f>
        <v>0.70700636942675155</v>
      </c>
      <c r="P34" s="25"/>
      <c r="Q34" s="25"/>
      <c r="R34" s="25"/>
      <c r="S34" s="25">
        <f t="shared" si="0"/>
        <v>0.62827023905379498</v>
      </c>
      <c r="T34" s="25">
        <f t="shared" si="1"/>
        <v>6.8485569723598705E-2</v>
      </c>
      <c r="U34" s="26">
        <f t="shared" si="2"/>
        <v>13</v>
      </c>
    </row>
    <row r="35" spans="1:21" x14ac:dyDescent="0.25">
      <c r="A35" s="23">
        <v>28154</v>
      </c>
      <c r="B35" s="23">
        <v>217</v>
      </c>
      <c r="C35" s="24">
        <f>126/(126+65)</f>
        <v>0.65968586387434558</v>
      </c>
      <c r="D35" s="24">
        <f>146/(146+60)</f>
        <v>0.70873786407766992</v>
      </c>
      <c r="E35" s="27">
        <v>0.62745098039215685</v>
      </c>
      <c r="F35" s="24">
        <f>166/(166+61)</f>
        <v>0.7312775330396476</v>
      </c>
      <c r="G35" s="27">
        <v>0.65594855305466238</v>
      </c>
      <c r="H35" s="24">
        <f>135/(135+59)</f>
        <v>0.69587628865979378</v>
      </c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>
        <f t="shared" si="0"/>
        <v>0.67982951384971269</v>
      </c>
      <c r="T35" s="24">
        <f t="shared" si="1"/>
        <v>3.8625556470463264E-2</v>
      </c>
      <c r="U35" s="24">
        <f t="shared" si="2"/>
        <v>6</v>
      </c>
    </row>
    <row r="36" spans="1:21" x14ac:dyDescent="0.25">
      <c r="A36" s="31">
        <v>28155</v>
      </c>
      <c r="B36" s="31">
        <v>223</v>
      </c>
      <c r="C36" s="30">
        <f>119/(119+62)</f>
        <v>0.65745856353591159</v>
      </c>
      <c r="D36" s="30">
        <f>146/(146+84)</f>
        <v>0.63478260869565217</v>
      </c>
      <c r="E36" s="30">
        <f>160/(160+78)</f>
        <v>0.67226890756302526</v>
      </c>
      <c r="F36" s="30">
        <f>209/(209+85)</f>
        <v>0.71088435374149661</v>
      </c>
      <c r="G36" s="30">
        <f>140/(140+48)</f>
        <v>0.74468085106382975</v>
      </c>
      <c r="H36" s="30">
        <f>88/(88+41)</f>
        <v>0.68217054263565891</v>
      </c>
      <c r="I36" s="30">
        <f>88/(88+53)</f>
        <v>0.62411347517730498</v>
      </c>
      <c r="J36" s="30">
        <f>141/(141+62)</f>
        <v>0.69458128078817738</v>
      </c>
      <c r="K36" s="30">
        <f>60/(60+46)</f>
        <v>0.56603773584905659</v>
      </c>
      <c r="L36" s="30"/>
      <c r="M36" s="30"/>
      <c r="N36" s="30"/>
      <c r="O36" s="30"/>
      <c r="P36" s="30"/>
      <c r="Q36" s="30"/>
      <c r="R36" s="30"/>
      <c r="S36" s="24">
        <f t="shared" si="0"/>
        <v>0.66521981322779045</v>
      </c>
      <c r="T36" s="24">
        <f t="shared" si="1"/>
        <v>5.2573633419717505E-2</v>
      </c>
      <c r="U36" s="24">
        <f t="shared" si="2"/>
        <v>9</v>
      </c>
    </row>
    <row r="37" spans="1:21" x14ac:dyDescent="0.25">
      <c r="A37" s="29">
        <v>28156</v>
      </c>
      <c r="B37" s="29">
        <v>227</v>
      </c>
      <c r="C37" s="26">
        <f>135/(135+90)</f>
        <v>0.6</v>
      </c>
      <c r="D37" s="26">
        <f>59/(59+40)</f>
        <v>0.59595959595959591</v>
      </c>
      <c r="E37" s="26">
        <f>103/(103+63)</f>
        <v>0.62048192771084343</v>
      </c>
      <c r="F37" s="26">
        <f>84/(84+42)</f>
        <v>0.66666666666666663</v>
      </c>
      <c r="G37" s="26">
        <f>111/(111+47)</f>
        <v>0.70253164556962022</v>
      </c>
      <c r="H37" s="26">
        <f>108/(108+59)</f>
        <v>0.6467065868263473</v>
      </c>
      <c r="I37" s="26">
        <f>155/(155+94)</f>
        <v>0.6224899598393574</v>
      </c>
      <c r="J37" s="26"/>
      <c r="K37" s="26"/>
      <c r="L37" s="26"/>
      <c r="M37" s="26"/>
      <c r="N37" s="26"/>
      <c r="O37" s="26"/>
      <c r="P37" s="26"/>
      <c r="Q37" s="26"/>
      <c r="R37" s="26"/>
      <c r="S37" s="25">
        <f t="shared" si="0"/>
        <v>0.6364051975103473</v>
      </c>
      <c r="T37" s="25">
        <f t="shared" si="1"/>
        <v>3.8303506631011938E-2</v>
      </c>
      <c r="U37" s="26">
        <f t="shared" si="2"/>
        <v>7</v>
      </c>
    </row>
    <row r="38" spans="1:21" x14ac:dyDescent="0.25">
      <c r="A38" s="23">
        <v>28157</v>
      </c>
      <c r="B38" s="23">
        <v>228</v>
      </c>
      <c r="C38" s="24">
        <f>118/(118+49)</f>
        <v>0.70658682634730541</v>
      </c>
      <c r="D38" s="27">
        <v>0.65702479338842978</v>
      </c>
      <c r="E38" s="27">
        <v>0.65625</v>
      </c>
      <c r="F38" s="24">
        <f>218/(218+96)</f>
        <v>0.69426751592356684</v>
      </c>
      <c r="G38" s="24">
        <f>92/(92+33)</f>
        <v>0.73599999999999999</v>
      </c>
      <c r="H38" s="24">
        <f>79/(79+38)</f>
        <v>0.67521367521367526</v>
      </c>
      <c r="I38" s="24">
        <f>89/(89+33)</f>
        <v>0.72950819672131151</v>
      </c>
      <c r="J38" s="24">
        <f>87/(87+32)</f>
        <v>0.73109243697478987</v>
      </c>
      <c r="K38" s="24"/>
      <c r="L38" s="24"/>
      <c r="M38" s="24"/>
      <c r="N38" s="24"/>
      <c r="O38" s="24"/>
      <c r="P38" s="24"/>
      <c r="Q38" s="24"/>
      <c r="R38" s="24"/>
      <c r="S38" s="24">
        <f t="shared" si="0"/>
        <v>0.69824293057113485</v>
      </c>
      <c r="T38" s="24">
        <f t="shared" si="1"/>
        <v>3.2864038969427876E-2</v>
      </c>
      <c r="U38" s="24">
        <f t="shared" si="2"/>
        <v>8</v>
      </c>
    </row>
    <row r="39" spans="1:21" x14ac:dyDescent="0.25">
      <c r="A39" s="21">
        <v>29653</v>
      </c>
      <c r="B39" s="21">
        <v>229</v>
      </c>
      <c r="C39" s="25">
        <v>0.84615384615384603</v>
      </c>
      <c r="D39" s="25">
        <v>0.75577557755775582</v>
      </c>
      <c r="E39" s="25">
        <v>0.90612244897959182</v>
      </c>
      <c r="F39" s="25">
        <v>0.79729729729729726</v>
      </c>
      <c r="G39" s="25">
        <v>0.84331797235023043</v>
      </c>
      <c r="H39" s="25">
        <v>0.85283018867924532</v>
      </c>
      <c r="I39" s="25">
        <v>0.88557213930348255</v>
      </c>
      <c r="J39" s="25">
        <v>0.76442307692307687</v>
      </c>
      <c r="K39" s="25"/>
      <c r="L39" s="25"/>
      <c r="M39" s="25"/>
      <c r="N39" s="25"/>
      <c r="O39" s="25"/>
      <c r="P39" s="25"/>
      <c r="Q39" s="25"/>
      <c r="R39" s="25"/>
      <c r="S39" s="25">
        <f t="shared" si="0"/>
        <v>0.83143656840556579</v>
      </c>
      <c r="T39" s="25">
        <f t="shared" si="1"/>
        <v>5.4386155295182065E-2</v>
      </c>
      <c r="U39" s="26">
        <f t="shared" si="2"/>
        <v>8</v>
      </c>
    </row>
    <row r="40" spans="1:21" x14ac:dyDescent="0.25">
      <c r="A40" s="23">
        <v>28159</v>
      </c>
      <c r="B40" s="23">
        <v>233</v>
      </c>
      <c r="C40" s="24">
        <v>0.46835443037974678</v>
      </c>
      <c r="D40" s="24">
        <v>0.50306748466257667</v>
      </c>
      <c r="E40" s="24">
        <v>0.60563380281690138</v>
      </c>
      <c r="F40" s="24">
        <v>0.51851851851851849</v>
      </c>
      <c r="G40" s="24">
        <v>0.53431372549019607</v>
      </c>
      <c r="H40" s="24">
        <v>0.42574257425742568</v>
      </c>
      <c r="I40" s="24">
        <v>0.45098039215686281</v>
      </c>
      <c r="J40" s="24"/>
      <c r="K40" s="24"/>
      <c r="L40" s="24"/>
      <c r="M40" s="24"/>
      <c r="N40" s="24"/>
      <c r="O40" s="24"/>
      <c r="P40" s="24"/>
      <c r="Q40" s="24"/>
      <c r="R40" s="24"/>
      <c r="S40" s="24">
        <f t="shared" si="0"/>
        <v>0.50094441832603254</v>
      </c>
      <c r="T40" s="24">
        <f t="shared" si="1"/>
        <v>6.0000781759670607E-2</v>
      </c>
      <c r="U40" s="24">
        <f t="shared" si="2"/>
        <v>7</v>
      </c>
    </row>
    <row r="41" spans="1:21" x14ac:dyDescent="0.25">
      <c r="A41" s="21">
        <v>28275</v>
      </c>
      <c r="B41" s="21">
        <v>235</v>
      </c>
      <c r="C41" s="25">
        <f>128/210</f>
        <v>0.60952380952380958</v>
      </c>
      <c r="D41" s="25">
        <f>177/284</f>
        <v>0.62323943661971826</v>
      </c>
      <c r="E41" s="25">
        <f>176/324</f>
        <v>0.54320987654320985</v>
      </c>
      <c r="F41" s="25">
        <f>101/(153)</f>
        <v>0.66013071895424835</v>
      </c>
      <c r="G41" s="25">
        <f>135/266</f>
        <v>0.50751879699248126</v>
      </c>
      <c r="H41" s="25">
        <f>141/268</f>
        <v>0.52611940298507465</v>
      </c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>
        <f t="shared" si="0"/>
        <v>0.57829034026975701</v>
      </c>
      <c r="T41" s="25">
        <f t="shared" si="1"/>
        <v>6.108167551372843E-2</v>
      </c>
      <c r="U41" s="26">
        <f t="shared" si="2"/>
        <v>6</v>
      </c>
    </row>
    <row r="42" spans="1:21" x14ac:dyDescent="0.25">
      <c r="A42" s="23">
        <v>28160</v>
      </c>
      <c r="B42" s="23">
        <v>237</v>
      </c>
      <c r="C42" s="24">
        <f>162/(162+72)</f>
        <v>0.69230769230769229</v>
      </c>
      <c r="D42" s="27">
        <v>0.68881118881118886</v>
      </c>
      <c r="E42" s="24">
        <f>88/(88+78)</f>
        <v>0.53012048192771088</v>
      </c>
      <c r="F42" s="27">
        <v>0.67032967032967028</v>
      </c>
      <c r="G42" s="27">
        <v>0.66942148760330578</v>
      </c>
      <c r="H42" s="24">
        <f>114/(114+62)</f>
        <v>0.64772727272727271</v>
      </c>
      <c r="I42" s="27">
        <v>0.64435146443514646</v>
      </c>
      <c r="J42" s="24"/>
      <c r="K42" s="24"/>
      <c r="L42" s="24"/>
      <c r="M42" s="24"/>
      <c r="N42" s="24"/>
      <c r="O42" s="24"/>
      <c r="P42" s="24"/>
      <c r="Q42" s="24"/>
      <c r="R42" s="24"/>
      <c r="S42" s="24">
        <f t="shared" si="0"/>
        <v>0.64900989402028386</v>
      </c>
      <c r="T42" s="24">
        <f t="shared" si="1"/>
        <v>5.5509829173683245E-2</v>
      </c>
      <c r="U42" s="24">
        <f t="shared" si="2"/>
        <v>7</v>
      </c>
    </row>
    <row r="43" spans="1:21" x14ac:dyDescent="0.25">
      <c r="A43" s="23">
        <v>28161</v>
      </c>
      <c r="B43" s="23">
        <v>239</v>
      </c>
      <c r="C43" s="24">
        <v>0.469072164948454</v>
      </c>
      <c r="D43" s="24">
        <v>0.43421052631578899</v>
      </c>
      <c r="E43" s="24">
        <f>164/289</f>
        <v>0.56747404844290661</v>
      </c>
      <c r="F43" s="24">
        <f>160/265</f>
        <v>0.60377358490566035</v>
      </c>
      <c r="G43" s="24">
        <f>31/63</f>
        <v>0.49206349206349204</v>
      </c>
      <c r="H43" s="24">
        <f>100/156</f>
        <v>0.64102564102564108</v>
      </c>
      <c r="I43" s="24">
        <f>50/90</f>
        <v>0.55555555555555558</v>
      </c>
      <c r="J43" s="24"/>
      <c r="K43" s="24"/>
      <c r="L43" s="24"/>
      <c r="M43" s="24"/>
      <c r="N43" s="24"/>
      <c r="O43" s="24"/>
      <c r="P43" s="24"/>
      <c r="Q43" s="24"/>
      <c r="R43" s="24"/>
      <c r="S43" s="24">
        <f t="shared" si="0"/>
        <v>0.53759643046535699</v>
      </c>
      <c r="T43" s="24">
        <f t="shared" si="1"/>
        <v>7.499965357466637E-2</v>
      </c>
      <c r="U43" s="24">
        <f t="shared" si="2"/>
        <v>7</v>
      </c>
    </row>
    <row r="44" spans="1:21" x14ac:dyDescent="0.25">
      <c r="A44" s="23">
        <v>28162</v>
      </c>
      <c r="B44" s="23">
        <v>256</v>
      </c>
      <c r="C44" s="24">
        <f>107/(66+107)</f>
        <v>0.61849710982658956</v>
      </c>
      <c r="D44" s="24">
        <f>141/(141+55)</f>
        <v>0.71938775510204078</v>
      </c>
      <c r="E44" s="24">
        <f>86/(86+34)</f>
        <v>0.71666666666666667</v>
      </c>
      <c r="F44" s="24">
        <f>117/(117+36)</f>
        <v>0.76470588235294112</v>
      </c>
      <c r="G44" s="24">
        <f>100/140</f>
        <v>0.7142857142857143</v>
      </c>
      <c r="H44" s="24">
        <f>137/(137+51)</f>
        <v>0.72872340425531912</v>
      </c>
      <c r="I44" s="24">
        <f>124/(124+37)</f>
        <v>0.77018633540372672</v>
      </c>
      <c r="J44" s="24">
        <f>130/(130+56)</f>
        <v>0.69892473118279574</v>
      </c>
      <c r="K44" s="24">
        <f>74/(74+27)</f>
        <v>0.73267326732673266</v>
      </c>
      <c r="L44" s="24">
        <f>171/(171+57)</f>
        <v>0.75</v>
      </c>
      <c r="M44" s="24">
        <f>117/(117+46)</f>
        <v>0.71779141104294475</v>
      </c>
      <c r="N44" s="24"/>
      <c r="O44" s="24"/>
      <c r="P44" s="24"/>
      <c r="Q44" s="24"/>
      <c r="R44" s="24"/>
      <c r="S44" s="24">
        <f t="shared" si="0"/>
        <v>0.72107657067686104</v>
      </c>
      <c r="T44" s="24">
        <f t="shared" si="1"/>
        <v>4.0542897240708656E-2</v>
      </c>
      <c r="U44" s="24">
        <f t="shared" si="2"/>
        <v>11</v>
      </c>
    </row>
    <row r="45" spans="1:21" x14ac:dyDescent="0.25">
      <c r="A45" s="23">
        <v>28164</v>
      </c>
      <c r="B45" s="23">
        <v>280</v>
      </c>
      <c r="C45" s="24">
        <f>142/(142+50)</f>
        <v>0.73958333333333337</v>
      </c>
      <c r="D45" s="27">
        <v>0.7078651685393258</v>
      </c>
      <c r="E45" s="24">
        <f>154/(154+59)</f>
        <v>0.72300469483568075</v>
      </c>
      <c r="F45" s="27">
        <v>0.6681715575620768</v>
      </c>
      <c r="G45" s="24">
        <f>156/(156+64)</f>
        <v>0.70909090909090911</v>
      </c>
      <c r="H45" s="24">
        <v>0.70645161290322578</v>
      </c>
      <c r="I45" s="24">
        <v>0.72330097087378642</v>
      </c>
      <c r="J45" s="24"/>
      <c r="K45" s="24"/>
      <c r="L45" s="24"/>
      <c r="M45" s="24"/>
      <c r="N45" s="24"/>
      <c r="O45" s="24"/>
      <c r="P45" s="24"/>
      <c r="Q45" s="24"/>
      <c r="R45" s="24"/>
      <c r="S45" s="24">
        <f t="shared" si="0"/>
        <v>0.71106689244833388</v>
      </c>
      <c r="T45" s="24">
        <f t="shared" si="1"/>
        <v>2.2289150230583449E-2</v>
      </c>
      <c r="U45" s="24">
        <f t="shared" si="2"/>
        <v>7</v>
      </c>
    </row>
    <row r="46" spans="1:21" x14ac:dyDescent="0.25">
      <c r="A46" s="29">
        <v>28165</v>
      </c>
      <c r="B46" s="29">
        <v>287</v>
      </c>
      <c r="C46" s="26">
        <f>134/(134+53)</f>
        <v>0.71657754010695185</v>
      </c>
      <c r="D46" s="26">
        <f>152/(152+69)</f>
        <v>0.68778280542986425</v>
      </c>
      <c r="E46" s="26">
        <f>122/(122+38)</f>
        <v>0.76249999999999996</v>
      </c>
      <c r="F46" s="26">
        <f>155/(155+52)</f>
        <v>0.74879227053140096</v>
      </c>
      <c r="G46" s="26">
        <f>86/(86+37)</f>
        <v>0.69918699186991873</v>
      </c>
      <c r="H46" s="26">
        <f>130/(130+46)</f>
        <v>0.73863636363636365</v>
      </c>
      <c r="I46" s="26">
        <f>90/(90+26)</f>
        <v>0.77586206896551724</v>
      </c>
      <c r="J46" s="26">
        <f>130/(130+41)</f>
        <v>0.76023391812865493</v>
      </c>
      <c r="K46" s="26">
        <f>139/(139+60)</f>
        <v>0.69849246231155782</v>
      </c>
      <c r="L46" s="26"/>
      <c r="M46" s="26"/>
      <c r="N46" s="26"/>
      <c r="O46" s="26"/>
      <c r="P46" s="26"/>
      <c r="Q46" s="26"/>
      <c r="R46" s="26"/>
      <c r="S46" s="25">
        <f t="shared" si="0"/>
        <v>0.73200715788669202</v>
      </c>
      <c r="T46" s="25">
        <f t="shared" si="1"/>
        <v>3.2345338897050109E-2</v>
      </c>
      <c r="U46" s="26">
        <f t="shared" si="2"/>
        <v>9</v>
      </c>
    </row>
    <row r="47" spans="1:21" x14ac:dyDescent="0.25">
      <c r="A47" s="21">
        <v>25175</v>
      </c>
      <c r="B47" s="21">
        <v>301</v>
      </c>
      <c r="C47" s="25">
        <v>0.67543859649122806</v>
      </c>
      <c r="D47" s="25">
        <v>0.6913183279742765</v>
      </c>
      <c r="E47" s="25">
        <v>0.68604651162790697</v>
      </c>
      <c r="F47" s="25">
        <v>0.63722397476340698</v>
      </c>
      <c r="G47" s="25">
        <v>0.68150684931506844</v>
      </c>
      <c r="H47" s="25">
        <v>0.66666666666666663</v>
      </c>
      <c r="I47" s="25">
        <v>0.75423728813559321</v>
      </c>
      <c r="J47" s="25">
        <v>0.70967741935483875</v>
      </c>
      <c r="K47" s="25"/>
      <c r="L47" s="25"/>
      <c r="M47" s="25"/>
      <c r="N47" s="25"/>
      <c r="O47" s="25"/>
      <c r="P47" s="25"/>
      <c r="Q47" s="25"/>
      <c r="R47" s="25"/>
      <c r="S47" s="25">
        <f t="shared" si="0"/>
        <v>0.68776445429112332</v>
      </c>
      <c r="T47" s="25">
        <f t="shared" si="1"/>
        <v>3.4027170081790736E-2</v>
      </c>
      <c r="U47" s="26">
        <f t="shared" si="2"/>
        <v>8</v>
      </c>
    </row>
    <row r="48" spans="1:21" x14ac:dyDescent="0.25">
      <c r="A48" s="21">
        <v>25177</v>
      </c>
      <c r="B48" s="21">
        <v>304</v>
      </c>
      <c r="C48" s="25">
        <v>0.65693430656934304</v>
      </c>
      <c r="D48" s="25">
        <v>0.56818181818181823</v>
      </c>
      <c r="E48" s="25">
        <v>0.68965517241379315</v>
      </c>
      <c r="F48" s="25">
        <v>0.63576158940397354</v>
      </c>
      <c r="G48" s="25">
        <v>0.5892857142857143</v>
      </c>
      <c r="H48" s="25">
        <v>0.64393939393939392</v>
      </c>
      <c r="I48" s="25">
        <v>0.62</v>
      </c>
      <c r="J48" s="25"/>
      <c r="K48" s="25"/>
      <c r="L48" s="25"/>
      <c r="M48" s="25"/>
      <c r="N48" s="25"/>
      <c r="O48" s="25"/>
      <c r="P48" s="25"/>
      <c r="Q48" s="25"/>
      <c r="R48" s="25"/>
      <c r="S48" s="25">
        <f t="shared" si="0"/>
        <v>0.62910828497057658</v>
      </c>
      <c r="T48" s="25">
        <f t="shared" si="1"/>
        <v>4.0998523665742533E-2</v>
      </c>
      <c r="U48" s="26">
        <f t="shared" si="2"/>
        <v>7</v>
      </c>
    </row>
    <row r="49" spans="1:21" x14ac:dyDescent="0.25">
      <c r="A49" s="21">
        <v>37525</v>
      </c>
      <c r="B49" s="21">
        <v>306</v>
      </c>
      <c r="C49" s="25">
        <f>136/(136+67)</f>
        <v>0.66995073891625612</v>
      </c>
      <c r="D49" s="28">
        <v>0.66216216216216217</v>
      </c>
      <c r="E49" s="25">
        <f>144/(144+80)</f>
        <v>0.6428571428571429</v>
      </c>
      <c r="F49" s="25">
        <f>134/(134+76)</f>
        <v>0.63809523809523805</v>
      </c>
      <c r="G49" s="25">
        <f>177/(177+91)</f>
        <v>0.66044776119402981</v>
      </c>
      <c r="H49" s="25">
        <f>179/(179+63)</f>
        <v>0.73966942148760328</v>
      </c>
      <c r="I49" s="25">
        <f>209/(209+84)</f>
        <v>0.71331058020477811</v>
      </c>
      <c r="J49" s="28">
        <v>0.64473684210526316</v>
      </c>
      <c r="K49" s="25"/>
      <c r="L49" s="25"/>
      <c r="M49" s="25"/>
      <c r="N49" s="25"/>
      <c r="O49" s="25"/>
      <c r="P49" s="25"/>
      <c r="Q49" s="25"/>
      <c r="R49" s="25"/>
      <c r="S49" s="25">
        <f t="shared" si="0"/>
        <v>0.67140373587780922</v>
      </c>
      <c r="T49" s="25">
        <f t="shared" si="1"/>
        <v>3.6369975687369709E-2</v>
      </c>
      <c r="U49" s="26">
        <f t="shared" si="2"/>
        <v>8</v>
      </c>
    </row>
    <row r="50" spans="1:21" x14ac:dyDescent="0.25">
      <c r="A50" s="29">
        <v>25179</v>
      </c>
      <c r="B50" s="29">
        <v>307</v>
      </c>
      <c r="C50" s="26">
        <f>186/(186+75)</f>
        <v>0.71264367816091956</v>
      </c>
      <c r="D50" s="26">
        <f>140/(140+45)</f>
        <v>0.7567567567567568</v>
      </c>
      <c r="E50" s="26">
        <f>149/(149+63)</f>
        <v>0.70283018867924529</v>
      </c>
      <c r="F50" s="26">
        <f>87/(87+40)</f>
        <v>0.68503937007874016</v>
      </c>
      <c r="G50" s="26">
        <f>72/(72+29)</f>
        <v>0.71287128712871284</v>
      </c>
      <c r="H50" s="26">
        <f>127/(127+48)</f>
        <v>0.72571428571428576</v>
      </c>
      <c r="I50" s="26">
        <f>142/(142+65)</f>
        <v>0.68599033816425126</v>
      </c>
      <c r="J50" s="26"/>
      <c r="K50" s="26"/>
      <c r="L50" s="26"/>
      <c r="M50" s="26"/>
      <c r="N50" s="26"/>
      <c r="O50" s="26"/>
      <c r="P50" s="26"/>
      <c r="Q50" s="26"/>
      <c r="R50" s="26"/>
      <c r="S50" s="25">
        <f t="shared" si="0"/>
        <v>0.71169227209755892</v>
      </c>
      <c r="T50" s="25">
        <f t="shared" si="1"/>
        <v>2.4762952872715099E-2</v>
      </c>
      <c r="U50" s="26">
        <f t="shared" si="2"/>
        <v>7</v>
      </c>
    </row>
    <row r="51" spans="1:21" x14ac:dyDescent="0.25">
      <c r="A51" s="23">
        <v>28166</v>
      </c>
      <c r="B51" s="23">
        <v>309</v>
      </c>
      <c r="C51" s="27">
        <v>0.70567375886524819</v>
      </c>
      <c r="D51" s="24">
        <f>153/(153+80)</f>
        <v>0.6566523605150214</v>
      </c>
      <c r="E51" s="24">
        <f>162/(162+69)</f>
        <v>0.70129870129870131</v>
      </c>
      <c r="F51" s="24">
        <f>174/(174+85)</f>
        <v>0.6718146718146718</v>
      </c>
      <c r="G51" s="24">
        <f>185/(185+81)</f>
        <v>0.69548872180451127</v>
      </c>
      <c r="H51" s="27">
        <v>0.69837587006960555</v>
      </c>
      <c r="I51" s="24">
        <f>152/(152+45)</f>
        <v>0.77157360406091369</v>
      </c>
      <c r="J51" s="24">
        <f>121/(27+121)</f>
        <v>0.81756756756756754</v>
      </c>
      <c r="K51" s="24"/>
      <c r="L51" s="24"/>
      <c r="M51" s="24"/>
      <c r="N51" s="24"/>
      <c r="O51" s="24"/>
      <c r="P51" s="24"/>
      <c r="Q51" s="24"/>
      <c r="R51" s="24"/>
      <c r="S51" s="24">
        <f t="shared" si="0"/>
        <v>0.71480565699953003</v>
      </c>
      <c r="T51" s="24">
        <f t="shared" si="1"/>
        <v>5.3347314935869056E-2</v>
      </c>
      <c r="U51" s="24">
        <f t="shared" si="2"/>
        <v>8</v>
      </c>
    </row>
    <row r="52" spans="1:21" x14ac:dyDescent="0.25">
      <c r="A52" s="21">
        <v>28276</v>
      </c>
      <c r="B52" s="21">
        <v>310</v>
      </c>
      <c r="C52" s="25">
        <v>0.47435897435897428</v>
      </c>
      <c r="D52" s="25">
        <v>0.57249070631970256</v>
      </c>
      <c r="E52" s="25">
        <v>0.60700389105058361</v>
      </c>
      <c r="F52" s="25">
        <v>0.54646840148698883</v>
      </c>
      <c r="G52" s="25">
        <v>0.60655737704918034</v>
      </c>
      <c r="H52" s="25">
        <v>0.5787234042553191</v>
      </c>
      <c r="I52" s="25">
        <v>0.54128440366972475</v>
      </c>
      <c r="J52" s="25"/>
      <c r="K52" s="25"/>
      <c r="L52" s="25"/>
      <c r="M52" s="25"/>
      <c r="N52" s="25"/>
      <c r="O52" s="25"/>
      <c r="P52" s="25"/>
      <c r="Q52" s="25"/>
      <c r="R52" s="25"/>
      <c r="S52" s="25">
        <f t="shared" si="0"/>
        <v>0.56098387974149622</v>
      </c>
      <c r="T52" s="25">
        <f t="shared" si="1"/>
        <v>4.6087824828635077E-2</v>
      </c>
      <c r="U52" s="26">
        <f t="shared" si="2"/>
        <v>7</v>
      </c>
    </row>
    <row r="53" spans="1:21" x14ac:dyDescent="0.25">
      <c r="A53" s="21">
        <v>25180</v>
      </c>
      <c r="B53" s="21">
        <v>313</v>
      </c>
      <c r="C53" s="25">
        <v>0.63405797100000005</v>
      </c>
      <c r="D53" s="25">
        <v>0.61204013300000004</v>
      </c>
      <c r="E53" s="25">
        <v>0.61872909700000001</v>
      </c>
      <c r="F53" s="25">
        <f>151/227</f>
        <v>0.66519823788546251</v>
      </c>
      <c r="G53" s="25">
        <f>92/126</f>
        <v>0.73015873015873012</v>
      </c>
      <c r="H53" s="25">
        <f>194/273</f>
        <v>0.71062271062271065</v>
      </c>
      <c r="I53" s="25">
        <f>143/207</f>
        <v>0.6908212560386473</v>
      </c>
      <c r="J53" s="25"/>
      <c r="K53" s="25"/>
      <c r="L53" s="25"/>
      <c r="M53" s="25"/>
      <c r="N53" s="25"/>
      <c r="O53" s="25"/>
      <c r="P53" s="25"/>
      <c r="Q53" s="25"/>
      <c r="R53" s="25"/>
      <c r="S53" s="25">
        <f t="shared" si="0"/>
        <v>0.66594687652936446</v>
      </c>
      <c r="T53" s="25">
        <f t="shared" si="1"/>
        <v>4.6351457207821987E-2</v>
      </c>
      <c r="U53" s="26">
        <f t="shared" si="2"/>
        <v>7</v>
      </c>
    </row>
    <row r="54" spans="1:21" x14ac:dyDescent="0.25">
      <c r="A54" s="23">
        <v>28167</v>
      </c>
      <c r="B54" s="23">
        <v>317</v>
      </c>
      <c r="C54" s="24">
        <f>195/(195+58)</f>
        <v>0.77075098814229248</v>
      </c>
      <c r="D54" s="24">
        <f>118/(118+96)</f>
        <v>0.55140186915887845</v>
      </c>
      <c r="E54" s="27">
        <v>0.55313351498637597</v>
      </c>
      <c r="F54" s="24">
        <f>214/(214+69)</f>
        <v>0.75618374558303891</v>
      </c>
      <c r="G54" s="24">
        <f>177/(177+56)</f>
        <v>0.75965665236051505</v>
      </c>
      <c r="H54" s="24">
        <f>109/(109+77)</f>
        <v>0.58602150537634412</v>
      </c>
      <c r="I54" s="27">
        <v>0.71985815602836878</v>
      </c>
      <c r="J54" s="24"/>
      <c r="K54" s="24"/>
      <c r="L54" s="24"/>
      <c r="M54" s="24"/>
      <c r="N54" s="24"/>
      <c r="O54" s="24"/>
      <c r="P54" s="24"/>
      <c r="Q54" s="24"/>
      <c r="R54" s="24"/>
      <c r="S54" s="24">
        <f t="shared" si="0"/>
        <v>0.67100091880511614</v>
      </c>
      <c r="T54" s="24">
        <f t="shared" si="1"/>
        <v>0.10236472154176331</v>
      </c>
      <c r="U54" s="24">
        <f t="shared" si="2"/>
        <v>7</v>
      </c>
    </row>
    <row r="55" spans="1:21" x14ac:dyDescent="0.25">
      <c r="A55" s="23">
        <v>28168</v>
      </c>
      <c r="B55" s="23">
        <v>318</v>
      </c>
      <c r="C55" s="24">
        <f>(187-95)/187</f>
        <v>0.49197860962566847</v>
      </c>
      <c r="D55" s="24">
        <f>(167-64)/167</f>
        <v>0.61676646706586824</v>
      </c>
      <c r="E55" s="24">
        <f>177/289</f>
        <v>0.61245674740484424</v>
      </c>
      <c r="F55" s="24">
        <f>83/143</f>
        <v>0.58041958041958042</v>
      </c>
      <c r="G55" s="24">
        <f>113/191</f>
        <v>0.59162303664921467</v>
      </c>
      <c r="H55" s="24">
        <f>193/294</f>
        <v>0.65646258503401356</v>
      </c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>
        <f t="shared" si="0"/>
        <v>0.59161783769986498</v>
      </c>
      <c r="T55" s="24">
        <f t="shared" si="1"/>
        <v>5.5362318842109064E-2</v>
      </c>
      <c r="U55" s="24">
        <f t="shared" si="2"/>
        <v>6</v>
      </c>
    </row>
    <row r="56" spans="1:21" x14ac:dyDescent="0.25">
      <c r="A56" s="29">
        <v>55018</v>
      </c>
      <c r="B56" s="29">
        <v>319</v>
      </c>
      <c r="C56" s="26">
        <f>104/(104+54)</f>
        <v>0.65822784810126578</v>
      </c>
      <c r="D56" s="26">
        <f>92/(92+59)</f>
        <v>0.60927152317880795</v>
      </c>
      <c r="E56" s="26">
        <f>62/(62+33)</f>
        <v>0.65263157894736845</v>
      </c>
      <c r="F56" s="26">
        <f>101/(101+70)</f>
        <v>0.59064327485380119</v>
      </c>
      <c r="G56" s="26">
        <f>52/(52+32)</f>
        <v>0.61904761904761907</v>
      </c>
      <c r="H56" s="26">
        <f>103/(103+48)</f>
        <v>0.68211920529801329</v>
      </c>
      <c r="I56" s="26">
        <f>89/(89+41)</f>
        <v>0.68461538461538463</v>
      </c>
      <c r="J56" s="26"/>
      <c r="K56" s="26"/>
      <c r="L56" s="26"/>
      <c r="M56" s="26"/>
      <c r="N56" s="26"/>
      <c r="O56" s="26"/>
      <c r="P56" s="26"/>
      <c r="Q56" s="26"/>
      <c r="R56" s="26"/>
      <c r="S56" s="25">
        <f t="shared" si="0"/>
        <v>0.64236520486318016</v>
      </c>
      <c r="T56" s="25">
        <f t="shared" si="1"/>
        <v>3.6598132344399945E-2</v>
      </c>
      <c r="U56" s="26">
        <f t="shared" si="2"/>
        <v>7</v>
      </c>
    </row>
    <row r="57" spans="1:21" x14ac:dyDescent="0.25">
      <c r="A57" s="21">
        <v>29654</v>
      </c>
      <c r="B57" s="21">
        <v>320</v>
      </c>
      <c r="C57" s="25">
        <f>101/(101+38)</f>
        <v>0.72661870503597126</v>
      </c>
      <c r="D57" s="25">
        <f>90/(90+49)</f>
        <v>0.64748201438848918</v>
      </c>
      <c r="E57" s="28">
        <v>0.70118343195266275</v>
      </c>
      <c r="F57" s="25">
        <f>192/(192+89)</f>
        <v>0.68327402135231319</v>
      </c>
      <c r="G57" s="25">
        <f>179/(179+73)</f>
        <v>0.71031746031746035</v>
      </c>
      <c r="H57" s="28">
        <v>0.68421052631578949</v>
      </c>
      <c r="I57" s="25">
        <f>199/(275)</f>
        <v>0.72363636363636363</v>
      </c>
      <c r="J57" s="25">
        <f>183/(183+82)</f>
        <v>0.69056603773584901</v>
      </c>
      <c r="K57" s="25"/>
      <c r="L57" s="25"/>
      <c r="M57" s="25"/>
      <c r="N57" s="25"/>
      <c r="O57" s="25"/>
      <c r="P57" s="25"/>
      <c r="Q57" s="25"/>
      <c r="R57" s="25"/>
      <c r="S57" s="25">
        <f t="shared" si="0"/>
        <v>0.69591107009186237</v>
      </c>
      <c r="T57" s="25">
        <f t="shared" si="1"/>
        <v>2.5683605548013477E-2</v>
      </c>
      <c r="U57" s="26">
        <f t="shared" si="2"/>
        <v>8</v>
      </c>
    </row>
    <row r="58" spans="1:21" x14ac:dyDescent="0.25">
      <c r="A58" s="21">
        <v>29655</v>
      </c>
      <c r="B58" s="21">
        <v>321</v>
      </c>
      <c r="C58" s="25">
        <f>119/(119+75)</f>
        <v>0.61340206185567014</v>
      </c>
      <c r="D58" s="25">
        <f>76/(76+30)</f>
        <v>0.71698113207547165</v>
      </c>
      <c r="E58" s="25">
        <f>101/(101+59)</f>
        <v>0.63124999999999998</v>
      </c>
      <c r="F58" s="25">
        <f>193/(193+80)</f>
        <v>0.706959706959707</v>
      </c>
      <c r="G58" s="25">
        <f>118/(118+70)</f>
        <v>0.62765957446808507</v>
      </c>
      <c r="H58" s="25">
        <f>102/(102+53)</f>
        <v>0.65806451612903227</v>
      </c>
      <c r="I58" s="25">
        <f>70/(113)</f>
        <v>0.61946902654867253</v>
      </c>
      <c r="J58" s="25">
        <f>141/(141+68)</f>
        <v>0.67464114832535882</v>
      </c>
      <c r="K58" s="25"/>
      <c r="L58" s="25"/>
      <c r="M58" s="25"/>
      <c r="N58" s="25"/>
      <c r="O58" s="25"/>
      <c r="P58" s="25"/>
      <c r="Q58" s="25"/>
      <c r="R58" s="25"/>
      <c r="S58" s="25">
        <f t="shared" si="0"/>
        <v>0.65605339579524968</v>
      </c>
      <c r="T58" s="25">
        <f t="shared" si="1"/>
        <v>4.0057388486043274E-2</v>
      </c>
      <c r="U58" s="26">
        <f t="shared" si="2"/>
        <v>8</v>
      </c>
    </row>
    <row r="59" spans="1:21" x14ac:dyDescent="0.25">
      <c r="A59" s="29">
        <v>25182</v>
      </c>
      <c r="B59" s="29">
        <v>324</v>
      </c>
      <c r="C59" s="26">
        <f>97/186</f>
        <v>0.521505376344086</v>
      </c>
      <c r="D59" s="26">
        <f>191/315</f>
        <v>0.6063492063492063</v>
      </c>
      <c r="E59" s="26">
        <f>185/299</f>
        <v>0.61872909698996659</v>
      </c>
      <c r="F59" s="26">
        <f>94/158</f>
        <v>0.59493670886075944</v>
      </c>
      <c r="G59" s="26">
        <f>143/237</f>
        <v>0.6033755274261603</v>
      </c>
      <c r="H59" s="26">
        <f>204/308</f>
        <v>0.66233766233766234</v>
      </c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5">
        <f t="shared" si="0"/>
        <v>0.60120559638464022</v>
      </c>
      <c r="T59" s="25">
        <f t="shared" si="1"/>
        <v>4.575323357019017E-2</v>
      </c>
      <c r="U59" s="26">
        <f t="shared" si="2"/>
        <v>6</v>
      </c>
    </row>
    <row r="60" spans="1:21" x14ac:dyDescent="0.25">
      <c r="A60" s="23">
        <v>28171</v>
      </c>
      <c r="B60" s="23">
        <v>332</v>
      </c>
      <c r="C60" s="24">
        <f>111/282</f>
        <v>0.39361702127659576</v>
      </c>
      <c r="D60" s="24">
        <f>44/113</f>
        <v>0.38938053097345132</v>
      </c>
      <c r="E60" s="24">
        <f>21/51</f>
        <v>0.41176470588235292</v>
      </c>
      <c r="F60" s="24">
        <f>115/207</f>
        <v>0.55555555555555558</v>
      </c>
      <c r="G60" s="24">
        <f>129/298</f>
        <v>0.43288590604026844</v>
      </c>
      <c r="H60" s="24">
        <f>136/300</f>
        <v>0.45333333333333331</v>
      </c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>
        <f t="shared" si="0"/>
        <v>0.43942284217692618</v>
      </c>
      <c r="T60" s="24">
        <f t="shared" si="1"/>
        <v>6.1790645015533087E-2</v>
      </c>
      <c r="U60" s="24">
        <f t="shared" si="2"/>
        <v>6</v>
      </c>
    </row>
    <row r="61" spans="1:21" x14ac:dyDescent="0.25">
      <c r="A61" s="29">
        <v>25183</v>
      </c>
      <c r="B61" s="29">
        <v>335</v>
      </c>
      <c r="C61" s="26">
        <f>81/(67+81)</f>
        <v>0.54729729729729726</v>
      </c>
      <c r="D61" s="26">
        <f>82/(82+79)</f>
        <v>0.50931677018633537</v>
      </c>
      <c r="E61" s="26">
        <f>95/(95+91)</f>
        <v>0.510752688172043</v>
      </c>
      <c r="F61" s="26">
        <f>112/(112+72)</f>
        <v>0.60869565217391308</v>
      </c>
      <c r="G61" s="26">
        <f>60/(126)</f>
        <v>0.47619047619047616</v>
      </c>
      <c r="H61" s="26">
        <f>72/(63+72)</f>
        <v>0.53333333333333333</v>
      </c>
      <c r="I61" s="26">
        <f>45/(45+38)</f>
        <v>0.54216867469879515</v>
      </c>
      <c r="J61" s="26"/>
      <c r="K61" s="26"/>
      <c r="L61" s="26"/>
      <c r="M61" s="26"/>
      <c r="N61" s="26"/>
      <c r="O61" s="26"/>
      <c r="P61" s="26"/>
      <c r="Q61" s="26"/>
      <c r="R61" s="26"/>
      <c r="S61" s="25">
        <f t="shared" si="0"/>
        <v>0.5325364131503133</v>
      </c>
      <c r="T61" s="25">
        <f t="shared" si="1"/>
        <v>4.1432829252008245E-2</v>
      </c>
      <c r="U61" s="26">
        <f t="shared" si="2"/>
        <v>7</v>
      </c>
    </row>
    <row r="62" spans="1:21" x14ac:dyDescent="0.25">
      <c r="A62" s="23">
        <v>28172</v>
      </c>
      <c r="B62" s="23">
        <v>336</v>
      </c>
      <c r="C62" s="24">
        <v>0.74293785310734461</v>
      </c>
      <c r="D62" s="24">
        <v>0.6558441558441559</v>
      </c>
      <c r="E62" s="24">
        <v>0.68307692307692314</v>
      </c>
      <c r="F62" s="24">
        <v>0.62093023255813962</v>
      </c>
      <c r="G62" s="24">
        <v>0.74212034383954162</v>
      </c>
      <c r="H62" s="24">
        <v>0.61618798955613574</v>
      </c>
      <c r="I62" s="24">
        <v>0.6835106382978724</v>
      </c>
      <c r="J62" s="24">
        <v>0.58252427184466016</v>
      </c>
      <c r="K62" s="24">
        <v>0.71267605633802811</v>
      </c>
      <c r="L62" s="24"/>
      <c r="M62" s="24"/>
      <c r="N62" s="24"/>
      <c r="O62" s="24"/>
      <c r="P62" s="24"/>
      <c r="Q62" s="24"/>
      <c r="R62" s="24"/>
      <c r="S62" s="24">
        <f t="shared" si="0"/>
        <v>0.6710898293847557</v>
      </c>
      <c r="T62" s="24">
        <f t="shared" si="1"/>
        <v>5.6834561879715771E-2</v>
      </c>
      <c r="U62" s="24">
        <f t="shared" si="2"/>
        <v>9</v>
      </c>
    </row>
    <row r="63" spans="1:21" x14ac:dyDescent="0.25">
      <c r="A63" s="23">
        <v>28173</v>
      </c>
      <c r="B63" s="23">
        <v>338</v>
      </c>
      <c r="C63" s="24">
        <v>0.76384839650145775</v>
      </c>
      <c r="D63" s="24">
        <v>0.72727272727272729</v>
      </c>
      <c r="E63" s="24">
        <v>0.75103734439834025</v>
      </c>
      <c r="F63" s="24">
        <v>0.76487252124645888</v>
      </c>
      <c r="G63" s="24">
        <v>0.80891719745222934</v>
      </c>
      <c r="H63" s="24">
        <v>0.72202166064981954</v>
      </c>
      <c r="I63" s="24">
        <v>0.72363636363636363</v>
      </c>
      <c r="J63" s="24">
        <v>0.79335793357933582</v>
      </c>
      <c r="K63" s="24"/>
      <c r="L63" s="24"/>
      <c r="M63" s="24"/>
      <c r="N63" s="24"/>
      <c r="O63" s="24"/>
      <c r="P63" s="24"/>
      <c r="Q63" s="24"/>
      <c r="R63" s="24"/>
      <c r="S63" s="24">
        <f t="shared" si="0"/>
        <v>0.7568705180920916</v>
      </c>
      <c r="T63" s="24">
        <f t="shared" si="1"/>
        <v>3.2473985604043742E-2</v>
      </c>
      <c r="U63" s="24">
        <f t="shared" si="2"/>
        <v>8</v>
      </c>
    </row>
    <row r="64" spans="1:21" x14ac:dyDescent="0.25">
      <c r="A64" s="23">
        <v>28174</v>
      </c>
      <c r="B64" s="23">
        <v>340</v>
      </c>
      <c r="C64" s="24">
        <f>164/(164+78)</f>
        <v>0.6776859504132231</v>
      </c>
      <c r="D64" s="24">
        <f>150/(150+73)</f>
        <v>0.67264573991031396</v>
      </c>
      <c r="E64" s="24">
        <v>0.66402116402116407</v>
      </c>
      <c r="F64" s="24">
        <v>0.72727272727272729</v>
      </c>
      <c r="G64" s="24">
        <v>0.6954022988505747</v>
      </c>
      <c r="H64" s="24">
        <f>152/(152+82)</f>
        <v>0.6495726495726496</v>
      </c>
      <c r="I64" s="27">
        <v>0.66390041493775931</v>
      </c>
      <c r="J64" s="24"/>
      <c r="K64" s="24"/>
      <c r="L64" s="24"/>
      <c r="M64" s="24"/>
      <c r="N64" s="24"/>
      <c r="O64" s="24"/>
      <c r="P64" s="24"/>
      <c r="Q64" s="24"/>
      <c r="R64" s="24"/>
      <c r="S64" s="24">
        <f t="shared" si="0"/>
        <v>0.67864299213977319</v>
      </c>
      <c r="T64" s="24">
        <f t="shared" si="1"/>
        <v>2.5686685009798055E-2</v>
      </c>
      <c r="U64" s="24">
        <f t="shared" si="2"/>
        <v>7</v>
      </c>
    </row>
    <row r="65" spans="1:21" ht="15.75" x14ac:dyDescent="0.25">
      <c r="A65" s="31">
        <v>55019</v>
      </c>
      <c r="B65" s="31">
        <v>348</v>
      </c>
      <c r="C65" s="32">
        <f>106/(200)</f>
        <v>0.53</v>
      </c>
      <c r="D65" s="32">
        <f>137/(224)</f>
        <v>0.6116071428571429</v>
      </c>
      <c r="E65" s="32">
        <f>144/(235)</f>
        <v>0.61276595744680851</v>
      </c>
      <c r="F65" s="32">
        <f>76/126</f>
        <v>0.60317460317460314</v>
      </c>
      <c r="G65" s="32">
        <f>161/242</f>
        <v>0.66528925619834711</v>
      </c>
      <c r="H65" s="32">
        <f>107/(107+47)</f>
        <v>0.69480519480519476</v>
      </c>
      <c r="I65" s="32">
        <f>171/240</f>
        <v>0.71250000000000002</v>
      </c>
      <c r="J65" s="32">
        <f>189/286</f>
        <v>0.66083916083916083</v>
      </c>
      <c r="K65" s="32">
        <f>100/146</f>
        <v>0.68493150684931503</v>
      </c>
      <c r="L65" s="32">
        <f>204/(204+79)</f>
        <v>0.72084805653710249</v>
      </c>
      <c r="M65" s="30"/>
      <c r="N65" s="30"/>
      <c r="O65" s="30"/>
      <c r="P65" s="30"/>
      <c r="Q65" s="30"/>
      <c r="R65" s="30"/>
      <c r="S65" s="24">
        <f t="shared" si="0"/>
        <v>0.64967608787076747</v>
      </c>
      <c r="T65" s="24">
        <f t="shared" si="1"/>
        <v>5.9588044598636203E-2</v>
      </c>
      <c r="U65" s="24">
        <f t="shared" si="2"/>
        <v>10</v>
      </c>
    </row>
    <row r="66" spans="1:21" x14ac:dyDescent="0.25">
      <c r="A66" s="23">
        <v>28176</v>
      </c>
      <c r="B66" s="23">
        <v>350</v>
      </c>
      <c r="C66" s="24">
        <v>0.48648648648648651</v>
      </c>
      <c r="D66" s="24">
        <v>0.61290322580645162</v>
      </c>
      <c r="E66" s="24">
        <v>0.61631419939577037</v>
      </c>
      <c r="F66" s="24">
        <v>0.63583815028901736</v>
      </c>
      <c r="G66" s="24">
        <v>0.65284974093264247</v>
      </c>
      <c r="H66" s="24">
        <v>0.57731958762886593</v>
      </c>
      <c r="I66" s="24">
        <v>0.51470588235294112</v>
      </c>
      <c r="J66" s="24">
        <v>0.65909090909090906</v>
      </c>
      <c r="K66" s="24"/>
      <c r="L66" s="24"/>
      <c r="M66" s="24"/>
      <c r="N66" s="24"/>
      <c r="O66" s="24"/>
      <c r="P66" s="24"/>
      <c r="Q66" s="24"/>
      <c r="R66" s="24"/>
      <c r="S66" s="24">
        <f t="shared" ref="S66:S129" si="3">AVERAGE(C66:R66)</f>
        <v>0.59443852274788556</v>
      </c>
      <c r="T66" s="24">
        <f t="shared" ref="T66:T129" si="4">STDEV(C66:R66)</f>
        <v>6.3728458696705917E-2</v>
      </c>
      <c r="U66" s="24">
        <f t="shared" ref="U66:U129" si="5">COUNT(C66:R66)</f>
        <v>8</v>
      </c>
    </row>
    <row r="67" spans="1:21" x14ac:dyDescent="0.25">
      <c r="A67" s="23">
        <v>28177</v>
      </c>
      <c r="B67" s="23">
        <v>352</v>
      </c>
      <c r="C67" s="24">
        <v>0.57874015748031493</v>
      </c>
      <c r="D67" s="24">
        <v>0.57370517928286857</v>
      </c>
      <c r="E67" s="24">
        <v>0.46735395189003442</v>
      </c>
      <c r="F67" s="24">
        <v>0.52463768115942033</v>
      </c>
      <c r="G67" s="24">
        <v>0.53003533568904593</v>
      </c>
      <c r="H67" s="24">
        <v>0.49056603773584911</v>
      </c>
      <c r="I67" s="24">
        <v>0.5337620578778135</v>
      </c>
      <c r="J67" s="24">
        <v>0.67006802721088432</v>
      </c>
      <c r="K67" s="24">
        <v>0.64436619718309862</v>
      </c>
      <c r="L67" s="24">
        <v>0.52684563758389258</v>
      </c>
      <c r="M67" s="24">
        <v>0.56145251396648044</v>
      </c>
      <c r="N67" s="24">
        <v>0.5814606741573034</v>
      </c>
      <c r="O67" s="24">
        <v>0.59177215189873422</v>
      </c>
      <c r="P67" s="24">
        <v>0.60660660660660659</v>
      </c>
      <c r="Q67" s="24"/>
      <c r="R67" s="24"/>
      <c r="S67" s="24">
        <f t="shared" si="3"/>
        <v>0.56295515783731043</v>
      </c>
      <c r="T67" s="24">
        <f t="shared" si="4"/>
        <v>5.5907951149068748E-2</v>
      </c>
      <c r="U67" s="24">
        <f t="shared" si="5"/>
        <v>14</v>
      </c>
    </row>
    <row r="68" spans="1:21" x14ac:dyDescent="0.25">
      <c r="A68" s="29">
        <v>55020</v>
      </c>
      <c r="B68" s="29">
        <v>354</v>
      </c>
      <c r="C68" s="26">
        <f>208/(208+43)</f>
        <v>0.82868525896414347</v>
      </c>
      <c r="D68" s="26">
        <f>169/(169+53)</f>
        <v>0.76126126126126126</v>
      </c>
      <c r="E68" s="26">
        <f>100/135</f>
        <v>0.7407407407407407</v>
      </c>
      <c r="F68" s="26">
        <f>190/(190+64)</f>
        <v>0.74803149606299213</v>
      </c>
      <c r="G68" s="26">
        <f>151/(151+49)</f>
        <v>0.755</v>
      </c>
      <c r="H68" s="26">
        <f>210/(210+55)</f>
        <v>0.79245283018867929</v>
      </c>
      <c r="I68" s="26">
        <f>20/(29)</f>
        <v>0.68965517241379315</v>
      </c>
      <c r="J68" s="26">
        <f>55/(55+28)</f>
        <v>0.66265060240963858</v>
      </c>
      <c r="K68" s="26">
        <f>146/(146+48)</f>
        <v>0.75257731958762886</v>
      </c>
      <c r="L68" s="26">
        <f>172/(172+60)</f>
        <v>0.74137931034482762</v>
      </c>
      <c r="M68" s="26">
        <f>133/(133+45)</f>
        <v>0.7471910112359551</v>
      </c>
      <c r="N68" s="26"/>
      <c r="O68" s="26"/>
      <c r="P68" s="26"/>
      <c r="Q68" s="26"/>
      <c r="R68" s="26"/>
      <c r="S68" s="24">
        <f t="shared" si="3"/>
        <v>0.74723863665542367</v>
      </c>
      <c r="T68" s="24">
        <f t="shared" si="4"/>
        <v>4.4171739858875202E-2</v>
      </c>
      <c r="U68" s="24">
        <f t="shared" si="5"/>
        <v>11</v>
      </c>
    </row>
    <row r="69" spans="1:21" x14ac:dyDescent="0.25">
      <c r="A69" s="31">
        <v>55038</v>
      </c>
      <c r="B69" s="31">
        <v>355</v>
      </c>
      <c r="C69" s="30">
        <f>182/(182+58)</f>
        <v>0.7583333333333333</v>
      </c>
      <c r="D69" s="30">
        <f>150/190</f>
        <v>0.78947368421052633</v>
      </c>
      <c r="E69" s="30">
        <f>100/140</f>
        <v>0.7142857142857143</v>
      </c>
      <c r="F69" s="30">
        <f>106/(106+61)</f>
        <v>0.6347305389221557</v>
      </c>
      <c r="G69" s="30">
        <f>69/(69+27)</f>
        <v>0.71875</v>
      </c>
      <c r="H69" s="30">
        <f>44/(44+20)</f>
        <v>0.6875</v>
      </c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24">
        <f t="shared" si="3"/>
        <v>0.7171788784586216</v>
      </c>
      <c r="T69" s="24">
        <f t="shared" si="4"/>
        <v>5.4054845176822949E-2</v>
      </c>
      <c r="U69" s="24">
        <f t="shared" si="5"/>
        <v>6</v>
      </c>
    </row>
    <row r="70" spans="1:21" x14ac:dyDescent="0.25">
      <c r="A70" s="23">
        <v>28178</v>
      </c>
      <c r="B70" s="23">
        <v>356</v>
      </c>
      <c r="C70" s="24">
        <f>139/(139+81)</f>
        <v>0.63181818181818183</v>
      </c>
      <c r="D70" s="24">
        <f>147/(147+83)</f>
        <v>0.63913043478260867</v>
      </c>
      <c r="E70" s="24">
        <f>122/(122+55)</f>
        <v>0.68926553672316382</v>
      </c>
      <c r="F70" s="24">
        <f>111/(111+62)</f>
        <v>0.64161849710982655</v>
      </c>
      <c r="G70" s="24">
        <f>223/(223+80)</f>
        <v>0.735973597359736</v>
      </c>
      <c r="H70" s="24">
        <f>157/(157+72)</f>
        <v>0.68558951965065507</v>
      </c>
      <c r="I70" s="24">
        <f>172/(172+78)</f>
        <v>0.68799999999999994</v>
      </c>
      <c r="J70" s="24">
        <f>144/(144+75)</f>
        <v>0.65753424657534243</v>
      </c>
      <c r="K70" s="24"/>
      <c r="L70" s="24"/>
      <c r="M70" s="24"/>
      <c r="N70" s="24"/>
      <c r="O70" s="24"/>
      <c r="P70" s="24"/>
      <c r="Q70" s="24"/>
      <c r="R70" s="24"/>
      <c r="S70" s="24">
        <f t="shared" si="3"/>
        <v>0.67111625175243927</v>
      </c>
      <c r="T70" s="24">
        <f t="shared" si="4"/>
        <v>3.5157660096211484E-2</v>
      </c>
      <c r="U70" s="24">
        <f t="shared" si="5"/>
        <v>8</v>
      </c>
    </row>
    <row r="71" spans="1:21" x14ac:dyDescent="0.25">
      <c r="A71" s="21">
        <v>25184</v>
      </c>
      <c r="B71" s="21">
        <v>357</v>
      </c>
      <c r="C71" s="25">
        <f>1-60/187</f>
        <v>0.67914438502673802</v>
      </c>
      <c r="D71" s="25">
        <f>1-19/54</f>
        <v>0.64814814814814814</v>
      </c>
      <c r="E71" s="25">
        <f>1-38/137</f>
        <v>0.72262773722627738</v>
      </c>
      <c r="F71" s="25">
        <f>1-24/81</f>
        <v>0.70370370370370372</v>
      </c>
      <c r="G71" s="25">
        <f>1-38/120</f>
        <v>0.68333333333333335</v>
      </c>
      <c r="H71" s="25">
        <f>1-15/52</f>
        <v>0.71153846153846156</v>
      </c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>
        <f t="shared" si="3"/>
        <v>0.6914159614961104</v>
      </c>
      <c r="T71" s="25">
        <f t="shared" si="4"/>
        <v>2.6900195909027889E-2</v>
      </c>
      <c r="U71" s="26">
        <f t="shared" si="5"/>
        <v>6</v>
      </c>
    </row>
    <row r="72" spans="1:21" x14ac:dyDescent="0.25">
      <c r="A72" s="29">
        <v>25185</v>
      </c>
      <c r="B72" s="29">
        <v>358</v>
      </c>
      <c r="C72" s="26">
        <f>116/163</f>
        <v>0.71165644171779141</v>
      </c>
      <c r="D72" s="26">
        <f>44/60</f>
        <v>0.73333333333333328</v>
      </c>
      <c r="E72" s="26">
        <f>66/87</f>
        <v>0.75862068965517238</v>
      </c>
      <c r="F72" s="26">
        <f>98/152</f>
        <v>0.64473684210526316</v>
      </c>
      <c r="G72" s="26">
        <f>153/238</f>
        <v>0.6428571428571429</v>
      </c>
      <c r="H72" s="26">
        <f>151/223</f>
        <v>0.67713004484304928</v>
      </c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5">
        <f t="shared" si="3"/>
        <v>0.6947224157519587</v>
      </c>
      <c r="T72" s="25">
        <f t="shared" si="4"/>
        <v>4.7662583268507162E-2</v>
      </c>
      <c r="U72" s="26">
        <f t="shared" si="5"/>
        <v>6</v>
      </c>
    </row>
    <row r="73" spans="1:21" x14ac:dyDescent="0.25">
      <c r="A73" s="23">
        <v>28179</v>
      </c>
      <c r="B73" s="23">
        <v>359</v>
      </c>
      <c r="C73" s="24">
        <v>0.58306188925081437</v>
      </c>
      <c r="D73" s="24">
        <v>0.45622119815668211</v>
      </c>
      <c r="E73" s="24">
        <v>0.54746835443037978</v>
      </c>
      <c r="F73" s="24">
        <v>0.54666666666666663</v>
      </c>
      <c r="G73" s="24">
        <v>0.47122302158273383</v>
      </c>
      <c r="H73" s="24">
        <v>0.56774193548387097</v>
      </c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>
        <f t="shared" si="3"/>
        <v>0.52873051092852463</v>
      </c>
      <c r="T73" s="24">
        <f t="shared" si="4"/>
        <v>5.2366619420201807E-2</v>
      </c>
      <c r="U73" s="24">
        <f t="shared" si="5"/>
        <v>6</v>
      </c>
    </row>
    <row r="74" spans="1:21" x14ac:dyDescent="0.25">
      <c r="A74" s="23">
        <v>28180</v>
      </c>
      <c r="B74" s="23">
        <v>361</v>
      </c>
      <c r="C74" s="24">
        <f>118/(118+55)</f>
        <v>0.68208092485549132</v>
      </c>
      <c r="D74" s="24">
        <f>80/(80+22)</f>
        <v>0.78431372549019607</v>
      </c>
      <c r="E74" s="24">
        <f>93/(153)</f>
        <v>0.60784313725490191</v>
      </c>
      <c r="F74" s="24">
        <f>157/(157+33)</f>
        <v>0.82631578947368423</v>
      </c>
      <c r="G74" s="24">
        <f>155/(155+74)</f>
        <v>0.67685589519650657</v>
      </c>
      <c r="H74" s="24">
        <f>130/(130+62)</f>
        <v>0.67708333333333337</v>
      </c>
      <c r="I74" s="24">
        <f>145/(145+50)</f>
        <v>0.74358974358974361</v>
      </c>
      <c r="J74" s="24"/>
      <c r="K74" s="24"/>
      <c r="L74" s="24"/>
      <c r="M74" s="24"/>
      <c r="N74" s="24"/>
      <c r="O74" s="24"/>
      <c r="P74" s="24"/>
      <c r="Q74" s="24"/>
      <c r="R74" s="24"/>
      <c r="S74" s="24">
        <f t="shared" si="3"/>
        <v>0.71401179274197957</v>
      </c>
      <c r="T74" s="24">
        <f t="shared" si="4"/>
        <v>7.4682706805777224E-2</v>
      </c>
      <c r="U74" s="24">
        <f t="shared" si="5"/>
        <v>7</v>
      </c>
    </row>
    <row r="75" spans="1:21" x14ac:dyDescent="0.25">
      <c r="A75" s="21">
        <v>25187</v>
      </c>
      <c r="B75" s="21">
        <v>362</v>
      </c>
      <c r="C75" s="25">
        <f>71/(91+71)</f>
        <v>0.43827160493827161</v>
      </c>
      <c r="D75" s="25">
        <f>70/(70+108)</f>
        <v>0.39325842696629215</v>
      </c>
      <c r="E75" s="25">
        <f>74/(108+74)</f>
        <v>0.40659340659340659</v>
      </c>
      <c r="F75" s="25">
        <f>83/(90+83)</f>
        <v>0.47976878612716761</v>
      </c>
      <c r="G75" s="25">
        <f>105/(77+105)</f>
        <v>0.57692307692307687</v>
      </c>
      <c r="H75" s="25">
        <f>98/201</f>
        <v>0.48756218905472637</v>
      </c>
      <c r="I75" s="25">
        <f>108/(133+108)</f>
        <v>0.44813278008298757</v>
      </c>
      <c r="J75" s="25">
        <f>94/(109+94)</f>
        <v>0.46305418719211822</v>
      </c>
      <c r="K75" s="25"/>
      <c r="L75" s="25"/>
      <c r="M75" s="25"/>
      <c r="N75" s="25"/>
      <c r="O75" s="25"/>
      <c r="P75" s="25"/>
      <c r="Q75" s="25"/>
      <c r="R75" s="25"/>
      <c r="S75" s="25">
        <f t="shared" si="3"/>
        <v>0.46169555723475586</v>
      </c>
      <c r="T75" s="25">
        <f t="shared" si="4"/>
        <v>5.6980535126520064E-2</v>
      </c>
      <c r="U75" s="26">
        <f t="shared" si="5"/>
        <v>8</v>
      </c>
    </row>
    <row r="76" spans="1:21" x14ac:dyDescent="0.25">
      <c r="A76" s="31">
        <v>28181</v>
      </c>
      <c r="B76" s="31">
        <v>367</v>
      </c>
      <c r="C76" s="30">
        <f>213/(213+53)</f>
        <v>0.8007518796992481</v>
      </c>
      <c r="D76" s="30">
        <f>194/(194+76)</f>
        <v>0.71851851851851856</v>
      </c>
      <c r="E76" s="30">
        <f>169/(169+61)</f>
        <v>0.73478260869565215</v>
      </c>
      <c r="F76" s="30">
        <f>121/(121+46)</f>
        <v>0.72455089820359286</v>
      </c>
      <c r="G76" s="30">
        <f>210/(210+95)</f>
        <v>0.68852459016393441</v>
      </c>
      <c r="H76" s="30">
        <f>135/(135+58)</f>
        <v>0.69948186528497414</v>
      </c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24">
        <f t="shared" si="3"/>
        <v>0.72776839342765343</v>
      </c>
      <c r="T76" s="24">
        <f t="shared" si="4"/>
        <v>3.9526964756989476E-2</v>
      </c>
      <c r="U76" s="24">
        <f t="shared" si="5"/>
        <v>6</v>
      </c>
    </row>
    <row r="77" spans="1:21" x14ac:dyDescent="0.25">
      <c r="A77" s="23">
        <v>28182</v>
      </c>
      <c r="B77" s="23">
        <v>370</v>
      </c>
      <c r="C77" s="24">
        <f>138/(138+80)</f>
        <v>0.6330275229357798</v>
      </c>
      <c r="D77" s="24">
        <f>163/(163+96)</f>
        <v>0.62934362934362931</v>
      </c>
      <c r="E77" s="24">
        <f>186/(186+89)</f>
        <v>0.67636363636363639</v>
      </c>
      <c r="F77" s="24">
        <f>184/(184+74)</f>
        <v>0.71317829457364346</v>
      </c>
      <c r="G77" s="24">
        <f>145/(145+89)</f>
        <v>0.61965811965811968</v>
      </c>
      <c r="H77" s="24">
        <v>0.65427509289999997</v>
      </c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>
        <f t="shared" si="3"/>
        <v>0.65430771596246806</v>
      </c>
      <c r="T77" s="24">
        <f t="shared" si="4"/>
        <v>3.5295485476309202E-2</v>
      </c>
      <c r="U77" s="24">
        <f t="shared" si="5"/>
        <v>6</v>
      </c>
    </row>
    <row r="78" spans="1:21" x14ac:dyDescent="0.25">
      <c r="A78" s="23">
        <v>28183</v>
      </c>
      <c r="B78" s="23">
        <v>371</v>
      </c>
      <c r="C78" s="24">
        <f>152/(152+107)</f>
        <v>0.58687258687258692</v>
      </c>
      <c r="D78" s="24">
        <f>96/(67+96)</f>
        <v>0.58895705521472397</v>
      </c>
      <c r="E78" s="24">
        <f>79/(79+63)</f>
        <v>0.55633802816901412</v>
      </c>
      <c r="F78" s="24">
        <f>38/(38+48)</f>
        <v>0.44186046511627908</v>
      </c>
      <c r="G78" s="24">
        <f>91/(91+49)</f>
        <v>0.65</v>
      </c>
      <c r="H78" s="24">
        <f>131/(131+108)</f>
        <v>0.54811715481171552</v>
      </c>
      <c r="I78" s="24">
        <f>120/(120+69)</f>
        <v>0.63492063492063489</v>
      </c>
      <c r="J78" s="24">
        <f>90/(90+53)</f>
        <v>0.62937062937062938</v>
      </c>
      <c r="K78" s="24"/>
      <c r="L78" s="24"/>
      <c r="M78" s="24"/>
      <c r="N78" s="24"/>
      <c r="O78" s="24"/>
      <c r="P78" s="24"/>
      <c r="Q78" s="24"/>
      <c r="R78" s="24"/>
      <c r="S78" s="24">
        <f t="shared" si="3"/>
        <v>0.57955456930944793</v>
      </c>
      <c r="T78" s="24">
        <f t="shared" si="4"/>
        <v>6.6696053675396605E-2</v>
      </c>
      <c r="U78" s="24">
        <f t="shared" si="5"/>
        <v>8</v>
      </c>
    </row>
    <row r="79" spans="1:21" x14ac:dyDescent="0.25">
      <c r="A79" s="23">
        <v>28184</v>
      </c>
      <c r="B79" s="23">
        <v>373</v>
      </c>
      <c r="C79" s="24">
        <f>73/(73+53)</f>
        <v>0.57936507936507942</v>
      </c>
      <c r="D79" s="24">
        <f>141/(141+77)</f>
        <v>0.64678899082568808</v>
      </c>
      <c r="E79" s="24">
        <f>37/(37+22)</f>
        <v>0.6271186440677966</v>
      </c>
      <c r="F79" s="24">
        <f>60/(60+25)</f>
        <v>0.70588235294117652</v>
      </c>
      <c r="G79" s="24">
        <f>81/(81+42)</f>
        <v>0.65853658536585369</v>
      </c>
      <c r="H79" s="24">
        <f>74/104</f>
        <v>0.71153846153846156</v>
      </c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>
        <f t="shared" si="3"/>
        <v>0.65487168568400944</v>
      </c>
      <c r="T79" s="24">
        <f t="shared" si="4"/>
        <v>4.9726154129117961E-2</v>
      </c>
      <c r="U79" s="24">
        <f t="shared" si="5"/>
        <v>6</v>
      </c>
    </row>
    <row r="80" spans="1:21" x14ac:dyDescent="0.25">
      <c r="A80" s="23">
        <v>28186</v>
      </c>
      <c r="B80" s="23">
        <v>377</v>
      </c>
      <c r="C80" s="24">
        <f>146/244</f>
        <v>0.59836065573770492</v>
      </c>
      <c r="D80" s="24">
        <f>107/224</f>
        <v>0.47767857142857145</v>
      </c>
      <c r="E80" s="24">
        <f>69/124</f>
        <v>0.55645161290322576</v>
      </c>
      <c r="F80" s="24">
        <f>64/127</f>
        <v>0.50393700787401574</v>
      </c>
      <c r="G80" s="24">
        <f>81/158</f>
        <v>0.51265822784810122</v>
      </c>
      <c r="H80" s="24">
        <f>53/101</f>
        <v>0.52475247524752477</v>
      </c>
      <c r="I80" s="24">
        <f>61/143</f>
        <v>0.42657342657342656</v>
      </c>
      <c r="J80" s="24"/>
      <c r="K80" s="24"/>
      <c r="L80" s="24"/>
      <c r="M80" s="24"/>
      <c r="N80" s="24"/>
      <c r="O80" s="24"/>
      <c r="P80" s="24"/>
      <c r="Q80" s="24"/>
      <c r="R80" s="24"/>
      <c r="S80" s="24">
        <f t="shared" si="3"/>
        <v>0.51434456823036723</v>
      </c>
      <c r="T80" s="24">
        <f t="shared" si="4"/>
        <v>5.4923219718209848E-2</v>
      </c>
      <c r="U80" s="24">
        <f t="shared" si="5"/>
        <v>7</v>
      </c>
    </row>
    <row r="81" spans="1:21" x14ac:dyDescent="0.25">
      <c r="A81" s="21">
        <v>25189</v>
      </c>
      <c r="B81" s="21">
        <v>379</v>
      </c>
      <c r="C81" s="25">
        <f>65/(160)</f>
        <v>0.40625</v>
      </c>
      <c r="D81" s="25">
        <f>28/(65+28)</f>
        <v>0.30107526881720431</v>
      </c>
      <c r="E81" s="25">
        <f>32/(32+68)</f>
        <v>0.32</v>
      </c>
      <c r="F81" s="25">
        <f>27/(62+27)</f>
        <v>0.30337078651685395</v>
      </c>
      <c r="G81" s="25">
        <f>50/(177)</f>
        <v>0.2824858757062147</v>
      </c>
      <c r="H81" s="25">
        <f>55/(87+55)</f>
        <v>0.38732394366197181</v>
      </c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>
        <f t="shared" si="3"/>
        <v>0.33341764578370747</v>
      </c>
      <c r="T81" s="25">
        <f t="shared" si="4"/>
        <v>5.0859339934522692E-2</v>
      </c>
      <c r="U81" s="26">
        <f t="shared" si="5"/>
        <v>6</v>
      </c>
    </row>
    <row r="82" spans="1:21" x14ac:dyDescent="0.25">
      <c r="A82" s="21">
        <v>25190</v>
      </c>
      <c r="B82" s="21">
        <v>380</v>
      </c>
      <c r="C82" s="25">
        <f>137/191</f>
        <v>0.7172774869109948</v>
      </c>
      <c r="D82" s="25">
        <f>137/195</f>
        <v>0.70256410256410251</v>
      </c>
      <c r="E82" s="25">
        <f>128/(199)</f>
        <v>0.64321608040201006</v>
      </c>
      <c r="F82" s="25">
        <f>139/201</f>
        <v>0.69154228855721389</v>
      </c>
      <c r="G82" s="25">
        <f>144/(227)</f>
        <v>0.63436123348017626</v>
      </c>
      <c r="H82" s="25">
        <f>112/167</f>
        <v>0.6706586826347305</v>
      </c>
      <c r="I82" s="25">
        <f>128/177</f>
        <v>0.7231638418079096</v>
      </c>
      <c r="J82" s="25">
        <f>97/156</f>
        <v>0.62179487179487181</v>
      </c>
      <c r="K82" s="25">
        <f>198/296</f>
        <v>0.66891891891891897</v>
      </c>
      <c r="L82" s="25"/>
      <c r="M82" s="25"/>
      <c r="N82" s="25"/>
      <c r="O82" s="25"/>
      <c r="P82" s="25"/>
      <c r="Q82" s="25"/>
      <c r="R82" s="25"/>
      <c r="S82" s="25">
        <f t="shared" si="3"/>
        <v>0.67483305634121438</v>
      </c>
      <c r="T82" s="25">
        <f t="shared" si="4"/>
        <v>3.6552457042214222E-2</v>
      </c>
      <c r="U82" s="26">
        <f t="shared" si="5"/>
        <v>9</v>
      </c>
    </row>
    <row r="83" spans="1:21" x14ac:dyDescent="0.25">
      <c r="A83" s="23">
        <v>28188</v>
      </c>
      <c r="B83" s="23">
        <v>381</v>
      </c>
      <c r="C83" s="24">
        <f>149/(149+52)</f>
        <v>0.74129353233830841</v>
      </c>
      <c r="D83" s="24">
        <f>129/(129+64)</f>
        <v>0.66839378238341973</v>
      </c>
      <c r="E83" s="24">
        <f>163/(163+73)</f>
        <v>0.69067796610169496</v>
      </c>
      <c r="F83" s="24">
        <f>159/(159+71)</f>
        <v>0.69130434782608696</v>
      </c>
      <c r="G83" s="24">
        <f>120/(120+62)</f>
        <v>0.65934065934065933</v>
      </c>
      <c r="H83" s="24">
        <f>136/(136+55)</f>
        <v>0.7120418848167539</v>
      </c>
      <c r="I83" s="24">
        <f>170/(170+66)</f>
        <v>0.72033898305084743</v>
      </c>
      <c r="J83" s="24">
        <f>177/(177+65)</f>
        <v>0.73140495867768596</v>
      </c>
      <c r="K83" s="24">
        <f>135/(135+79)</f>
        <v>0.63084112149532712</v>
      </c>
      <c r="L83" s="24">
        <f>157/(157+60)</f>
        <v>0.72350230414746541</v>
      </c>
      <c r="M83" s="24">
        <f>156/(156+47)</f>
        <v>0.76847290640394084</v>
      </c>
      <c r="N83" s="24">
        <f>146/(146+57)</f>
        <v>0.71921182266009853</v>
      </c>
      <c r="O83" s="24"/>
      <c r="P83" s="24"/>
      <c r="Q83" s="24"/>
      <c r="R83" s="24"/>
      <c r="S83" s="24">
        <f t="shared" si="3"/>
        <v>0.70473535577019064</v>
      </c>
      <c r="T83" s="24">
        <f t="shared" si="4"/>
        <v>3.836264377082705E-2</v>
      </c>
      <c r="U83" s="24">
        <f t="shared" si="5"/>
        <v>12</v>
      </c>
    </row>
    <row r="84" spans="1:21" x14ac:dyDescent="0.25">
      <c r="A84" s="23">
        <v>28189</v>
      </c>
      <c r="B84" s="23">
        <v>382</v>
      </c>
      <c r="C84" s="27">
        <v>0.69886363636363635</v>
      </c>
      <c r="D84" s="27">
        <v>0.76923076923076927</v>
      </c>
      <c r="E84" s="24">
        <f>112/(112+42)</f>
        <v>0.72727272727272729</v>
      </c>
      <c r="F84" s="27">
        <v>0.72139303482587069</v>
      </c>
      <c r="G84" s="24">
        <f>101/(101+24)</f>
        <v>0.80800000000000005</v>
      </c>
      <c r="H84" s="24">
        <f>142/(142+58)</f>
        <v>0.71</v>
      </c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>
        <f t="shared" si="3"/>
        <v>0.73912669461550051</v>
      </c>
      <c r="T84" s="24">
        <f t="shared" si="4"/>
        <v>4.1410783458765192E-2</v>
      </c>
      <c r="U84" s="24">
        <f t="shared" si="5"/>
        <v>6</v>
      </c>
    </row>
    <row r="85" spans="1:21" x14ac:dyDescent="0.25">
      <c r="A85" s="23">
        <v>28190</v>
      </c>
      <c r="B85" s="23">
        <v>383</v>
      </c>
      <c r="C85" s="24">
        <f>132/(132+68)</f>
        <v>0.66</v>
      </c>
      <c r="D85" s="24">
        <f>118/(118+98)</f>
        <v>0.54629629629629628</v>
      </c>
      <c r="E85" s="27">
        <v>0.58895705521472397</v>
      </c>
      <c r="F85" s="27">
        <v>0.57549857549857553</v>
      </c>
      <c r="G85" s="27">
        <v>0.63722397476340698</v>
      </c>
      <c r="H85" s="24">
        <f>100/(160)</f>
        <v>0.625</v>
      </c>
      <c r="I85" s="27">
        <v>0.5955056179775281</v>
      </c>
      <c r="J85" s="24">
        <f>143/(143+70)</f>
        <v>0.67136150234741787</v>
      </c>
      <c r="K85" s="27">
        <v>0.60504201680672265</v>
      </c>
      <c r="L85" s="27">
        <v>0.54485049833887045</v>
      </c>
      <c r="M85" s="27">
        <v>0.67942583732057416</v>
      </c>
      <c r="N85" s="27">
        <v>0.51027397260273977</v>
      </c>
      <c r="O85" s="27">
        <v>0.67664670658682635</v>
      </c>
      <c r="P85" s="27">
        <v>0.74626865671641796</v>
      </c>
      <c r="Q85" s="24"/>
      <c r="R85" s="24"/>
      <c r="S85" s="24">
        <f t="shared" si="3"/>
        <v>0.61873933646215007</v>
      </c>
      <c r="T85" s="24">
        <f t="shared" si="4"/>
        <v>6.4515182730068427E-2</v>
      </c>
      <c r="U85" s="24">
        <f t="shared" si="5"/>
        <v>14</v>
      </c>
    </row>
    <row r="86" spans="1:21" x14ac:dyDescent="0.25">
      <c r="A86" s="23">
        <v>28191</v>
      </c>
      <c r="B86" s="23">
        <v>385</v>
      </c>
      <c r="C86" s="24">
        <f>82/(82+113)</f>
        <v>0.42051282051282052</v>
      </c>
      <c r="D86" s="27">
        <v>0.31210191082802546</v>
      </c>
      <c r="E86" s="24">
        <f>74/(74+60)</f>
        <v>0.55223880597014929</v>
      </c>
      <c r="F86" s="24">
        <f>70/(70+89)</f>
        <v>0.44025157232704404</v>
      </c>
      <c r="G86" s="24">
        <f>89/(122+89)</f>
        <v>0.4218009478672986</v>
      </c>
      <c r="H86" s="24">
        <f>82/(82+74)</f>
        <v>0.52564102564102566</v>
      </c>
      <c r="I86" s="24">
        <f>70/(70+96)</f>
        <v>0.42168674698795183</v>
      </c>
      <c r="J86" s="24">
        <f>106/(106+88)</f>
        <v>0.54639175257731953</v>
      </c>
      <c r="K86" s="24"/>
      <c r="L86" s="24"/>
      <c r="M86" s="24"/>
      <c r="N86" s="24"/>
      <c r="O86" s="24"/>
      <c r="P86" s="24"/>
      <c r="Q86" s="24"/>
      <c r="R86" s="24"/>
      <c r="S86" s="24">
        <f t="shared" si="3"/>
        <v>0.45507819783895431</v>
      </c>
      <c r="T86" s="24">
        <f t="shared" si="4"/>
        <v>8.1798217633058584E-2</v>
      </c>
      <c r="U86" s="24">
        <f t="shared" si="5"/>
        <v>8</v>
      </c>
    </row>
    <row r="87" spans="1:21" x14ac:dyDescent="0.25">
      <c r="A87" s="23">
        <v>28192</v>
      </c>
      <c r="B87" s="23">
        <v>386</v>
      </c>
      <c r="C87" s="24">
        <f>71/(101)</f>
        <v>0.70297029702970293</v>
      </c>
      <c r="D87" s="24">
        <f>67/(67+34)</f>
        <v>0.6633663366336634</v>
      </c>
      <c r="E87" s="24">
        <f>105/(105+29)</f>
        <v>0.78358208955223885</v>
      </c>
      <c r="F87" s="24">
        <f>129/(129+43)</f>
        <v>0.75</v>
      </c>
      <c r="G87" s="24">
        <f>88/(109)</f>
        <v>0.80733944954128445</v>
      </c>
      <c r="H87" s="24">
        <f>122/(122+30)</f>
        <v>0.80263157894736847</v>
      </c>
      <c r="I87" s="24">
        <f>95/(95+47)</f>
        <v>0.66901408450704225</v>
      </c>
      <c r="J87" s="24"/>
      <c r="K87" s="24"/>
      <c r="L87" s="24"/>
      <c r="M87" s="24"/>
      <c r="N87" s="24"/>
      <c r="O87" s="24"/>
      <c r="P87" s="24"/>
      <c r="Q87" s="24"/>
      <c r="R87" s="24"/>
      <c r="S87" s="24">
        <f t="shared" si="3"/>
        <v>0.73984340517304292</v>
      </c>
      <c r="T87" s="24">
        <f t="shared" si="4"/>
        <v>6.1562245577830917E-2</v>
      </c>
      <c r="U87" s="24">
        <f t="shared" si="5"/>
        <v>7</v>
      </c>
    </row>
    <row r="88" spans="1:21" x14ac:dyDescent="0.25">
      <c r="A88" s="21">
        <v>55021</v>
      </c>
      <c r="B88" s="21">
        <v>390</v>
      </c>
      <c r="C88" s="25">
        <f>104/(104+26)</f>
        <v>0.8</v>
      </c>
      <c r="D88" s="25">
        <f>67/(67+55)</f>
        <v>0.54918032786885251</v>
      </c>
      <c r="E88" s="25">
        <f>43/(43+45)</f>
        <v>0.48863636363636365</v>
      </c>
      <c r="F88" s="25">
        <f>132/(132+130)</f>
        <v>0.50381679389312972</v>
      </c>
      <c r="G88" s="25">
        <f>61/(61+80)</f>
        <v>0.43262411347517732</v>
      </c>
      <c r="H88" s="28">
        <v>0.7136929460580913</v>
      </c>
      <c r="I88" s="25">
        <f>47/(47+31)</f>
        <v>0.60256410256410253</v>
      </c>
      <c r="J88" s="25"/>
      <c r="K88" s="25"/>
      <c r="L88" s="25"/>
      <c r="M88" s="25"/>
      <c r="N88" s="25"/>
      <c r="O88" s="25"/>
      <c r="P88" s="25"/>
      <c r="Q88" s="25"/>
      <c r="R88" s="25"/>
      <c r="S88" s="25">
        <f t="shared" si="3"/>
        <v>0.584359235356531</v>
      </c>
      <c r="T88" s="25">
        <f t="shared" si="4"/>
        <v>0.13132061343744211</v>
      </c>
      <c r="U88" s="26">
        <f t="shared" si="5"/>
        <v>7</v>
      </c>
    </row>
    <row r="89" spans="1:21" x14ac:dyDescent="0.25">
      <c r="A89" s="21">
        <v>25191</v>
      </c>
      <c r="B89" s="21">
        <v>391</v>
      </c>
      <c r="C89" s="25">
        <v>0.56493506493506496</v>
      </c>
      <c r="D89" s="25">
        <v>0.61751152073732718</v>
      </c>
      <c r="E89" s="25">
        <v>0.53614457831325302</v>
      </c>
      <c r="F89" s="25">
        <v>0.57763975155279501</v>
      </c>
      <c r="G89" s="25">
        <v>0.58571428571428574</v>
      </c>
      <c r="H89" s="25">
        <f>0.601</f>
        <v>0.60099999999999998</v>
      </c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>
        <f t="shared" si="3"/>
        <v>0.58049086687545437</v>
      </c>
      <c r="T89" s="25">
        <f t="shared" si="4"/>
        <v>2.8408247394306276E-2</v>
      </c>
      <c r="U89" s="26">
        <f t="shared" si="5"/>
        <v>6</v>
      </c>
    </row>
    <row r="90" spans="1:21" x14ac:dyDescent="0.25">
      <c r="A90" s="23">
        <v>28194</v>
      </c>
      <c r="B90" s="23">
        <v>392</v>
      </c>
      <c r="C90" s="24">
        <v>0.4921875</v>
      </c>
      <c r="D90" s="24">
        <v>0.42528735632183912</v>
      </c>
      <c r="E90" s="24">
        <v>0.44863013698630139</v>
      </c>
      <c r="F90" s="24">
        <v>0.39591836734693869</v>
      </c>
      <c r="G90" s="24">
        <v>0.37864077669902912</v>
      </c>
      <c r="H90" s="24">
        <v>0.45182724252491702</v>
      </c>
      <c r="I90" s="24">
        <v>0.37007874015748032</v>
      </c>
      <c r="J90" s="24">
        <v>0.4293193717277487</v>
      </c>
      <c r="K90" s="24">
        <v>0.46840148698884759</v>
      </c>
      <c r="L90" s="24">
        <v>0.59845559845559848</v>
      </c>
      <c r="M90" s="24">
        <v>0.43448275862068958</v>
      </c>
      <c r="N90" s="24">
        <v>0.35403726708074529</v>
      </c>
      <c r="O90" s="24">
        <v>0.39357429718875497</v>
      </c>
      <c r="P90" s="24"/>
      <c r="Q90" s="24"/>
      <c r="R90" s="24"/>
      <c r="S90" s="24">
        <f t="shared" si="3"/>
        <v>0.43391083846914535</v>
      </c>
      <c r="T90" s="24">
        <f t="shared" si="4"/>
        <v>6.381858981661595E-2</v>
      </c>
      <c r="U90" s="24">
        <f t="shared" si="5"/>
        <v>13</v>
      </c>
    </row>
    <row r="91" spans="1:21" x14ac:dyDescent="0.25">
      <c r="A91" s="21">
        <v>55022</v>
      </c>
      <c r="B91" s="21">
        <v>395</v>
      </c>
      <c r="C91" s="25">
        <v>0.46956521739130441</v>
      </c>
      <c r="D91" s="25">
        <v>0.36220472440944879</v>
      </c>
      <c r="E91" s="25">
        <v>0.42592592592592587</v>
      </c>
      <c r="F91" s="25">
        <v>0.3125</v>
      </c>
      <c r="G91" s="25">
        <v>0.484375</v>
      </c>
      <c r="H91" s="25">
        <v>0.38674033149171272</v>
      </c>
      <c r="I91" s="25">
        <v>0.3493975903614458</v>
      </c>
      <c r="J91" s="25"/>
      <c r="K91" s="25"/>
      <c r="L91" s="25"/>
      <c r="M91" s="25"/>
      <c r="N91" s="25"/>
      <c r="O91" s="25"/>
      <c r="P91" s="25"/>
      <c r="Q91" s="25"/>
      <c r="R91" s="25"/>
      <c r="S91" s="25">
        <f t="shared" si="3"/>
        <v>0.39867268422569108</v>
      </c>
      <c r="T91" s="25">
        <f t="shared" si="4"/>
        <v>6.3821935737652769E-2</v>
      </c>
      <c r="U91" s="26">
        <f t="shared" si="5"/>
        <v>7</v>
      </c>
    </row>
    <row r="92" spans="1:21" x14ac:dyDescent="0.25">
      <c r="A92" s="21">
        <v>55023</v>
      </c>
      <c r="B92" s="21">
        <v>397</v>
      </c>
      <c r="C92" s="25">
        <v>0.34827586206896499</v>
      </c>
      <c r="D92" s="25">
        <v>0.39306358381502893</v>
      </c>
      <c r="E92" s="25">
        <v>0.36</v>
      </c>
      <c r="F92" s="25">
        <v>0.34745762711864409</v>
      </c>
      <c r="G92" s="25">
        <v>0.35483870967741937</v>
      </c>
      <c r="H92" s="25">
        <v>0.35064935064935071</v>
      </c>
      <c r="I92" s="25">
        <v>0.62790697674418605</v>
      </c>
      <c r="J92" s="25"/>
      <c r="K92" s="25"/>
      <c r="L92" s="25"/>
      <c r="M92" s="25"/>
      <c r="N92" s="25"/>
      <c r="O92" s="25"/>
      <c r="P92" s="25"/>
      <c r="Q92" s="25"/>
      <c r="R92" s="25"/>
      <c r="S92" s="25">
        <f t="shared" si="3"/>
        <v>0.39745601572479916</v>
      </c>
      <c r="T92" s="25">
        <f t="shared" si="4"/>
        <v>0.10283928971447147</v>
      </c>
      <c r="U92" s="26">
        <f t="shared" si="5"/>
        <v>7</v>
      </c>
    </row>
    <row r="93" spans="1:21" x14ac:dyDescent="0.25">
      <c r="A93" s="21">
        <v>25192</v>
      </c>
      <c r="B93" s="21">
        <v>399</v>
      </c>
      <c r="C93" s="25">
        <v>0.49767441860465123</v>
      </c>
      <c r="D93" s="25">
        <v>0.45365853658536592</v>
      </c>
      <c r="E93" s="25">
        <v>0.46560846560846558</v>
      </c>
      <c r="F93" s="25">
        <v>0.44905660377358492</v>
      </c>
      <c r="G93" s="25">
        <v>0.4200743494423792</v>
      </c>
      <c r="H93" s="25">
        <v>0.48571428571428571</v>
      </c>
      <c r="I93" s="25">
        <v>0.53816793893129766</v>
      </c>
      <c r="J93" s="25">
        <v>0.46982758620689657</v>
      </c>
      <c r="K93" s="25"/>
      <c r="L93" s="25"/>
      <c r="M93" s="25"/>
      <c r="N93" s="25"/>
      <c r="O93" s="25"/>
      <c r="P93" s="25"/>
      <c r="Q93" s="25"/>
      <c r="R93" s="25"/>
      <c r="S93" s="25">
        <f t="shared" si="3"/>
        <v>0.47247277310836588</v>
      </c>
      <c r="T93" s="25">
        <f t="shared" si="4"/>
        <v>3.5513213678555769E-2</v>
      </c>
      <c r="U93" s="26">
        <f t="shared" si="5"/>
        <v>8</v>
      </c>
    </row>
    <row r="94" spans="1:21" x14ac:dyDescent="0.25">
      <c r="A94" s="21">
        <v>29657</v>
      </c>
      <c r="B94" s="21">
        <v>406</v>
      </c>
      <c r="C94" s="25">
        <v>0.46889952153110048</v>
      </c>
      <c r="D94" s="25">
        <v>0.47148288973384028</v>
      </c>
      <c r="E94" s="25">
        <v>0.44871794871794868</v>
      </c>
      <c r="F94" s="25">
        <v>0.50871080139372826</v>
      </c>
      <c r="G94" s="25">
        <v>0.4732620320855615</v>
      </c>
      <c r="H94" s="25">
        <v>0.48507462686567171</v>
      </c>
      <c r="I94" s="25">
        <v>0.48995983935742971</v>
      </c>
      <c r="J94" s="25">
        <v>0.47674418604651159</v>
      </c>
      <c r="K94" s="25"/>
      <c r="L94" s="25"/>
      <c r="M94" s="25"/>
      <c r="N94" s="25"/>
      <c r="O94" s="25"/>
      <c r="P94" s="25"/>
      <c r="Q94" s="25"/>
      <c r="R94" s="25"/>
      <c r="S94" s="25">
        <f t="shared" si="3"/>
        <v>0.47785648071647402</v>
      </c>
      <c r="T94" s="25">
        <f t="shared" si="4"/>
        <v>1.7496252713995547E-2</v>
      </c>
      <c r="U94" s="26">
        <f t="shared" si="5"/>
        <v>8</v>
      </c>
    </row>
    <row r="95" spans="1:21" x14ac:dyDescent="0.25">
      <c r="A95" s="21">
        <v>28278</v>
      </c>
      <c r="B95" s="21">
        <v>409</v>
      </c>
      <c r="C95" s="25">
        <v>0.52054794520547942</v>
      </c>
      <c r="D95" s="25">
        <v>0.54374999999999996</v>
      </c>
      <c r="E95" s="25">
        <v>0.53281853281853286</v>
      </c>
      <c r="F95" s="25">
        <v>0.59774436090225569</v>
      </c>
      <c r="G95" s="25">
        <v>0.55319148936170215</v>
      </c>
      <c r="H95" s="25">
        <v>0.53240740740740744</v>
      </c>
      <c r="I95" s="25">
        <v>0.49836065573770488</v>
      </c>
      <c r="J95" s="25">
        <v>0.54976303317535546</v>
      </c>
      <c r="K95" s="25"/>
      <c r="L95" s="25"/>
      <c r="M95" s="25"/>
      <c r="N95" s="25"/>
      <c r="O95" s="25"/>
      <c r="P95" s="25"/>
      <c r="Q95" s="25"/>
      <c r="R95" s="25"/>
      <c r="S95" s="25">
        <f t="shared" si="3"/>
        <v>0.54107292807605478</v>
      </c>
      <c r="T95" s="25">
        <f t="shared" si="4"/>
        <v>2.8859350766384188E-2</v>
      </c>
      <c r="U95" s="26">
        <f t="shared" si="5"/>
        <v>8</v>
      </c>
    </row>
    <row r="96" spans="1:21" x14ac:dyDescent="0.25">
      <c r="A96" s="29">
        <v>28196</v>
      </c>
      <c r="B96" s="29">
        <v>426</v>
      </c>
      <c r="C96" s="26">
        <f>143/(143+68)</f>
        <v>0.67772511848341233</v>
      </c>
      <c r="D96" s="26">
        <f>134/(134+60)</f>
        <v>0.69072164948453607</v>
      </c>
      <c r="E96" s="26">
        <f>40/(40+13)</f>
        <v>0.75471698113207553</v>
      </c>
      <c r="F96" s="26">
        <f>207/(207+71)</f>
        <v>0.74460431654676262</v>
      </c>
      <c r="G96" s="26">
        <f>172/(172+70)</f>
        <v>0.71074380165289253</v>
      </c>
      <c r="H96" s="26">
        <f>176/(176+63)</f>
        <v>0.7364016736401674</v>
      </c>
      <c r="I96" s="26">
        <f>98/(98+61)</f>
        <v>0.61635220125786161</v>
      </c>
      <c r="J96" s="26">
        <f>135/(135+43)</f>
        <v>0.7584269662921348</v>
      </c>
      <c r="K96" s="26">
        <f>142/(142+59)</f>
        <v>0.70646766169154229</v>
      </c>
      <c r="L96" s="26">
        <f>167/(167+101)</f>
        <v>0.62313432835820892</v>
      </c>
      <c r="M96" s="24">
        <f>116/(116+67)</f>
        <v>0.63387978142076506</v>
      </c>
      <c r="N96" s="24">
        <f>125/(125+49)</f>
        <v>0.7183908045977011</v>
      </c>
      <c r="O96" s="26"/>
      <c r="P96" s="26"/>
      <c r="Q96" s="26"/>
      <c r="R96" s="26"/>
      <c r="S96" s="25">
        <f t="shared" si="3"/>
        <v>0.69763044037983846</v>
      </c>
      <c r="T96" s="25">
        <f t="shared" si="4"/>
        <v>5.0461341031653804E-2</v>
      </c>
      <c r="U96" s="26">
        <f t="shared" si="5"/>
        <v>12</v>
      </c>
    </row>
    <row r="97" spans="1:21" x14ac:dyDescent="0.25">
      <c r="A97" s="21">
        <v>25193</v>
      </c>
      <c r="B97" s="21">
        <v>427</v>
      </c>
      <c r="C97" s="25">
        <v>0.70422535211267601</v>
      </c>
      <c r="D97" s="25">
        <v>0.6216216216216216</v>
      </c>
      <c r="E97" s="25">
        <v>0.73469387755102045</v>
      </c>
      <c r="F97" s="25">
        <v>0.83448275862068966</v>
      </c>
      <c r="G97" s="25">
        <v>0.660377358490566</v>
      </c>
      <c r="H97" s="25">
        <v>0.69302325581395352</v>
      </c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>
        <f t="shared" si="3"/>
        <v>0.70807070403508787</v>
      </c>
      <c r="T97" s="25">
        <f t="shared" si="4"/>
        <v>7.3045345370320452E-2</v>
      </c>
      <c r="U97" s="26">
        <f t="shared" si="5"/>
        <v>6</v>
      </c>
    </row>
    <row r="98" spans="1:21" x14ac:dyDescent="0.25">
      <c r="A98" s="21">
        <v>25194</v>
      </c>
      <c r="B98" s="21">
        <v>437</v>
      </c>
      <c r="C98" s="25">
        <v>0.46296296296296302</v>
      </c>
      <c r="D98" s="25">
        <v>0.38912133891213391</v>
      </c>
      <c r="E98" s="25">
        <v>0.39080459770114939</v>
      </c>
      <c r="F98" s="25">
        <v>0.36964980544747078</v>
      </c>
      <c r="G98" s="25">
        <v>0.42780748663101598</v>
      </c>
      <c r="H98" s="25">
        <v>0.45918367346938782</v>
      </c>
      <c r="I98" s="25">
        <v>0.41714285714285709</v>
      </c>
      <c r="J98" s="25">
        <v>0.40909090909090912</v>
      </c>
      <c r="K98" s="25"/>
      <c r="L98" s="25"/>
      <c r="M98" s="25"/>
      <c r="N98" s="25"/>
      <c r="O98" s="25"/>
      <c r="P98" s="25"/>
      <c r="Q98" s="25"/>
      <c r="R98" s="25"/>
      <c r="S98" s="25">
        <f t="shared" si="3"/>
        <v>0.41572045391973594</v>
      </c>
      <c r="T98" s="25">
        <f t="shared" si="4"/>
        <v>3.3303354680011922E-2</v>
      </c>
      <c r="U98" s="26">
        <f t="shared" si="5"/>
        <v>8</v>
      </c>
    </row>
    <row r="99" spans="1:21" x14ac:dyDescent="0.25">
      <c r="A99" s="21">
        <v>29658</v>
      </c>
      <c r="B99" s="21">
        <v>439</v>
      </c>
      <c r="C99" s="25">
        <v>0.620253164556962</v>
      </c>
      <c r="D99" s="25">
        <v>0.660377358490566</v>
      </c>
      <c r="E99" s="25">
        <v>0.59731543624161076</v>
      </c>
      <c r="F99" s="25">
        <v>0.66666666666666663</v>
      </c>
      <c r="G99" s="25">
        <v>0.60199004975124382</v>
      </c>
      <c r="H99" s="25">
        <v>0.62033898305084745</v>
      </c>
      <c r="I99" s="25">
        <v>0.66129032258064513</v>
      </c>
      <c r="J99" s="25">
        <v>0.6157407407407407</v>
      </c>
      <c r="K99" s="25"/>
      <c r="L99" s="25"/>
      <c r="M99" s="25"/>
      <c r="N99" s="25"/>
      <c r="O99" s="25"/>
      <c r="P99" s="25"/>
      <c r="Q99" s="25"/>
      <c r="R99" s="25"/>
      <c r="S99" s="25">
        <f t="shared" si="3"/>
        <v>0.63049659025991023</v>
      </c>
      <c r="T99" s="25">
        <f t="shared" si="4"/>
        <v>2.8002143720748E-2</v>
      </c>
      <c r="U99" s="26">
        <f t="shared" si="5"/>
        <v>8</v>
      </c>
    </row>
    <row r="100" spans="1:21" x14ac:dyDescent="0.25">
      <c r="A100" s="23">
        <v>28197</v>
      </c>
      <c r="B100" s="23">
        <v>440</v>
      </c>
      <c r="C100" s="24">
        <v>0.68545994065281901</v>
      </c>
      <c r="D100" s="24">
        <v>0.68211920529801329</v>
      </c>
      <c r="E100" s="24">
        <v>0.73493975903614461</v>
      </c>
      <c r="F100" s="24">
        <v>0.71159874608150475</v>
      </c>
      <c r="G100" s="24">
        <v>0.75070028011204482</v>
      </c>
      <c r="H100" s="24">
        <v>0.68613138686131392</v>
      </c>
      <c r="I100" s="24">
        <v>0.69252077562326875</v>
      </c>
      <c r="J100" s="24">
        <v>0.67510548523206748</v>
      </c>
      <c r="K100" s="24"/>
      <c r="L100" s="24"/>
      <c r="M100" s="24"/>
      <c r="N100" s="24"/>
      <c r="O100" s="24"/>
      <c r="P100" s="24"/>
      <c r="Q100" s="24"/>
      <c r="R100" s="24"/>
      <c r="S100" s="24">
        <f t="shared" si="3"/>
        <v>0.70232194736214704</v>
      </c>
      <c r="T100" s="24">
        <f t="shared" si="4"/>
        <v>2.7469085993892951E-2</v>
      </c>
      <c r="U100" s="24">
        <f t="shared" si="5"/>
        <v>8</v>
      </c>
    </row>
    <row r="101" spans="1:21" x14ac:dyDescent="0.25">
      <c r="A101" s="23">
        <v>28198</v>
      </c>
      <c r="B101" s="23">
        <v>441</v>
      </c>
      <c r="C101" s="24">
        <v>0.51624548736462095</v>
      </c>
      <c r="D101" s="24">
        <v>0.66058394160583944</v>
      </c>
      <c r="E101" s="24">
        <v>0.65567765567765568</v>
      </c>
      <c r="F101" s="24">
        <v>0.67431192660550454</v>
      </c>
      <c r="G101" s="24">
        <v>0.6785714285714286</v>
      </c>
      <c r="H101" s="24">
        <v>0.71100917431192656</v>
      </c>
      <c r="I101" s="24">
        <v>0.65567765567765568</v>
      </c>
      <c r="J101" s="24">
        <v>0.67241379310344829</v>
      </c>
      <c r="K101" s="24"/>
      <c r="L101" s="24"/>
      <c r="M101" s="24"/>
      <c r="N101" s="24"/>
      <c r="O101" s="24"/>
      <c r="P101" s="24"/>
      <c r="Q101" s="24"/>
      <c r="R101" s="24"/>
      <c r="S101" s="24">
        <f t="shared" si="3"/>
        <v>0.65306138286476001</v>
      </c>
      <c r="T101" s="24">
        <f t="shared" si="4"/>
        <v>5.8093125085338343E-2</v>
      </c>
      <c r="U101" s="24">
        <f t="shared" si="5"/>
        <v>8</v>
      </c>
    </row>
    <row r="102" spans="1:21" x14ac:dyDescent="0.25">
      <c r="A102" s="23">
        <v>28199</v>
      </c>
      <c r="B102" s="23">
        <v>443</v>
      </c>
      <c r="C102" s="24">
        <v>0.77777777777777779</v>
      </c>
      <c r="D102" s="24">
        <v>0.73300970873786409</v>
      </c>
      <c r="E102" s="24">
        <v>0.79503105590062106</v>
      </c>
      <c r="F102" s="24">
        <v>0.78378378378378377</v>
      </c>
      <c r="G102" s="24">
        <v>0.78694158075601373</v>
      </c>
      <c r="H102" s="24">
        <v>0.75</v>
      </c>
      <c r="I102" s="24">
        <v>0.80909090909090908</v>
      </c>
      <c r="J102" s="24"/>
      <c r="K102" s="24"/>
      <c r="L102" s="24"/>
      <c r="M102" s="24"/>
      <c r="N102" s="24"/>
      <c r="O102" s="24"/>
      <c r="P102" s="24"/>
      <c r="Q102" s="24"/>
      <c r="R102" s="24"/>
      <c r="S102" s="24">
        <f t="shared" si="3"/>
        <v>0.77651925943528133</v>
      </c>
      <c r="T102" s="24">
        <f t="shared" si="4"/>
        <v>2.634050447723359E-2</v>
      </c>
      <c r="U102" s="24">
        <f t="shared" si="5"/>
        <v>7</v>
      </c>
    </row>
    <row r="103" spans="1:21" x14ac:dyDescent="0.25">
      <c r="A103" s="23">
        <v>28200</v>
      </c>
      <c r="B103" s="23">
        <v>461</v>
      </c>
      <c r="C103" s="24">
        <v>0.55000000000000004</v>
      </c>
      <c r="D103" s="24">
        <v>0.5</v>
      </c>
      <c r="E103" s="24">
        <v>0.5</v>
      </c>
      <c r="F103" s="24">
        <v>0.52898550724637683</v>
      </c>
      <c r="G103" s="24">
        <f>156/308</f>
        <v>0.50649350649350644</v>
      </c>
      <c r="H103" s="24">
        <f>97/210</f>
        <v>0.46190476190476193</v>
      </c>
      <c r="I103" s="24">
        <f>111/201</f>
        <v>0.55223880597014929</v>
      </c>
      <c r="J103" s="24">
        <f>128/201</f>
        <v>0.63681592039800994</v>
      </c>
      <c r="K103" s="24"/>
      <c r="L103" s="24"/>
      <c r="M103" s="24"/>
      <c r="N103" s="24"/>
      <c r="O103" s="24"/>
      <c r="P103" s="24"/>
      <c r="Q103" s="24"/>
      <c r="R103" s="24"/>
      <c r="S103" s="24">
        <f t="shared" si="3"/>
        <v>0.52955481275160055</v>
      </c>
      <c r="T103" s="24">
        <f t="shared" si="4"/>
        <v>5.249920501674013E-2</v>
      </c>
      <c r="U103" s="24">
        <f t="shared" si="5"/>
        <v>8</v>
      </c>
    </row>
    <row r="104" spans="1:21" x14ac:dyDescent="0.25">
      <c r="A104" s="23">
        <v>28202</v>
      </c>
      <c r="B104" s="23">
        <v>491</v>
      </c>
      <c r="C104" s="24">
        <v>0.63728813559322028</v>
      </c>
      <c r="D104" s="24">
        <v>0.67069486404833834</v>
      </c>
      <c r="E104" s="24">
        <v>0.61355932203389829</v>
      </c>
      <c r="F104" s="24">
        <v>0.62565445026178013</v>
      </c>
      <c r="G104" s="24">
        <f>154/(154+82)</f>
        <v>0.65254237288135597</v>
      </c>
      <c r="H104" s="26">
        <f>147/(218)</f>
        <v>0.67431192660550454</v>
      </c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>
        <f t="shared" si="3"/>
        <v>0.64567517857068302</v>
      </c>
      <c r="T104" s="24">
        <f t="shared" si="4"/>
        <v>2.4477772162217869E-2</v>
      </c>
      <c r="U104" s="24">
        <f t="shared" si="5"/>
        <v>6</v>
      </c>
    </row>
    <row r="105" spans="1:21" x14ac:dyDescent="0.25">
      <c r="A105" s="23">
        <v>28203</v>
      </c>
      <c r="B105" s="23">
        <v>492</v>
      </c>
      <c r="C105" s="24">
        <v>0.78698224849999998</v>
      </c>
      <c r="D105" s="24">
        <v>0.75494071149999997</v>
      </c>
      <c r="E105" s="24">
        <f>98/(98+28)</f>
        <v>0.77777777777777779</v>
      </c>
      <c r="F105" s="24">
        <f>145/(145+44)</f>
        <v>0.76719576719576721</v>
      </c>
      <c r="G105" s="24">
        <v>0.68060836499999999</v>
      </c>
      <c r="H105" s="24">
        <f>123/(123+54)</f>
        <v>0.69491525423728817</v>
      </c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>
        <f t="shared" si="3"/>
        <v>0.7437366873684722</v>
      </c>
      <c r="T105" s="24">
        <f t="shared" si="4"/>
        <v>4.4885521930704789E-2</v>
      </c>
      <c r="U105" s="24">
        <f t="shared" si="5"/>
        <v>6</v>
      </c>
    </row>
    <row r="106" spans="1:21" x14ac:dyDescent="0.25">
      <c r="A106" s="23">
        <v>28204</v>
      </c>
      <c r="B106" s="23">
        <v>502</v>
      </c>
      <c r="C106" s="24">
        <v>0.70860927152317876</v>
      </c>
      <c r="D106" s="24">
        <v>0.64827586206896548</v>
      </c>
      <c r="E106" s="24">
        <v>0.61864406779661019</v>
      </c>
      <c r="F106" s="24">
        <v>0.55737704918032782</v>
      </c>
      <c r="G106" s="24">
        <v>0.54225352112676062</v>
      </c>
      <c r="H106" s="24">
        <v>0.70967741935483875</v>
      </c>
      <c r="I106" s="24">
        <v>0.7</v>
      </c>
      <c r="J106" s="24"/>
      <c r="K106" s="24"/>
      <c r="L106" s="24"/>
      <c r="M106" s="24"/>
      <c r="N106" s="24"/>
      <c r="O106" s="24"/>
      <c r="P106" s="24"/>
      <c r="Q106" s="24"/>
      <c r="R106" s="24"/>
      <c r="S106" s="24">
        <f t="shared" si="3"/>
        <v>0.64069102729295457</v>
      </c>
      <c r="T106" s="24">
        <f t="shared" si="4"/>
        <v>7.0786444257099165E-2</v>
      </c>
      <c r="U106" s="24">
        <f t="shared" si="5"/>
        <v>7</v>
      </c>
    </row>
    <row r="107" spans="1:21" x14ac:dyDescent="0.25">
      <c r="A107" s="29">
        <v>55024</v>
      </c>
      <c r="B107" s="29">
        <v>505</v>
      </c>
      <c r="C107" s="26">
        <f>133/(133+58)</f>
        <v>0.69633507853403143</v>
      </c>
      <c r="D107" s="26">
        <f>146/(146+43)</f>
        <v>0.77248677248677244</v>
      </c>
      <c r="E107" s="26">
        <f>150/(225)</f>
        <v>0.66666666666666663</v>
      </c>
      <c r="F107" s="26">
        <f>94/(94+52)</f>
        <v>0.64383561643835618</v>
      </c>
      <c r="G107" s="26">
        <f>181/(181+55)</f>
        <v>0.76694915254237284</v>
      </c>
      <c r="H107" s="26">
        <f>99/(99+56)</f>
        <v>0.6387096774193548</v>
      </c>
      <c r="I107" s="26">
        <f>97/(97+51)</f>
        <v>0.65540540540540537</v>
      </c>
      <c r="J107" s="26">
        <f>70/(70+29)</f>
        <v>0.70707070707070707</v>
      </c>
      <c r="K107" s="26"/>
      <c r="L107" s="26"/>
      <c r="M107" s="26"/>
      <c r="N107" s="26"/>
      <c r="O107" s="26"/>
      <c r="P107" s="26"/>
      <c r="Q107" s="26"/>
      <c r="R107" s="26"/>
      <c r="S107" s="25">
        <f t="shared" si="3"/>
        <v>0.6934323845704583</v>
      </c>
      <c r="T107" s="25">
        <f t="shared" si="4"/>
        <v>5.2733304441373405E-2</v>
      </c>
      <c r="U107" s="26">
        <f t="shared" si="5"/>
        <v>8</v>
      </c>
    </row>
    <row r="108" spans="1:21" x14ac:dyDescent="0.25">
      <c r="A108" s="23">
        <v>28205</v>
      </c>
      <c r="B108" s="23">
        <v>508</v>
      </c>
      <c r="C108" s="24">
        <v>0.57692307692307687</v>
      </c>
      <c r="D108" s="24">
        <v>0.59047619047619049</v>
      </c>
      <c r="E108" s="24">
        <v>0.59734513274336287</v>
      </c>
      <c r="F108" s="24">
        <v>0.59728506787330315</v>
      </c>
      <c r="G108" s="24">
        <v>0.54166666666666663</v>
      </c>
      <c r="H108" s="24">
        <v>0.54545454545454541</v>
      </c>
      <c r="I108" s="24">
        <v>0.48618784530386738</v>
      </c>
      <c r="J108" s="24">
        <v>0.6179775280898876</v>
      </c>
      <c r="K108" s="24">
        <v>0.61</v>
      </c>
      <c r="L108" s="24">
        <v>0.5822222222222222</v>
      </c>
      <c r="M108" s="24">
        <v>0.61832061068702293</v>
      </c>
      <c r="N108" s="24">
        <v>0.56164383561643838</v>
      </c>
      <c r="O108" s="24"/>
      <c r="P108" s="24"/>
      <c r="Q108" s="24"/>
      <c r="R108" s="24"/>
      <c r="S108" s="24">
        <f t="shared" si="3"/>
        <v>0.57712522683804879</v>
      </c>
      <c r="T108" s="24">
        <f t="shared" si="4"/>
        <v>3.8418598128375364E-2</v>
      </c>
      <c r="U108" s="24">
        <f t="shared" si="5"/>
        <v>12</v>
      </c>
    </row>
    <row r="109" spans="1:21" x14ac:dyDescent="0.25">
      <c r="A109" s="23">
        <v>28206</v>
      </c>
      <c r="B109" s="33">
        <v>509</v>
      </c>
      <c r="C109" s="24">
        <v>0.65469613259668513</v>
      </c>
      <c r="D109" s="24">
        <v>0.74216027874564461</v>
      </c>
      <c r="E109" s="24">
        <v>0.67647058823529416</v>
      </c>
      <c r="F109" s="24">
        <v>0.67088607594936711</v>
      </c>
      <c r="G109" s="24">
        <v>0.69117647058823528</v>
      </c>
      <c r="H109" s="24">
        <v>0.63920454545454541</v>
      </c>
      <c r="I109" s="24">
        <v>0.69806094182825484</v>
      </c>
      <c r="J109" s="24"/>
      <c r="K109" s="24"/>
      <c r="L109" s="24"/>
      <c r="M109" s="24"/>
      <c r="N109" s="24"/>
      <c r="O109" s="24"/>
      <c r="P109" s="24"/>
      <c r="Q109" s="24"/>
      <c r="R109" s="24"/>
      <c r="S109" s="24">
        <f t="shared" si="3"/>
        <v>0.68180786191400367</v>
      </c>
      <c r="T109" s="24">
        <f t="shared" si="4"/>
        <v>3.3397125603633247E-2</v>
      </c>
      <c r="U109" s="24">
        <f t="shared" si="5"/>
        <v>7</v>
      </c>
    </row>
    <row r="110" spans="1:21" x14ac:dyDescent="0.25">
      <c r="A110" s="21">
        <v>29659</v>
      </c>
      <c r="B110" s="21">
        <v>513</v>
      </c>
      <c r="C110" s="25">
        <f>92/(92+62)</f>
        <v>0.59740259740259738</v>
      </c>
      <c r="D110" s="25">
        <f>61/(61+42)</f>
        <v>0.59223300970873782</v>
      </c>
      <c r="E110" s="25">
        <f>67/(67+55)</f>
        <v>0.54918032786885251</v>
      </c>
      <c r="F110" s="25">
        <f>97/(97+66)</f>
        <v>0.59509202453987731</v>
      </c>
      <c r="G110" s="25">
        <f>77/(77+44)</f>
        <v>0.63636363636363635</v>
      </c>
      <c r="H110" s="25">
        <f>85/(85+63)</f>
        <v>0.57432432432432434</v>
      </c>
      <c r="I110" s="25">
        <f>149/(149+95)</f>
        <v>0.61065573770491799</v>
      </c>
      <c r="J110" s="25"/>
      <c r="K110" s="25"/>
      <c r="L110" s="25"/>
      <c r="M110" s="25"/>
      <c r="N110" s="25"/>
      <c r="O110" s="25"/>
      <c r="P110" s="25"/>
      <c r="Q110" s="25"/>
      <c r="R110" s="25"/>
      <c r="S110" s="25">
        <f t="shared" si="3"/>
        <v>0.59360737970184907</v>
      </c>
      <c r="T110" s="25">
        <f t="shared" si="4"/>
        <v>2.7333861460841945E-2</v>
      </c>
      <c r="U110" s="26">
        <f t="shared" si="5"/>
        <v>7</v>
      </c>
    </row>
    <row r="111" spans="1:21" x14ac:dyDescent="0.25">
      <c r="A111" s="21">
        <v>25197</v>
      </c>
      <c r="B111" s="21">
        <v>517</v>
      </c>
      <c r="C111" s="25">
        <f>183/(183+73)</f>
        <v>0.71484375</v>
      </c>
      <c r="D111" s="25">
        <v>0.65032679738562094</v>
      </c>
      <c r="E111" s="25">
        <v>0.67477203647416417</v>
      </c>
      <c r="F111" s="25">
        <v>0.69161676646706582</v>
      </c>
      <c r="G111" s="25">
        <v>0.70448548812664913</v>
      </c>
      <c r="H111" s="25">
        <v>0.69303797468354433</v>
      </c>
      <c r="I111" s="25">
        <v>0.6958333333333333</v>
      </c>
      <c r="J111" s="25"/>
      <c r="K111" s="25"/>
      <c r="L111" s="25"/>
      <c r="M111" s="25"/>
      <c r="N111" s="25"/>
      <c r="O111" s="25"/>
      <c r="P111" s="25"/>
      <c r="Q111" s="25"/>
      <c r="R111" s="25"/>
      <c r="S111" s="25">
        <f t="shared" si="3"/>
        <v>0.68927373521005386</v>
      </c>
      <c r="T111" s="25">
        <f t="shared" si="4"/>
        <v>2.1115057569991796E-2</v>
      </c>
      <c r="U111" s="26">
        <f t="shared" si="5"/>
        <v>7</v>
      </c>
    </row>
    <row r="112" spans="1:21" x14ac:dyDescent="0.25">
      <c r="A112" s="21">
        <v>55025</v>
      </c>
      <c r="B112" s="21">
        <v>528</v>
      </c>
      <c r="C112" s="25">
        <v>0.26838235294117652</v>
      </c>
      <c r="D112" s="25">
        <v>0.39004149377593361</v>
      </c>
      <c r="E112" s="25">
        <v>0.40875912408759119</v>
      </c>
      <c r="F112" s="25">
        <v>0.24210526315789471</v>
      </c>
      <c r="G112" s="25">
        <v>0.33003300330032997</v>
      </c>
      <c r="H112" s="25">
        <v>0.35833333333333328</v>
      </c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>
        <f t="shared" si="3"/>
        <v>0.33294242843270988</v>
      </c>
      <c r="T112" s="25">
        <f t="shared" si="4"/>
        <v>6.6454542887607868E-2</v>
      </c>
      <c r="U112" s="26">
        <f t="shared" si="5"/>
        <v>6</v>
      </c>
    </row>
    <row r="113" spans="1:21" x14ac:dyDescent="0.25">
      <c r="A113" s="21">
        <v>29660</v>
      </c>
      <c r="B113" s="21">
        <v>530</v>
      </c>
      <c r="C113" s="25">
        <v>0.47252747252747251</v>
      </c>
      <c r="D113" s="25">
        <v>0.4891304347826087</v>
      </c>
      <c r="E113" s="25">
        <v>0.46909090909090911</v>
      </c>
      <c r="F113" s="25">
        <f>82/(82+87)</f>
        <v>0.48520710059171596</v>
      </c>
      <c r="G113" s="25">
        <f>93/(93+96)</f>
        <v>0.49206349206349204</v>
      </c>
      <c r="H113" s="25">
        <f>80/(80+88)</f>
        <v>0.47619047619047616</v>
      </c>
      <c r="I113" s="25">
        <f>92/(92+75)</f>
        <v>0.55089820359281438</v>
      </c>
      <c r="J113" s="25"/>
      <c r="K113" s="25"/>
      <c r="L113" s="25"/>
      <c r="M113" s="25"/>
      <c r="N113" s="25"/>
      <c r="O113" s="25"/>
      <c r="P113" s="25"/>
      <c r="Q113" s="25"/>
      <c r="R113" s="25"/>
      <c r="S113" s="25">
        <f t="shared" si="3"/>
        <v>0.49072972697706979</v>
      </c>
      <c r="T113" s="25">
        <f t="shared" si="4"/>
        <v>2.7886770953489778E-2</v>
      </c>
      <c r="U113" s="26">
        <f t="shared" si="5"/>
        <v>7</v>
      </c>
    </row>
    <row r="114" spans="1:21" x14ac:dyDescent="0.25">
      <c r="A114" s="23">
        <v>28207</v>
      </c>
      <c r="B114" s="23">
        <v>531</v>
      </c>
      <c r="C114" s="24">
        <f>67/(67+35)</f>
        <v>0.65686274509803921</v>
      </c>
      <c r="D114" s="24">
        <f>144/(144+56)</f>
        <v>0.72</v>
      </c>
      <c r="E114" s="24">
        <f>117/(117+28)</f>
        <v>0.80689655172413788</v>
      </c>
      <c r="F114" s="24">
        <f>58/(58+37)</f>
        <v>0.61052631578947369</v>
      </c>
      <c r="G114" s="24">
        <f>154/(154+49)</f>
        <v>0.75862068965517238</v>
      </c>
      <c r="H114" s="24">
        <f>204/(273)</f>
        <v>0.74725274725274726</v>
      </c>
      <c r="I114" s="24">
        <f>73/(73+21)</f>
        <v>0.77659574468085102</v>
      </c>
      <c r="J114" s="24">
        <f>145/(145+52)</f>
        <v>0.73604060913705582</v>
      </c>
      <c r="K114" s="24"/>
      <c r="L114" s="24"/>
      <c r="M114" s="24"/>
      <c r="N114" s="24"/>
      <c r="O114" s="24"/>
      <c r="P114" s="24"/>
      <c r="Q114" s="24"/>
      <c r="R114" s="24"/>
      <c r="S114" s="24">
        <f t="shared" si="3"/>
        <v>0.72659942541718459</v>
      </c>
      <c r="T114" s="24">
        <f t="shared" si="4"/>
        <v>6.4218423286426199E-2</v>
      </c>
      <c r="U114" s="24">
        <f t="shared" si="5"/>
        <v>8</v>
      </c>
    </row>
    <row r="115" spans="1:21" x14ac:dyDescent="0.25">
      <c r="A115" s="23">
        <v>28208</v>
      </c>
      <c r="B115" s="23">
        <v>535</v>
      </c>
      <c r="C115" s="24">
        <v>0.52</v>
      </c>
      <c r="D115" s="24">
        <v>0.544973544973545</v>
      </c>
      <c r="E115" s="24">
        <v>0.56420233463035019</v>
      </c>
      <c r="F115" s="24">
        <v>0.46527777777777779</v>
      </c>
      <c r="G115" s="24">
        <v>0.52631578947368418</v>
      </c>
      <c r="H115" s="24">
        <v>0.57198443579766534</v>
      </c>
      <c r="I115" s="24">
        <v>0.53521126760563376</v>
      </c>
      <c r="J115" s="24">
        <v>0.5043478260869565</v>
      </c>
      <c r="K115" s="24"/>
      <c r="L115" s="24"/>
      <c r="M115" s="24"/>
      <c r="N115" s="24"/>
      <c r="O115" s="24"/>
      <c r="P115" s="24"/>
      <c r="Q115" s="24"/>
      <c r="R115" s="24"/>
      <c r="S115" s="24">
        <f t="shared" si="3"/>
        <v>0.52903912204320158</v>
      </c>
      <c r="T115" s="24">
        <f t="shared" si="4"/>
        <v>3.4094499124836017E-2</v>
      </c>
      <c r="U115" s="24">
        <f t="shared" si="5"/>
        <v>8</v>
      </c>
    </row>
    <row r="116" spans="1:21" x14ac:dyDescent="0.25">
      <c r="A116" s="29">
        <v>55026</v>
      </c>
      <c r="B116" s="29">
        <v>551</v>
      </c>
      <c r="C116" s="26">
        <f>134/(134+108)</f>
        <v>0.55371900826446285</v>
      </c>
      <c r="D116" s="26">
        <f>145/(145+113)</f>
        <v>0.56201550387596899</v>
      </c>
      <c r="E116" s="26">
        <f>89/(89+79)</f>
        <v>0.52976190476190477</v>
      </c>
      <c r="F116" s="26">
        <f>101/(79+101)</f>
        <v>0.56111111111111112</v>
      </c>
      <c r="G116" s="26">
        <f>79/(79+67)</f>
        <v>0.54109589041095896</v>
      </c>
      <c r="H116" s="26">
        <f>83/(83+76)</f>
        <v>0.5220125786163522</v>
      </c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5">
        <f t="shared" si="3"/>
        <v>0.54495266617345994</v>
      </c>
      <c r="T116" s="25">
        <f t="shared" si="4"/>
        <v>1.6738973060463038E-2</v>
      </c>
      <c r="U116" s="26">
        <f t="shared" si="5"/>
        <v>6</v>
      </c>
    </row>
    <row r="117" spans="1:21" x14ac:dyDescent="0.25">
      <c r="A117" s="21">
        <v>25198</v>
      </c>
      <c r="B117" s="21">
        <v>555</v>
      </c>
      <c r="C117" s="25">
        <f>54/(27+54)</f>
        <v>0.66666666666666663</v>
      </c>
      <c r="D117" s="25">
        <f>90/(90+32)</f>
        <v>0.73770491803278693</v>
      </c>
      <c r="E117" s="25">
        <f>124/(124+86)</f>
        <v>0.59047619047619049</v>
      </c>
      <c r="F117" s="25">
        <f>73/(73+28)</f>
        <v>0.72277227722772275</v>
      </c>
      <c r="G117" s="25">
        <f>126/(176)</f>
        <v>0.71590909090909094</v>
      </c>
      <c r="H117" s="25">
        <f>84/(84+53)</f>
        <v>0.61313868613138689</v>
      </c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>
        <f t="shared" si="3"/>
        <v>0.67444463824064071</v>
      </c>
      <c r="T117" s="25">
        <f t="shared" si="4"/>
        <v>6.1524533887449134E-2</v>
      </c>
      <c r="U117" s="26">
        <f t="shared" si="5"/>
        <v>6</v>
      </c>
    </row>
    <row r="118" spans="1:21" x14ac:dyDescent="0.25">
      <c r="A118" s="29">
        <v>55027</v>
      </c>
      <c r="B118" s="29">
        <v>559</v>
      </c>
      <c r="C118" s="26">
        <f>37/(37+42)</f>
        <v>0.46835443037974683</v>
      </c>
      <c r="D118" s="26">
        <f>105/(105+80)</f>
        <v>0.56756756756756754</v>
      </c>
      <c r="E118" s="26">
        <f>131/(131+61)</f>
        <v>0.68229166666666663</v>
      </c>
      <c r="F118" s="26">
        <f>138/(138+59)</f>
        <v>0.70050761421319796</v>
      </c>
      <c r="G118" s="26">
        <f>94/(94+41)</f>
        <v>0.6962962962962963</v>
      </c>
      <c r="H118" s="26">
        <f>64/(64+57)</f>
        <v>0.52892561983471076</v>
      </c>
      <c r="I118" s="26">
        <f>126/(126+70)</f>
        <v>0.6428571428571429</v>
      </c>
      <c r="J118" s="26">
        <f>117/(117+90)</f>
        <v>0.56521739130434778</v>
      </c>
      <c r="K118" s="26">
        <f>144/(144+89)</f>
        <v>0.61802575107296143</v>
      </c>
      <c r="L118" s="26">
        <f>122/(122+103)</f>
        <v>0.54222222222222227</v>
      </c>
      <c r="M118" s="26"/>
      <c r="N118" s="26"/>
      <c r="O118" s="26"/>
      <c r="P118" s="26"/>
      <c r="Q118" s="26"/>
      <c r="R118" s="26"/>
      <c r="S118" s="25">
        <f t="shared" si="3"/>
        <v>0.60122657024148607</v>
      </c>
      <c r="T118" s="25">
        <f t="shared" si="4"/>
        <v>7.9074775378651693E-2</v>
      </c>
      <c r="U118" s="26">
        <f t="shared" si="5"/>
        <v>10</v>
      </c>
    </row>
    <row r="119" spans="1:21" x14ac:dyDescent="0.25">
      <c r="A119" s="23">
        <v>28211</v>
      </c>
      <c r="B119" s="23">
        <v>563</v>
      </c>
      <c r="C119" s="24">
        <v>0.65957446808510634</v>
      </c>
      <c r="D119" s="24">
        <v>0.7923728813559322</v>
      </c>
      <c r="E119" s="24">
        <v>0.72972972972972971</v>
      </c>
      <c r="F119" s="24">
        <v>0.76041666666666663</v>
      </c>
      <c r="G119" s="24">
        <v>0.76470588235294112</v>
      </c>
      <c r="H119" s="24">
        <v>0.66211604095563137</v>
      </c>
      <c r="I119" s="24">
        <v>0.77407407407407403</v>
      </c>
      <c r="J119" s="24">
        <v>0.71161048689138573</v>
      </c>
      <c r="K119" s="24"/>
      <c r="L119" s="24"/>
      <c r="M119" s="24"/>
      <c r="N119" s="24"/>
      <c r="O119" s="24"/>
      <c r="P119" s="24"/>
      <c r="Q119" s="24"/>
      <c r="R119" s="24"/>
      <c r="S119" s="24">
        <f t="shared" si="3"/>
        <v>0.73182502876393341</v>
      </c>
      <c r="T119" s="24">
        <f t="shared" si="4"/>
        <v>5.0486435313495129E-2</v>
      </c>
      <c r="U119" s="24">
        <f t="shared" si="5"/>
        <v>8</v>
      </c>
    </row>
    <row r="120" spans="1:21" x14ac:dyDescent="0.25">
      <c r="A120" s="21">
        <v>55028</v>
      </c>
      <c r="B120" s="21">
        <v>566</v>
      </c>
      <c r="C120" s="25">
        <v>0.39393939393939392</v>
      </c>
      <c r="D120" s="25">
        <v>0.41111111111111109</v>
      </c>
      <c r="E120" s="25">
        <v>0.39884393063583817</v>
      </c>
      <c r="F120" s="25">
        <v>0.47085201793721981</v>
      </c>
      <c r="G120" s="25">
        <v>0.45454545454545447</v>
      </c>
      <c r="H120" s="25">
        <v>0.36363636363636359</v>
      </c>
      <c r="I120" s="25">
        <v>0.48969072164948452</v>
      </c>
      <c r="J120" s="25">
        <v>0.379746835443038</v>
      </c>
      <c r="K120" s="25">
        <v>0.44094488188976377</v>
      </c>
      <c r="L120" s="25"/>
      <c r="M120" s="25"/>
      <c r="N120" s="25"/>
      <c r="O120" s="25"/>
      <c r="P120" s="25"/>
      <c r="Q120" s="25"/>
      <c r="R120" s="25"/>
      <c r="S120" s="25">
        <f t="shared" si="3"/>
        <v>0.42259007897640749</v>
      </c>
      <c r="T120" s="25">
        <f t="shared" si="4"/>
        <v>4.3326302495357329E-2</v>
      </c>
      <c r="U120" s="26">
        <f t="shared" si="5"/>
        <v>9</v>
      </c>
    </row>
    <row r="121" spans="1:21" x14ac:dyDescent="0.25">
      <c r="A121" s="23">
        <v>28212</v>
      </c>
      <c r="B121" s="23">
        <v>584</v>
      </c>
      <c r="C121" s="24">
        <v>0.71705426000000005</v>
      </c>
      <c r="D121" s="24">
        <v>0.69841268999999995</v>
      </c>
      <c r="E121" s="24">
        <v>0.69406391999999995</v>
      </c>
      <c r="F121" s="24">
        <v>0.65596330000000003</v>
      </c>
      <c r="G121" s="24">
        <v>0.61538461</v>
      </c>
      <c r="H121" s="24">
        <v>0.66949152000000001</v>
      </c>
      <c r="I121" s="24">
        <v>0.67924527999999995</v>
      </c>
      <c r="J121" s="24">
        <v>0.70742358000000005</v>
      </c>
      <c r="K121" s="24"/>
      <c r="L121" s="24"/>
      <c r="M121" s="24"/>
      <c r="N121" s="24"/>
      <c r="O121" s="24"/>
      <c r="P121" s="24"/>
      <c r="Q121" s="24"/>
      <c r="R121" s="24"/>
      <c r="S121" s="24">
        <f t="shared" si="3"/>
        <v>0.67962989500000004</v>
      </c>
      <c r="T121" s="24">
        <f t="shared" si="4"/>
        <v>3.2786550873380123E-2</v>
      </c>
      <c r="U121" s="24">
        <f t="shared" si="5"/>
        <v>8</v>
      </c>
    </row>
    <row r="122" spans="1:21" x14ac:dyDescent="0.25">
      <c r="A122" s="23">
        <v>28213</v>
      </c>
      <c r="B122" s="23">
        <v>589</v>
      </c>
      <c r="C122" s="27">
        <v>0.62886597938144329</v>
      </c>
      <c r="D122" s="24">
        <f>120/(120+56)</f>
        <v>0.68181818181818177</v>
      </c>
      <c r="E122" s="24">
        <f>106/(106+56)</f>
        <v>0.65432098765432101</v>
      </c>
      <c r="F122" s="24">
        <f>164/(164+45)</f>
        <v>0.78468899521531099</v>
      </c>
      <c r="G122" s="24">
        <f>171/(171+44)</f>
        <v>0.79534883720930227</v>
      </c>
      <c r="H122" s="27">
        <v>0.74226804123711343</v>
      </c>
      <c r="I122" s="24">
        <f>164/(164+59)</f>
        <v>0.73542600896860988</v>
      </c>
      <c r="J122" s="24">
        <f>148/(148+43)</f>
        <v>0.77486910994764402</v>
      </c>
      <c r="K122" s="24">
        <v>0.63309352517985606</v>
      </c>
      <c r="L122" s="24">
        <v>0.74683544303797467</v>
      </c>
      <c r="M122" s="24"/>
      <c r="N122" s="24"/>
      <c r="O122" s="24"/>
      <c r="P122" s="24"/>
      <c r="Q122" s="24"/>
      <c r="R122" s="24"/>
      <c r="S122" s="24">
        <f t="shared" si="3"/>
        <v>0.71775351096497564</v>
      </c>
      <c r="T122" s="24">
        <f t="shared" si="4"/>
        <v>6.316289598753122E-2</v>
      </c>
      <c r="U122" s="24">
        <f t="shared" si="5"/>
        <v>10</v>
      </c>
    </row>
    <row r="123" spans="1:21" x14ac:dyDescent="0.25">
      <c r="A123" s="23">
        <v>28215</v>
      </c>
      <c r="B123" s="23">
        <v>595</v>
      </c>
      <c r="C123" s="24">
        <v>0.66666666600000002</v>
      </c>
      <c r="D123" s="24">
        <v>0.58875739599999999</v>
      </c>
      <c r="E123" s="24">
        <v>0.52173913000000005</v>
      </c>
      <c r="F123" s="24">
        <v>0.64363636300000004</v>
      </c>
      <c r="G123" s="24">
        <f>68/(68+32)</f>
        <v>0.68</v>
      </c>
      <c r="H123" s="24">
        <f>107/(107+57)</f>
        <v>0.65243902439024393</v>
      </c>
      <c r="I123" s="24">
        <f>93/(93+53)</f>
        <v>0.63698630136986301</v>
      </c>
      <c r="J123" s="24">
        <f>132/(132+79)</f>
        <v>0.62559241706161139</v>
      </c>
      <c r="K123" s="24">
        <f>95/(95+57)</f>
        <v>0.625</v>
      </c>
      <c r="L123" s="24">
        <f>142/(142+70)</f>
        <v>0.66981132075471694</v>
      </c>
      <c r="M123" s="24">
        <f>124/(124+80)</f>
        <v>0.60784313725490191</v>
      </c>
      <c r="N123" s="24">
        <f>120/(120+53)</f>
        <v>0.69364161849710981</v>
      </c>
      <c r="O123" s="24">
        <f>123/(123+64)</f>
        <v>0.65775401069518713</v>
      </c>
      <c r="P123" s="24">
        <f>107/(107+68)</f>
        <v>0.61142857142857143</v>
      </c>
      <c r="Q123" s="24"/>
      <c r="R123" s="24"/>
      <c r="S123" s="24">
        <f t="shared" si="3"/>
        <v>0.63437828260372897</v>
      </c>
      <c r="T123" s="24">
        <f t="shared" si="4"/>
        <v>4.3871704250502852E-2</v>
      </c>
      <c r="U123" s="24">
        <f t="shared" si="5"/>
        <v>14</v>
      </c>
    </row>
    <row r="124" spans="1:21" x14ac:dyDescent="0.25">
      <c r="A124" s="31">
        <v>55029</v>
      </c>
      <c r="B124" s="31">
        <v>596</v>
      </c>
      <c r="C124" s="30">
        <f>55/111</f>
        <v>0.49549549549549549</v>
      </c>
      <c r="D124" s="30">
        <f>102/(210)</f>
        <v>0.48571428571428571</v>
      </c>
      <c r="E124" s="30">
        <f>121/(200)</f>
        <v>0.60499999999999998</v>
      </c>
      <c r="F124" s="30">
        <f>89/(180)</f>
        <v>0.49444444444444446</v>
      </c>
      <c r="G124" s="30">
        <f>91/(176)</f>
        <v>0.51704545454545459</v>
      </c>
      <c r="H124" s="30">
        <f>92/(167)</f>
        <v>0.55089820359281438</v>
      </c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24">
        <f t="shared" si="3"/>
        <v>0.52476631396541573</v>
      </c>
      <c r="T124" s="24">
        <f t="shared" si="4"/>
        <v>4.5784690008889378E-2</v>
      </c>
      <c r="U124" s="24">
        <f t="shared" si="5"/>
        <v>6</v>
      </c>
    </row>
    <row r="125" spans="1:21" x14ac:dyDescent="0.25">
      <c r="A125" s="21">
        <v>55031</v>
      </c>
      <c r="B125" s="21">
        <v>630</v>
      </c>
      <c r="C125" s="25">
        <f>140/(140+53)</f>
        <v>0.72538860103626945</v>
      </c>
      <c r="D125" s="25">
        <f>86/(86+54)</f>
        <v>0.61428571428571432</v>
      </c>
      <c r="E125" s="25">
        <f>85/(85+30)</f>
        <v>0.73913043478260865</v>
      </c>
      <c r="F125" s="25">
        <f>180/277</f>
        <v>0.64981949458483756</v>
      </c>
      <c r="G125" s="30">
        <f>85/119</f>
        <v>0.7142857142857143</v>
      </c>
      <c r="H125" s="25">
        <f>188/(188+36)</f>
        <v>0.8392857142857143</v>
      </c>
      <c r="I125" s="25">
        <f>83/114</f>
        <v>0.72807017543859653</v>
      </c>
      <c r="J125" s="25">
        <f>137/(137+31)</f>
        <v>0.81547619047619047</v>
      </c>
      <c r="K125" s="25">
        <f>183/(183+39)</f>
        <v>0.82432432432432434</v>
      </c>
      <c r="L125" s="25">
        <f>127/166</f>
        <v>0.76506024096385539</v>
      </c>
      <c r="M125" s="25"/>
      <c r="N125" s="25"/>
      <c r="O125" s="25"/>
      <c r="P125" s="25"/>
      <c r="Q125" s="25"/>
      <c r="R125" s="25"/>
      <c r="S125" s="25">
        <f t="shared" si="3"/>
        <v>0.74151266044638253</v>
      </c>
      <c r="T125" s="25">
        <f t="shared" si="4"/>
        <v>7.3200207832488873E-2</v>
      </c>
      <c r="U125" s="26">
        <f t="shared" si="5"/>
        <v>10</v>
      </c>
    </row>
    <row r="126" spans="1:21" x14ac:dyDescent="0.25">
      <c r="A126" s="21">
        <v>55032</v>
      </c>
      <c r="B126" s="21">
        <v>634</v>
      </c>
      <c r="C126" s="25">
        <v>0.62011173184357538</v>
      </c>
      <c r="D126" s="25">
        <v>0.67025089605734767</v>
      </c>
      <c r="E126" s="25">
        <v>0.7155963302752294</v>
      </c>
      <c r="F126" s="25">
        <v>0.64397905759162299</v>
      </c>
      <c r="G126" s="25">
        <v>0.67326732673267331</v>
      </c>
      <c r="H126" s="25">
        <f>157/(48+157)</f>
        <v>0.76585365853658538</v>
      </c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>
        <f t="shared" si="3"/>
        <v>0.68150983350617234</v>
      </c>
      <c r="T126" s="25">
        <f t="shared" si="4"/>
        <v>5.2247026138631664E-2</v>
      </c>
      <c r="U126" s="26">
        <f t="shared" si="5"/>
        <v>6</v>
      </c>
    </row>
    <row r="127" spans="1:21" x14ac:dyDescent="0.25">
      <c r="A127" s="21">
        <v>25199</v>
      </c>
      <c r="B127" s="21">
        <v>639</v>
      </c>
      <c r="C127" s="25">
        <v>0.67455621301775148</v>
      </c>
      <c r="D127" s="25">
        <v>0.69795918367346943</v>
      </c>
      <c r="E127" s="25">
        <v>0.77222222222222225</v>
      </c>
      <c r="F127" s="25">
        <v>0.66030534299999999</v>
      </c>
      <c r="G127" s="25">
        <v>0.67355371900000005</v>
      </c>
      <c r="H127" s="25">
        <v>0.57299270000000002</v>
      </c>
      <c r="I127" s="25">
        <v>0.64055299499999996</v>
      </c>
      <c r="J127" s="25">
        <v>0.61849710899999999</v>
      </c>
      <c r="K127" s="25">
        <v>0.66225165500000005</v>
      </c>
      <c r="L127" s="25"/>
      <c r="M127" s="25"/>
      <c r="N127" s="25"/>
      <c r="O127" s="25"/>
      <c r="P127" s="25"/>
      <c r="Q127" s="25"/>
      <c r="R127" s="25"/>
      <c r="S127" s="25">
        <f t="shared" si="3"/>
        <v>0.66365457110149384</v>
      </c>
      <c r="T127" s="25">
        <f t="shared" si="4"/>
        <v>5.4756529079965505E-2</v>
      </c>
      <c r="U127" s="26">
        <f t="shared" si="5"/>
        <v>9</v>
      </c>
    </row>
    <row r="128" spans="1:21" x14ac:dyDescent="0.25">
      <c r="A128" s="23">
        <v>28216</v>
      </c>
      <c r="B128" s="23">
        <v>642</v>
      </c>
      <c r="C128" s="24">
        <f>73/(105+73)</f>
        <v>0.4101123595505618</v>
      </c>
      <c r="D128" s="24">
        <f>142/(142+151)</f>
        <v>0.48464163822525597</v>
      </c>
      <c r="E128" s="24">
        <v>0.32105263157894737</v>
      </c>
      <c r="F128" s="24">
        <v>0.36312849162011174</v>
      </c>
      <c r="G128" s="24">
        <v>0.37254901960784315</v>
      </c>
      <c r="H128" s="24">
        <v>0.44086021505376344</v>
      </c>
      <c r="I128" s="24">
        <f>101/(101+129)</f>
        <v>0.43913043478260871</v>
      </c>
      <c r="J128" s="24"/>
      <c r="K128" s="24"/>
      <c r="L128" s="24"/>
      <c r="M128" s="24"/>
      <c r="N128" s="24"/>
      <c r="O128" s="24"/>
      <c r="P128" s="24"/>
      <c r="Q128" s="24"/>
      <c r="R128" s="24"/>
      <c r="S128" s="24">
        <f t="shared" si="3"/>
        <v>0.40449639863129888</v>
      </c>
      <c r="T128" s="24">
        <f t="shared" si="4"/>
        <v>5.5784470760834357E-2</v>
      </c>
      <c r="U128" s="24">
        <f t="shared" si="5"/>
        <v>7</v>
      </c>
    </row>
    <row r="129" spans="1:21" x14ac:dyDescent="0.25">
      <c r="A129" s="23">
        <v>28217</v>
      </c>
      <c r="B129" s="23">
        <v>646</v>
      </c>
      <c r="C129" s="24">
        <v>0.65550239234449759</v>
      </c>
      <c r="D129" s="24">
        <v>0.77439024390243905</v>
      </c>
      <c r="E129" s="24">
        <v>0.66049382716049387</v>
      </c>
      <c r="F129" s="24">
        <v>0.72373540856031127</v>
      </c>
      <c r="G129" s="24">
        <v>0.72284644194756553</v>
      </c>
      <c r="H129" s="24">
        <v>0.75210084033613445</v>
      </c>
      <c r="I129" s="24">
        <v>0.68152866242038213</v>
      </c>
      <c r="J129" s="24">
        <v>0.74233128834355833</v>
      </c>
      <c r="K129" s="24"/>
      <c r="L129" s="24"/>
      <c r="M129" s="24"/>
      <c r="N129" s="24"/>
      <c r="O129" s="24"/>
      <c r="P129" s="24"/>
      <c r="Q129" s="24"/>
      <c r="R129" s="24"/>
      <c r="S129" s="24">
        <f t="shared" si="3"/>
        <v>0.71411613812692265</v>
      </c>
      <c r="T129" s="24">
        <f t="shared" si="4"/>
        <v>4.3774610547555104E-2</v>
      </c>
      <c r="U129" s="24">
        <f t="shared" si="5"/>
        <v>8</v>
      </c>
    </row>
    <row r="130" spans="1:21" x14ac:dyDescent="0.25">
      <c r="A130" s="23">
        <v>28218</v>
      </c>
      <c r="B130" s="23">
        <v>703</v>
      </c>
      <c r="C130" s="24">
        <f>94/(57+94)</f>
        <v>0.62251655629139069</v>
      </c>
      <c r="D130" s="24">
        <f>44/(44+47)</f>
        <v>0.48351648351648352</v>
      </c>
      <c r="E130" s="24">
        <f>96/(96+81)</f>
        <v>0.5423728813559322</v>
      </c>
      <c r="F130" s="24">
        <f>58/(58+35)</f>
        <v>0.62365591397849462</v>
      </c>
      <c r="G130" s="24">
        <f>102/(102+43)</f>
        <v>0.70344827586206893</v>
      </c>
      <c r="H130" s="24">
        <f>120/(120+98)</f>
        <v>0.55045871559633031</v>
      </c>
      <c r="I130" s="24">
        <f>166/(166+110)</f>
        <v>0.60144927536231885</v>
      </c>
      <c r="J130" s="24"/>
      <c r="K130" s="24"/>
      <c r="L130" s="24"/>
      <c r="M130" s="24"/>
      <c r="N130" s="24"/>
      <c r="O130" s="24"/>
      <c r="P130" s="24"/>
      <c r="Q130" s="24"/>
      <c r="R130" s="24"/>
      <c r="S130" s="24">
        <f t="shared" ref="S130:S190" si="6">AVERAGE(C130:R130)</f>
        <v>0.58963115742328853</v>
      </c>
      <c r="T130" s="24">
        <f t="shared" ref="T130:T190" si="7">STDEV(C130:R130)</f>
        <v>7.11351843939593E-2</v>
      </c>
      <c r="U130" s="24">
        <f t="shared" ref="U130:U190" si="8">COUNT(C130:R130)</f>
        <v>7</v>
      </c>
    </row>
    <row r="131" spans="1:21" x14ac:dyDescent="0.25">
      <c r="A131" s="21">
        <v>25744</v>
      </c>
      <c r="B131" s="21">
        <v>705</v>
      </c>
      <c r="C131" s="25">
        <v>0.45027624309392272</v>
      </c>
      <c r="D131" s="25">
        <v>0.44285714285714278</v>
      </c>
      <c r="E131" s="25">
        <v>0.42519685039370081</v>
      </c>
      <c r="F131" s="25">
        <v>0.46333333333333332</v>
      </c>
      <c r="G131" s="25">
        <v>0.44400000000000001</v>
      </c>
      <c r="H131" s="25">
        <f>103/244</f>
        <v>0.42213114754098363</v>
      </c>
      <c r="I131" s="25">
        <f>103/222</f>
        <v>0.46396396396396394</v>
      </c>
      <c r="J131" s="25">
        <f>86/207</f>
        <v>0.41545893719806765</v>
      </c>
      <c r="K131" s="25"/>
      <c r="L131" s="25"/>
      <c r="M131" s="25"/>
      <c r="N131" s="25"/>
      <c r="O131" s="25"/>
      <c r="P131" s="25"/>
      <c r="Q131" s="25"/>
      <c r="R131" s="25"/>
      <c r="S131" s="25">
        <f t="shared" si="6"/>
        <v>0.44090220229763938</v>
      </c>
      <c r="T131" s="25">
        <f t="shared" si="7"/>
        <v>1.8449396384907852E-2</v>
      </c>
      <c r="U131" s="26">
        <f t="shared" si="8"/>
        <v>8</v>
      </c>
    </row>
    <row r="132" spans="1:21" x14ac:dyDescent="0.25">
      <c r="A132" s="21">
        <v>25200</v>
      </c>
      <c r="B132" s="21">
        <v>707</v>
      </c>
      <c r="C132" s="25">
        <f>166/(166+92)</f>
        <v>0.64341085271317833</v>
      </c>
      <c r="D132" s="25">
        <f>153/(153+77)</f>
        <v>0.66521739130434787</v>
      </c>
      <c r="E132" s="25">
        <f>170/(170+69)</f>
        <v>0.71129707112970708</v>
      </c>
      <c r="F132" s="25">
        <f>147/(147+76)</f>
        <v>0.65919282511210764</v>
      </c>
      <c r="G132" s="28">
        <v>0.62121212121212122</v>
      </c>
      <c r="H132" s="25">
        <f>193/(193+81)</f>
        <v>0.70437956204379559</v>
      </c>
      <c r="I132" s="25">
        <f>117/(117+59)</f>
        <v>0.66477272727272729</v>
      </c>
      <c r="J132" s="28">
        <v>0.59217877094972071</v>
      </c>
      <c r="K132" s="25"/>
      <c r="L132" s="25"/>
      <c r="M132" s="25"/>
      <c r="N132" s="25"/>
      <c r="O132" s="25"/>
      <c r="P132" s="25"/>
      <c r="Q132" s="25"/>
      <c r="R132" s="25"/>
      <c r="S132" s="25">
        <f t="shared" si="6"/>
        <v>0.65770766521721324</v>
      </c>
      <c r="T132" s="25">
        <f t="shared" si="7"/>
        <v>3.9621362800233317E-2</v>
      </c>
      <c r="U132" s="26">
        <f t="shared" si="8"/>
        <v>8</v>
      </c>
    </row>
    <row r="133" spans="1:21" x14ac:dyDescent="0.25">
      <c r="A133" s="21">
        <v>25201</v>
      </c>
      <c r="B133" s="21">
        <v>712</v>
      </c>
      <c r="C133" s="25">
        <v>0.54255319148936165</v>
      </c>
      <c r="D133" s="25">
        <v>0.54545454545454541</v>
      </c>
      <c r="E133" s="25">
        <v>0.45977011494252867</v>
      </c>
      <c r="F133" s="25">
        <v>0.51020408163265307</v>
      </c>
      <c r="G133" s="25">
        <v>0.46387832699619769</v>
      </c>
      <c r="H133" s="25">
        <v>0.4697674418604651</v>
      </c>
      <c r="I133" s="25">
        <v>0.49302325581395351</v>
      </c>
      <c r="J133" s="25"/>
      <c r="K133" s="25"/>
      <c r="L133" s="25"/>
      <c r="M133" s="25"/>
      <c r="N133" s="25"/>
      <c r="O133" s="25"/>
      <c r="P133" s="25"/>
      <c r="Q133" s="25"/>
      <c r="R133" s="25"/>
      <c r="S133" s="25">
        <f t="shared" si="6"/>
        <v>0.49780727974138639</v>
      </c>
      <c r="T133" s="25">
        <f t="shared" si="7"/>
        <v>3.6132299444487315E-2</v>
      </c>
      <c r="U133" s="26">
        <f t="shared" si="8"/>
        <v>7</v>
      </c>
    </row>
    <row r="134" spans="1:21" x14ac:dyDescent="0.25">
      <c r="A134" s="29">
        <v>25745</v>
      </c>
      <c r="B134" s="29">
        <v>714</v>
      </c>
      <c r="C134" s="26">
        <f>102/204</f>
        <v>0.5</v>
      </c>
      <c r="D134" s="26">
        <f>95/(95+92)</f>
        <v>0.50802139037433158</v>
      </c>
      <c r="E134" s="26">
        <f>93/(93+101)</f>
        <v>0.47938144329896909</v>
      </c>
      <c r="F134" s="26">
        <f>85/(85+105)</f>
        <v>0.44736842105263158</v>
      </c>
      <c r="G134" s="26">
        <f>61/(61+55)</f>
        <v>0.52586206896551724</v>
      </c>
      <c r="H134" s="26">
        <f>125/(125+150)</f>
        <v>0.45454545454545453</v>
      </c>
      <c r="I134" s="26">
        <f>60/(60+83)</f>
        <v>0.41958041958041958</v>
      </c>
      <c r="J134" s="26">
        <f>71/(71+73)</f>
        <v>0.49305555555555558</v>
      </c>
      <c r="K134" s="26">
        <f>103/(103+115)</f>
        <v>0.47247706422018348</v>
      </c>
      <c r="L134" s="26">
        <f>133/(133+89)</f>
        <v>0.59909909909909909</v>
      </c>
      <c r="M134" s="26">
        <f>112/(112+115)</f>
        <v>0.4933920704845815</v>
      </c>
      <c r="N134" s="26"/>
      <c r="O134" s="26"/>
      <c r="P134" s="26"/>
      <c r="Q134" s="26"/>
      <c r="R134" s="26"/>
      <c r="S134" s="24">
        <f t="shared" si="6"/>
        <v>0.4902529988342495</v>
      </c>
      <c r="T134" s="24">
        <f t="shared" si="7"/>
        <v>4.6996607370448654E-2</v>
      </c>
      <c r="U134" s="24">
        <f t="shared" si="8"/>
        <v>11</v>
      </c>
    </row>
    <row r="135" spans="1:21" x14ac:dyDescent="0.25">
      <c r="A135" s="23">
        <v>28219</v>
      </c>
      <c r="B135" s="23">
        <v>716</v>
      </c>
      <c r="C135" s="24">
        <v>0.48691099476439792</v>
      </c>
      <c r="D135" s="24">
        <v>0.46564885496183206</v>
      </c>
      <c r="E135" s="24">
        <v>0.50872093023255816</v>
      </c>
      <c r="F135" s="24">
        <v>0.5181518151815182</v>
      </c>
      <c r="G135" s="24">
        <v>0.4555256064690027</v>
      </c>
      <c r="H135" s="24">
        <v>0.38935574229691877</v>
      </c>
      <c r="I135" s="24">
        <v>0.44514106583072099</v>
      </c>
      <c r="J135" s="24">
        <v>0.71217712177121772</v>
      </c>
      <c r="K135" s="24">
        <v>0.51630434782608692</v>
      </c>
      <c r="L135" s="24"/>
      <c r="M135" s="24"/>
      <c r="N135" s="24"/>
      <c r="O135" s="24"/>
      <c r="P135" s="24"/>
      <c r="Q135" s="24"/>
      <c r="R135" s="24"/>
      <c r="S135" s="24">
        <f t="shared" si="6"/>
        <v>0.49977071992602817</v>
      </c>
      <c r="T135" s="24">
        <f t="shared" si="7"/>
        <v>8.9631873501968051E-2</v>
      </c>
      <c r="U135" s="24">
        <f t="shared" si="8"/>
        <v>9</v>
      </c>
    </row>
    <row r="136" spans="1:21" x14ac:dyDescent="0.25">
      <c r="A136" s="23">
        <v>28220</v>
      </c>
      <c r="B136" s="23">
        <v>721</v>
      </c>
      <c r="C136" s="24">
        <v>0.44444444444444442</v>
      </c>
      <c r="D136" s="24">
        <v>0.48648648648648651</v>
      </c>
      <c r="E136" s="24">
        <v>0.59615384615384615</v>
      </c>
      <c r="F136" s="24">
        <v>0.47945205479452052</v>
      </c>
      <c r="G136" s="24">
        <v>0.52657004830917875</v>
      </c>
      <c r="H136" s="24">
        <v>0.52941176470588236</v>
      </c>
      <c r="I136" s="24">
        <v>0.46875</v>
      </c>
      <c r="J136" s="24">
        <v>0.4652173913043478</v>
      </c>
      <c r="K136" s="24"/>
      <c r="L136" s="24"/>
      <c r="M136" s="24"/>
      <c r="N136" s="24"/>
      <c r="O136" s="24"/>
      <c r="P136" s="24"/>
      <c r="Q136" s="24"/>
      <c r="R136" s="24"/>
      <c r="S136" s="24">
        <f t="shared" si="6"/>
        <v>0.49956075452483828</v>
      </c>
      <c r="T136" s="24">
        <f t="shared" si="7"/>
        <v>4.8833073143037531E-2</v>
      </c>
      <c r="U136" s="24">
        <f t="shared" si="8"/>
        <v>8</v>
      </c>
    </row>
    <row r="137" spans="1:21" x14ac:dyDescent="0.25">
      <c r="A137" s="21">
        <v>25202</v>
      </c>
      <c r="B137" s="21">
        <v>730</v>
      </c>
      <c r="C137" s="25">
        <v>0.1124031007751938</v>
      </c>
      <c r="D137" s="25">
        <v>0.1328502415458937</v>
      </c>
      <c r="E137" s="25">
        <v>6.8493150684931503E-2</v>
      </c>
      <c r="F137" s="25">
        <v>0.21088435374149661</v>
      </c>
      <c r="G137" s="25">
        <v>0.2072072072072072</v>
      </c>
      <c r="H137" s="25">
        <v>0.16894977168949771</v>
      </c>
      <c r="I137" s="25">
        <v>0.10038610038610039</v>
      </c>
      <c r="J137" s="25">
        <v>0.2109375</v>
      </c>
      <c r="K137" s="25">
        <v>0.16666666666666671</v>
      </c>
      <c r="L137" s="25">
        <v>0.16911764705882351</v>
      </c>
      <c r="M137" s="25">
        <v>0.22745098039215689</v>
      </c>
      <c r="N137" s="25">
        <v>0.4777777777777778</v>
      </c>
      <c r="O137" s="25"/>
      <c r="P137" s="25"/>
      <c r="Q137" s="25"/>
      <c r="R137" s="25"/>
      <c r="S137" s="25">
        <f t="shared" si="6"/>
        <v>0.1877603748271455</v>
      </c>
      <c r="T137" s="25">
        <f t="shared" si="7"/>
        <v>0.1039381921656387</v>
      </c>
      <c r="U137" s="26">
        <f t="shared" si="8"/>
        <v>12</v>
      </c>
    </row>
    <row r="138" spans="1:21" x14ac:dyDescent="0.25">
      <c r="A138" s="21">
        <v>25203</v>
      </c>
      <c r="B138" s="21">
        <v>732</v>
      </c>
      <c r="C138" s="25">
        <v>0.73381294964028776</v>
      </c>
      <c r="D138" s="25">
        <v>0.68965517241379315</v>
      </c>
      <c r="E138" s="25">
        <v>0.57534246575342463</v>
      </c>
      <c r="F138" s="25">
        <v>0.73076923076923073</v>
      </c>
      <c r="G138" s="25">
        <v>0.79</v>
      </c>
      <c r="H138" s="25">
        <v>0.70391596371534726</v>
      </c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>
        <f t="shared" si="6"/>
        <v>0.70391596371534726</v>
      </c>
      <c r="T138" s="25">
        <f t="shared" si="7"/>
        <v>7.1777299431828298E-2</v>
      </c>
      <c r="U138" s="26">
        <f t="shared" si="8"/>
        <v>6</v>
      </c>
    </row>
    <row r="139" spans="1:21" x14ac:dyDescent="0.25">
      <c r="A139" s="23">
        <v>28223</v>
      </c>
      <c r="B139" s="23">
        <v>738</v>
      </c>
      <c r="C139" s="24">
        <v>0.67647058823529416</v>
      </c>
      <c r="D139" s="24">
        <v>0.61924686192468614</v>
      </c>
      <c r="E139" s="24">
        <v>0.61764705882352944</v>
      </c>
      <c r="F139" s="24">
        <v>0.78846153846153844</v>
      </c>
      <c r="G139" s="24">
        <v>0.73015873015873012</v>
      </c>
      <c r="H139" s="24">
        <v>0.59428571428571431</v>
      </c>
      <c r="I139" s="24">
        <v>0.51891891891891895</v>
      </c>
      <c r="J139" s="24"/>
      <c r="K139" s="24"/>
      <c r="L139" s="24"/>
      <c r="M139" s="24"/>
      <c r="N139" s="24"/>
      <c r="O139" s="24"/>
      <c r="P139" s="24"/>
      <c r="Q139" s="24"/>
      <c r="R139" s="24"/>
      <c r="S139" s="24">
        <f t="shared" si="6"/>
        <v>0.64931277297263024</v>
      </c>
      <c r="T139" s="24">
        <f t="shared" si="7"/>
        <v>8.9975186841237634E-2</v>
      </c>
      <c r="U139" s="24">
        <f t="shared" si="8"/>
        <v>7</v>
      </c>
    </row>
    <row r="140" spans="1:21" x14ac:dyDescent="0.25">
      <c r="A140" s="23">
        <v>28224</v>
      </c>
      <c r="B140" s="23">
        <v>748</v>
      </c>
      <c r="C140" s="24">
        <v>0.69158878504672894</v>
      </c>
      <c r="D140" s="24">
        <v>0.63855421686746983</v>
      </c>
      <c r="E140" s="24">
        <v>0.76282051282051277</v>
      </c>
      <c r="F140" s="24">
        <v>0.50467289719626163</v>
      </c>
      <c r="G140" s="24">
        <v>0.74100719424460426</v>
      </c>
      <c r="H140" s="24">
        <v>0.64824120603015079</v>
      </c>
      <c r="I140" s="24">
        <v>0.5544554455445545</v>
      </c>
      <c r="J140" s="24"/>
      <c r="K140" s="24"/>
      <c r="L140" s="24"/>
      <c r="M140" s="24"/>
      <c r="N140" s="24"/>
      <c r="O140" s="24"/>
      <c r="P140" s="24"/>
      <c r="Q140" s="24"/>
      <c r="R140" s="24"/>
      <c r="S140" s="24">
        <f t="shared" si="6"/>
        <v>0.64876289396432607</v>
      </c>
      <c r="T140" s="24">
        <f t="shared" si="7"/>
        <v>9.408552806071438E-2</v>
      </c>
      <c r="U140" s="24">
        <f t="shared" si="8"/>
        <v>7</v>
      </c>
    </row>
    <row r="141" spans="1:21" x14ac:dyDescent="0.25">
      <c r="A141" s="23">
        <v>28226</v>
      </c>
      <c r="B141" s="23">
        <v>757</v>
      </c>
      <c r="C141" s="24">
        <f>117/(108+117)</f>
        <v>0.52</v>
      </c>
      <c r="D141" s="24">
        <f>89/(89+74)</f>
        <v>0.54601226993865026</v>
      </c>
      <c r="E141" s="24">
        <f>85/(85+81)</f>
        <v>0.51204819277108438</v>
      </c>
      <c r="F141" s="24">
        <f>115/(115+101)</f>
        <v>0.53240740740740744</v>
      </c>
      <c r="G141" s="24">
        <f>146/(146+127)</f>
        <v>0.53479853479853479</v>
      </c>
      <c r="H141" s="24">
        <f>87/(87+75)</f>
        <v>0.53703703703703709</v>
      </c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>
        <f t="shared" si="6"/>
        <v>0.53038390699211901</v>
      </c>
      <c r="T141" s="24">
        <f t="shared" si="7"/>
        <v>1.229729483097306E-2</v>
      </c>
      <c r="U141" s="24">
        <f t="shared" si="8"/>
        <v>6</v>
      </c>
    </row>
    <row r="142" spans="1:21" x14ac:dyDescent="0.25">
      <c r="A142" s="23">
        <v>28227</v>
      </c>
      <c r="B142" s="23">
        <v>761</v>
      </c>
      <c r="C142" s="24">
        <f>100/133</f>
        <v>0.75187969924812026</v>
      </c>
      <c r="D142" s="24">
        <f>76/(76+43)</f>
        <v>0.6386554621848739</v>
      </c>
      <c r="E142" s="24">
        <f>105/(150)</f>
        <v>0.7</v>
      </c>
      <c r="F142" s="24">
        <f>157/(157+55)</f>
        <v>0.74056603773584906</v>
      </c>
      <c r="G142" s="24">
        <f>115/(115+43)</f>
        <v>0.72784810126582278</v>
      </c>
      <c r="H142" s="24">
        <f>123/(123+54)</f>
        <v>0.69491525423728817</v>
      </c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>
        <f t="shared" si="6"/>
        <v>0.70897742577865897</v>
      </c>
      <c r="T142" s="24">
        <f t="shared" si="7"/>
        <v>4.1031854146085386E-2</v>
      </c>
      <c r="U142" s="24">
        <f t="shared" si="8"/>
        <v>6</v>
      </c>
    </row>
    <row r="143" spans="1:21" x14ac:dyDescent="0.25">
      <c r="A143" s="21">
        <v>25204</v>
      </c>
      <c r="B143" s="21">
        <v>765</v>
      </c>
      <c r="C143" s="25">
        <v>0.41203703703703698</v>
      </c>
      <c r="D143" s="25">
        <v>0.4925373134328358</v>
      </c>
      <c r="E143" s="25">
        <v>0.34640522875816993</v>
      </c>
      <c r="F143" s="25">
        <v>0.6</v>
      </c>
      <c r="G143" s="25">
        <v>0.36410256410256409</v>
      </c>
      <c r="H143" s="25">
        <v>0.47435897435897428</v>
      </c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>
        <f t="shared" si="6"/>
        <v>0.44824018628159684</v>
      </c>
      <c r="T143" s="25">
        <f t="shared" si="7"/>
        <v>9.4271558467325822E-2</v>
      </c>
      <c r="U143" s="26">
        <f t="shared" si="8"/>
        <v>6</v>
      </c>
    </row>
    <row r="144" spans="1:21" x14ac:dyDescent="0.25">
      <c r="A144" s="29">
        <v>25205</v>
      </c>
      <c r="B144" s="29">
        <v>774</v>
      </c>
      <c r="C144" s="26">
        <f>75/(75+31)</f>
        <v>0.70754716981132071</v>
      </c>
      <c r="D144" s="26">
        <f>60/(60+47)</f>
        <v>0.56074766355140182</v>
      </c>
      <c r="E144" s="26">
        <f>94/(94+67)</f>
        <v>0.58385093167701863</v>
      </c>
      <c r="F144" s="26">
        <f>116/(116+82)</f>
        <v>0.58585858585858586</v>
      </c>
      <c r="G144" s="26">
        <f>138/(138+104)</f>
        <v>0.57024793388429751</v>
      </c>
      <c r="H144" s="26">
        <f>58/(58+31)</f>
        <v>0.651685393258427</v>
      </c>
      <c r="I144" s="26">
        <f>115/(115+72)</f>
        <v>0.61497326203208558</v>
      </c>
      <c r="J144" s="26">
        <f>121/(121+119)</f>
        <v>0.50416666666666665</v>
      </c>
      <c r="K144" s="26">
        <f>91/(91+41)</f>
        <v>0.68939393939393945</v>
      </c>
      <c r="L144" s="26"/>
      <c r="M144" s="26"/>
      <c r="N144" s="26"/>
      <c r="O144" s="26"/>
      <c r="P144" s="26"/>
      <c r="Q144" s="26"/>
      <c r="R144" s="26"/>
      <c r="S144" s="25">
        <f t="shared" si="6"/>
        <v>0.60760794957041586</v>
      </c>
      <c r="T144" s="25">
        <f t="shared" si="7"/>
        <v>6.5194949623401735E-2</v>
      </c>
      <c r="U144" s="26">
        <f t="shared" si="8"/>
        <v>9</v>
      </c>
    </row>
    <row r="145" spans="1:21" x14ac:dyDescent="0.25">
      <c r="A145" s="23">
        <v>28229</v>
      </c>
      <c r="B145" s="23">
        <v>776</v>
      </c>
      <c r="C145" s="24">
        <v>0.77906976744186052</v>
      </c>
      <c r="D145" s="24">
        <v>0.72596153846153844</v>
      </c>
      <c r="E145" s="24">
        <v>0.69512195121951215</v>
      </c>
      <c r="F145" s="24">
        <v>0.77828054298642535</v>
      </c>
      <c r="G145" s="24">
        <v>0.69067796610169496</v>
      </c>
      <c r="H145" s="24">
        <v>0.58781362007168458</v>
      </c>
      <c r="I145" s="24">
        <v>0.6518518518518519</v>
      </c>
      <c r="J145" s="24"/>
      <c r="K145" s="24"/>
      <c r="L145" s="24"/>
      <c r="M145" s="24"/>
      <c r="N145" s="24"/>
      <c r="O145" s="24"/>
      <c r="P145" s="24"/>
      <c r="Q145" s="24"/>
      <c r="R145" s="24"/>
      <c r="S145" s="24">
        <f t="shared" si="6"/>
        <v>0.70125389116208114</v>
      </c>
      <c r="T145" s="24">
        <f t="shared" si="7"/>
        <v>6.8383222843700645E-2</v>
      </c>
      <c r="U145" s="24">
        <f t="shared" si="8"/>
        <v>7</v>
      </c>
    </row>
    <row r="146" spans="1:21" x14ac:dyDescent="0.25">
      <c r="A146" s="23">
        <v>28230</v>
      </c>
      <c r="B146" s="23">
        <v>783</v>
      </c>
      <c r="C146" s="24">
        <v>0.71186440679999996</v>
      </c>
      <c r="D146" s="24">
        <v>0.65566037740000005</v>
      </c>
      <c r="E146" s="24">
        <v>0.72018348619999994</v>
      </c>
      <c r="F146" s="24">
        <v>0.73287671229999996</v>
      </c>
      <c r="G146" s="24">
        <v>0.69899665550000001</v>
      </c>
      <c r="H146" s="24">
        <f>164/(164+62)</f>
        <v>0.72566371681415931</v>
      </c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>
        <f t="shared" si="6"/>
        <v>0.70754089250235985</v>
      </c>
      <c r="T146" s="24">
        <f t="shared" si="7"/>
        <v>2.7976634216356433E-2</v>
      </c>
      <c r="U146" s="24">
        <f t="shared" si="8"/>
        <v>6</v>
      </c>
    </row>
    <row r="147" spans="1:21" x14ac:dyDescent="0.25">
      <c r="A147" s="21">
        <v>25206</v>
      </c>
      <c r="B147" s="21">
        <v>786</v>
      </c>
      <c r="C147" s="25">
        <v>0.80681818181818177</v>
      </c>
      <c r="D147" s="25">
        <v>0.74576299999999995</v>
      </c>
      <c r="E147" s="25">
        <v>0.72189300000000001</v>
      </c>
      <c r="F147" s="25">
        <v>0.75</v>
      </c>
      <c r="G147" s="25">
        <v>0.80722899999999997</v>
      </c>
      <c r="H147" s="25">
        <v>0.66842100000000004</v>
      </c>
      <c r="I147" s="25">
        <v>0.77830200000000005</v>
      </c>
      <c r="J147" s="25">
        <v>0.68390799999999996</v>
      </c>
      <c r="K147" s="25"/>
      <c r="L147" s="25"/>
      <c r="M147" s="25"/>
      <c r="N147" s="25"/>
      <c r="O147" s="25"/>
      <c r="P147" s="25"/>
      <c r="Q147" s="25"/>
      <c r="R147" s="25"/>
      <c r="S147" s="25">
        <f t="shared" si="6"/>
        <v>0.74529177272727276</v>
      </c>
      <c r="T147" s="25">
        <f t="shared" si="7"/>
        <v>5.2041699654783335E-2</v>
      </c>
      <c r="U147" s="26">
        <f t="shared" si="8"/>
        <v>8</v>
      </c>
    </row>
    <row r="148" spans="1:21" x14ac:dyDescent="0.25">
      <c r="A148" s="23">
        <v>28231</v>
      </c>
      <c r="B148" s="23">
        <v>787</v>
      </c>
      <c r="C148" s="24">
        <v>0.61009174311926606</v>
      </c>
      <c r="D148" s="24">
        <v>0.69298245614035092</v>
      </c>
      <c r="E148" s="24">
        <v>0.70666666666666667</v>
      </c>
      <c r="F148" s="24">
        <v>0.6910112359550562</v>
      </c>
      <c r="G148" s="24">
        <v>0.7142857142857143</v>
      </c>
      <c r="H148" s="24">
        <v>0.72935779816513757</v>
      </c>
      <c r="I148" s="24">
        <v>0.70813397129186606</v>
      </c>
      <c r="J148" s="24"/>
      <c r="K148" s="24"/>
      <c r="L148" s="24"/>
      <c r="M148" s="24"/>
      <c r="N148" s="24"/>
      <c r="O148" s="24"/>
      <c r="P148" s="24"/>
      <c r="Q148" s="24"/>
      <c r="R148" s="24"/>
      <c r="S148" s="24">
        <f t="shared" si="6"/>
        <v>0.69321851223200814</v>
      </c>
      <c r="T148" s="24">
        <f t="shared" si="7"/>
        <v>3.8876270184945348E-2</v>
      </c>
      <c r="U148" s="24">
        <f t="shared" si="8"/>
        <v>7</v>
      </c>
    </row>
    <row r="149" spans="1:21" x14ac:dyDescent="0.25">
      <c r="A149" s="23">
        <v>28232</v>
      </c>
      <c r="B149" s="23">
        <v>790</v>
      </c>
      <c r="C149" s="24">
        <v>0.67619047619047623</v>
      </c>
      <c r="D149" s="24">
        <v>0.61290322580645162</v>
      </c>
      <c r="E149" s="24">
        <v>0.63013698630136983</v>
      </c>
      <c r="F149" s="24">
        <v>0.6470588235294118</v>
      </c>
      <c r="G149" s="24">
        <v>0.64516129032258063</v>
      </c>
      <c r="H149" s="24">
        <v>0.67741935483870963</v>
      </c>
      <c r="I149" s="24">
        <v>0.63265306122448983</v>
      </c>
      <c r="J149" s="24"/>
      <c r="K149" s="24"/>
      <c r="L149" s="24"/>
      <c r="M149" s="24"/>
      <c r="N149" s="24"/>
      <c r="O149" s="24"/>
      <c r="P149" s="24"/>
      <c r="Q149" s="24"/>
      <c r="R149" s="24"/>
      <c r="S149" s="24">
        <f t="shared" si="6"/>
        <v>0.64593188831621273</v>
      </c>
      <c r="T149" s="24">
        <f t="shared" si="7"/>
        <v>2.389422949223825E-2</v>
      </c>
      <c r="U149" s="24">
        <f t="shared" si="8"/>
        <v>7</v>
      </c>
    </row>
    <row r="150" spans="1:21" x14ac:dyDescent="0.25">
      <c r="A150" s="23">
        <v>28233</v>
      </c>
      <c r="B150" s="23">
        <v>796</v>
      </c>
      <c r="C150" s="24">
        <v>0.64102564102564108</v>
      </c>
      <c r="D150" s="24">
        <v>0.77192982456140347</v>
      </c>
      <c r="E150" s="24">
        <v>0.67708333333333337</v>
      </c>
      <c r="F150" s="24">
        <v>0.54098360655737709</v>
      </c>
      <c r="G150" s="24">
        <v>0.81632653061224492</v>
      </c>
      <c r="H150" s="24">
        <v>0.73863636363636365</v>
      </c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>
        <f t="shared" si="6"/>
        <v>0.6976642166210606</v>
      </c>
      <c r="T150" s="24">
        <f t="shared" si="7"/>
        <v>9.9453664274218173E-2</v>
      </c>
      <c r="U150" s="24">
        <f t="shared" si="8"/>
        <v>6</v>
      </c>
    </row>
    <row r="151" spans="1:21" x14ac:dyDescent="0.25">
      <c r="A151" s="21">
        <v>25207</v>
      </c>
      <c r="B151" s="21">
        <v>799</v>
      </c>
      <c r="C151" s="25">
        <v>0.68803418803418803</v>
      </c>
      <c r="D151" s="25">
        <v>0.65502183406113534</v>
      </c>
      <c r="E151" s="25">
        <v>0.6470588235294118</v>
      </c>
      <c r="F151" s="25">
        <v>0.64312267657992561</v>
      </c>
      <c r="G151" s="25">
        <v>0.66552901023890787</v>
      </c>
      <c r="H151" s="25">
        <v>0.65966386554621848</v>
      </c>
      <c r="I151" s="25">
        <v>0.59927797833935015</v>
      </c>
      <c r="J151" s="25">
        <v>0.61678832116788318</v>
      </c>
      <c r="K151" s="25"/>
      <c r="L151" s="25"/>
      <c r="M151" s="25"/>
      <c r="N151" s="25"/>
      <c r="O151" s="25"/>
      <c r="P151" s="25"/>
      <c r="Q151" s="25"/>
      <c r="R151" s="25"/>
      <c r="S151" s="25">
        <f t="shared" si="6"/>
        <v>0.64681208718712757</v>
      </c>
      <c r="T151" s="25">
        <f t="shared" si="7"/>
        <v>2.792015047257802E-2</v>
      </c>
      <c r="U151" s="26">
        <f t="shared" si="8"/>
        <v>8</v>
      </c>
    </row>
    <row r="152" spans="1:21" x14ac:dyDescent="0.25">
      <c r="A152" s="23">
        <v>28234</v>
      </c>
      <c r="B152" s="23">
        <v>801</v>
      </c>
      <c r="C152" s="27">
        <v>0.70198675496688745</v>
      </c>
      <c r="D152" s="24">
        <f>151/(151+42)</f>
        <v>0.78238341968911918</v>
      </c>
      <c r="E152" s="24">
        <v>0.75457875460000001</v>
      </c>
      <c r="F152" s="24">
        <v>0.76249999999999996</v>
      </c>
      <c r="G152" s="24">
        <v>0.75704989150000002</v>
      </c>
      <c r="H152" s="24">
        <v>0.77458033573141483</v>
      </c>
      <c r="I152" s="24">
        <v>0.69444444439999997</v>
      </c>
      <c r="J152" s="24"/>
      <c r="K152" s="24"/>
      <c r="L152" s="24"/>
      <c r="M152" s="24"/>
      <c r="N152" s="24"/>
      <c r="O152" s="24"/>
      <c r="P152" s="24"/>
      <c r="Q152" s="24"/>
      <c r="R152" s="24"/>
      <c r="S152" s="24">
        <f t="shared" si="6"/>
        <v>0.7467890858410603</v>
      </c>
      <c r="T152" s="24">
        <f t="shared" si="7"/>
        <v>3.4639371644997002E-2</v>
      </c>
      <c r="U152" s="24">
        <f t="shared" si="8"/>
        <v>7</v>
      </c>
    </row>
    <row r="153" spans="1:21" x14ac:dyDescent="0.25">
      <c r="A153" s="23">
        <v>28235</v>
      </c>
      <c r="B153" s="23">
        <v>802</v>
      </c>
      <c r="C153" s="24">
        <f>84/(84+22)</f>
        <v>0.79245283018867929</v>
      </c>
      <c r="D153" s="24">
        <f>92/(92+42)</f>
        <v>0.68656716417910446</v>
      </c>
      <c r="E153" s="27">
        <v>0.71473354231974917</v>
      </c>
      <c r="F153" s="24">
        <f>168/(91+168)</f>
        <v>0.64864864864864868</v>
      </c>
      <c r="G153" s="27">
        <v>0.74231678486997632</v>
      </c>
      <c r="H153" s="24">
        <f>139/(139+57)</f>
        <v>0.70918367346938771</v>
      </c>
      <c r="I153" s="24">
        <f>113/(113+51)</f>
        <v>0.68902439024390238</v>
      </c>
      <c r="J153" s="24"/>
      <c r="K153" s="24"/>
      <c r="L153" s="24"/>
      <c r="M153" s="24"/>
      <c r="N153" s="24"/>
      <c r="O153" s="24"/>
      <c r="P153" s="24"/>
      <c r="Q153" s="24"/>
      <c r="R153" s="24"/>
      <c r="S153" s="24">
        <f t="shared" si="6"/>
        <v>0.71184671913134978</v>
      </c>
      <c r="T153" s="24">
        <f t="shared" si="7"/>
        <v>4.5816857002251181E-2</v>
      </c>
      <c r="U153" s="24">
        <f t="shared" si="8"/>
        <v>7</v>
      </c>
    </row>
    <row r="154" spans="1:21" x14ac:dyDescent="0.25">
      <c r="A154" s="23">
        <v>28236</v>
      </c>
      <c r="B154" s="23">
        <v>804</v>
      </c>
      <c r="C154" s="24">
        <v>0.64777327935222673</v>
      </c>
      <c r="D154" s="24">
        <v>0.69</v>
      </c>
      <c r="E154" s="24">
        <v>0.68807339449541283</v>
      </c>
      <c r="F154" s="24">
        <v>0.7407407407407407</v>
      </c>
      <c r="G154" s="24">
        <v>0.7239263803680982</v>
      </c>
      <c r="H154" s="24">
        <v>0.70621468926553677</v>
      </c>
      <c r="I154" s="24">
        <v>0.63934426229508201</v>
      </c>
      <c r="J154" s="24"/>
      <c r="K154" s="24"/>
      <c r="L154" s="24"/>
      <c r="M154" s="24"/>
      <c r="N154" s="24"/>
      <c r="O154" s="24"/>
      <c r="P154" s="24"/>
      <c r="Q154" s="24"/>
      <c r="R154" s="24"/>
      <c r="S154" s="24">
        <f t="shared" si="6"/>
        <v>0.69086753521672828</v>
      </c>
      <c r="T154" s="24">
        <f t="shared" si="7"/>
        <v>3.7273943960396891E-2</v>
      </c>
      <c r="U154" s="24">
        <f t="shared" si="8"/>
        <v>7</v>
      </c>
    </row>
    <row r="155" spans="1:21" x14ac:dyDescent="0.25">
      <c r="A155" s="23">
        <v>28237</v>
      </c>
      <c r="B155" s="23">
        <v>805</v>
      </c>
      <c r="C155" s="24">
        <f>81/(81+43)</f>
        <v>0.65322580645161288</v>
      </c>
      <c r="D155" s="24">
        <f>91/(91+52)</f>
        <v>0.63636363636363635</v>
      </c>
      <c r="E155" s="24">
        <f>73/(140)</f>
        <v>0.52142857142857146</v>
      </c>
      <c r="F155" s="24">
        <f>129/(93+129)</f>
        <v>0.58108108108108103</v>
      </c>
      <c r="G155" s="24">
        <f>111/(111+75)</f>
        <v>0.59677419354838712</v>
      </c>
      <c r="H155" s="24">
        <f>44/(44+38)</f>
        <v>0.53658536585365857</v>
      </c>
      <c r="I155" s="24">
        <f>136/(136+70)</f>
        <v>0.66019417475728159</v>
      </c>
      <c r="J155" s="24">
        <f>86/(86+70)</f>
        <v>0.55128205128205132</v>
      </c>
      <c r="K155" s="24">
        <f>97/(97+65)</f>
        <v>0.59876543209876543</v>
      </c>
      <c r="L155" s="24"/>
      <c r="M155" s="24"/>
      <c r="N155" s="24"/>
      <c r="O155" s="24"/>
      <c r="P155" s="24"/>
      <c r="Q155" s="24"/>
      <c r="R155" s="24"/>
      <c r="S155" s="24">
        <f t="shared" si="6"/>
        <v>0.59285559031833834</v>
      </c>
      <c r="T155" s="24">
        <f t="shared" si="7"/>
        <v>5.0320764981525608E-2</v>
      </c>
      <c r="U155" s="24">
        <f t="shared" si="8"/>
        <v>9</v>
      </c>
    </row>
    <row r="156" spans="1:21" x14ac:dyDescent="0.25">
      <c r="A156" s="23">
        <v>28238</v>
      </c>
      <c r="B156" s="23">
        <v>808</v>
      </c>
      <c r="C156" s="24">
        <v>0.69014084507042295</v>
      </c>
      <c r="D156" s="24">
        <v>0.67307692307692313</v>
      </c>
      <c r="E156" s="24">
        <v>0.66666666666666663</v>
      </c>
      <c r="F156" s="24">
        <v>0.64356435643564358</v>
      </c>
      <c r="G156" s="24">
        <v>0.5714285714285714</v>
      </c>
      <c r="H156" s="24">
        <f>180/256</f>
        <v>0.703125</v>
      </c>
      <c r="I156" s="24">
        <f>167/267</f>
        <v>0.62546816479400746</v>
      </c>
      <c r="J156" s="24"/>
      <c r="K156" s="24"/>
      <c r="L156" s="24"/>
      <c r="M156" s="24"/>
      <c r="N156" s="24"/>
      <c r="O156" s="24"/>
      <c r="P156" s="24"/>
      <c r="Q156" s="24"/>
      <c r="R156" s="24"/>
      <c r="S156" s="24">
        <f t="shared" si="6"/>
        <v>0.65335293249603354</v>
      </c>
      <c r="T156" s="24">
        <f t="shared" si="7"/>
        <v>4.4687578372144827E-2</v>
      </c>
      <c r="U156" s="24">
        <f t="shared" si="8"/>
        <v>7</v>
      </c>
    </row>
    <row r="157" spans="1:21" x14ac:dyDescent="0.25">
      <c r="A157" s="23">
        <v>28239</v>
      </c>
      <c r="B157" s="23">
        <v>810</v>
      </c>
      <c r="C157" s="24">
        <v>0.70454545454545459</v>
      </c>
      <c r="D157" s="24">
        <v>0.68888888888888888</v>
      </c>
      <c r="E157" s="24">
        <v>0.74747474747474751</v>
      </c>
      <c r="F157" s="24">
        <v>0.72580645161290325</v>
      </c>
      <c r="G157" s="24">
        <v>0.65789473684210531</v>
      </c>
      <c r="H157" s="24">
        <f>112/(112+65)</f>
        <v>0.63276836158192096</v>
      </c>
      <c r="I157" s="24">
        <f>112/(112+65)</f>
        <v>0.63276836158192096</v>
      </c>
      <c r="J157" s="24">
        <f>174/(174+42)</f>
        <v>0.80555555555555558</v>
      </c>
      <c r="K157" s="24">
        <f>169/(169+44)</f>
        <v>0.79342723004694837</v>
      </c>
      <c r="L157" s="24">
        <f>145/(145+82)</f>
        <v>0.63876651982378851</v>
      </c>
      <c r="M157" s="24">
        <f>130/(130+44)</f>
        <v>0.74712643678160917</v>
      </c>
      <c r="N157" s="24">
        <f>130/(130+68)</f>
        <v>0.65656565656565657</v>
      </c>
      <c r="O157" s="24">
        <f>67/(67+28)</f>
        <v>0.70526315789473681</v>
      </c>
      <c r="P157" s="24">
        <f>173/(173+73)</f>
        <v>0.7032520325203252</v>
      </c>
      <c r="Q157" s="24"/>
      <c r="R157" s="24"/>
      <c r="S157" s="24">
        <f t="shared" si="6"/>
        <v>0.70286454226546879</v>
      </c>
      <c r="T157" s="24">
        <f t="shared" si="7"/>
        <v>5.6519557675533183E-2</v>
      </c>
      <c r="U157" s="24">
        <f t="shared" si="8"/>
        <v>14</v>
      </c>
    </row>
    <row r="158" spans="1:21" x14ac:dyDescent="0.25">
      <c r="A158" s="23">
        <v>28240</v>
      </c>
      <c r="B158" s="23">
        <v>812</v>
      </c>
      <c r="C158" s="24">
        <v>0.69072164948453607</v>
      </c>
      <c r="D158" s="24">
        <v>0.62857142857142856</v>
      </c>
      <c r="E158" s="24">
        <v>0.67088607594936711</v>
      </c>
      <c r="F158" s="24">
        <v>0.55813953488372092</v>
      </c>
      <c r="G158" s="24">
        <v>0.69117647058823528</v>
      </c>
      <c r="H158" s="24">
        <v>0.78</v>
      </c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>
        <f t="shared" si="6"/>
        <v>0.66991585991288138</v>
      </c>
      <c r="T158" s="24">
        <f t="shared" si="7"/>
        <v>7.3766743867190801E-2</v>
      </c>
      <c r="U158" s="24">
        <f t="shared" si="8"/>
        <v>6</v>
      </c>
    </row>
    <row r="159" spans="1:21" x14ac:dyDescent="0.25">
      <c r="A159" s="23">
        <v>28241</v>
      </c>
      <c r="B159" s="23">
        <v>818</v>
      </c>
      <c r="C159" s="24">
        <f>120/(120+53)</f>
        <v>0.69364161849710981</v>
      </c>
      <c r="D159" s="27">
        <v>0.64141414141414144</v>
      </c>
      <c r="E159" s="24">
        <f>62/(62+20)</f>
        <v>0.75609756097560976</v>
      </c>
      <c r="F159" s="24">
        <v>0.66812227074235808</v>
      </c>
      <c r="G159" s="24">
        <v>0.67727272727272725</v>
      </c>
      <c r="H159" s="24">
        <v>0.6983240223463687</v>
      </c>
      <c r="I159" s="24">
        <v>0.59154929577464788</v>
      </c>
      <c r="J159" s="24">
        <f>78/(78+46)</f>
        <v>0.62903225806451613</v>
      </c>
      <c r="K159" s="24"/>
      <c r="L159" s="24"/>
      <c r="M159" s="24"/>
      <c r="N159" s="24"/>
      <c r="O159" s="24"/>
      <c r="P159" s="24"/>
      <c r="Q159" s="24"/>
      <c r="R159" s="24"/>
      <c r="S159" s="24">
        <f t="shared" si="6"/>
        <v>0.66943173688593494</v>
      </c>
      <c r="T159" s="24">
        <f t="shared" si="7"/>
        <v>4.9968306529868257E-2</v>
      </c>
      <c r="U159" s="24">
        <f t="shared" si="8"/>
        <v>8</v>
      </c>
    </row>
    <row r="160" spans="1:21" x14ac:dyDescent="0.25">
      <c r="A160" s="23">
        <v>28242</v>
      </c>
      <c r="B160" s="23">
        <v>819</v>
      </c>
      <c r="C160" s="24">
        <v>0.64021164021164023</v>
      </c>
      <c r="D160" s="24">
        <v>0.52671755725190839</v>
      </c>
      <c r="E160" s="24">
        <v>0.70370370370370372</v>
      </c>
      <c r="F160" s="24">
        <v>0.61111111111111116</v>
      </c>
      <c r="G160" s="24">
        <v>0.28925619834710742</v>
      </c>
      <c r="H160" s="24">
        <v>0.3888888888888889</v>
      </c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>
        <f t="shared" si="6"/>
        <v>0.52664818325239338</v>
      </c>
      <c r="T160" s="24">
        <f t="shared" si="7"/>
        <v>0.15919289227527694</v>
      </c>
      <c r="U160" s="24">
        <f t="shared" si="8"/>
        <v>6</v>
      </c>
    </row>
    <row r="161" spans="1:21" x14ac:dyDescent="0.25">
      <c r="A161" s="21">
        <v>25208</v>
      </c>
      <c r="B161" s="21">
        <v>820</v>
      </c>
      <c r="C161" s="25">
        <v>0.51351351351351349</v>
      </c>
      <c r="D161" s="25">
        <v>0.39037433155080209</v>
      </c>
      <c r="E161" s="25">
        <v>0.60509554140127386</v>
      </c>
      <c r="F161" s="25">
        <v>0.50354609929078009</v>
      </c>
      <c r="G161" s="25">
        <v>0.5532994923857868</v>
      </c>
      <c r="H161" s="25">
        <v>0.35616438356164382</v>
      </c>
      <c r="I161" s="25">
        <v>0.49382716049382708</v>
      </c>
      <c r="J161" s="25">
        <v>0.43421052631578949</v>
      </c>
      <c r="K161" s="25"/>
      <c r="L161" s="25"/>
      <c r="M161" s="25"/>
      <c r="N161" s="25"/>
      <c r="O161" s="25"/>
      <c r="P161" s="25"/>
      <c r="Q161" s="25"/>
      <c r="R161" s="25"/>
      <c r="S161" s="25">
        <f t="shared" si="6"/>
        <v>0.4812538810641771</v>
      </c>
      <c r="T161" s="25">
        <f t="shared" si="7"/>
        <v>8.3102856502195024E-2</v>
      </c>
      <c r="U161" s="26">
        <f t="shared" si="8"/>
        <v>8</v>
      </c>
    </row>
    <row r="162" spans="1:21" x14ac:dyDescent="0.25">
      <c r="A162" s="23">
        <v>28243</v>
      </c>
      <c r="B162" s="23">
        <v>821</v>
      </c>
      <c r="C162" s="24">
        <v>0.71900826446280997</v>
      </c>
      <c r="D162" s="24">
        <v>0.5992366412213741</v>
      </c>
      <c r="E162" s="24">
        <v>0.64563106796116509</v>
      </c>
      <c r="F162" s="24">
        <v>0.64102564102564108</v>
      </c>
      <c r="G162" s="24">
        <v>0.70802919708029199</v>
      </c>
      <c r="H162" s="24">
        <v>0.65517241379310343</v>
      </c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>
        <f t="shared" si="6"/>
        <v>0.66135053759073081</v>
      </c>
      <c r="T162" s="24">
        <f t="shared" si="7"/>
        <v>4.4854919911769119E-2</v>
      </c>
      <c r="U162" s="24">
        <f t="shared" si="8"/>
        <v>6</v>
      </c>
    </row>
    <row r="163" spans="1:21" x14ac:dyDescent="0.25">
      <c r="A163" s="23">
        <v>28244</v>
      </c>
      <c r="B163" s="23">
        <v>822</v>
      </c>
      <c r="C163" s="24">
        <f>146/(146+70)</f>
        <v>0.67592592592592593</v>
      </c>
      <c r="D163" s="24">
        <f>103/(103+89)</f>
        <v>0.53645833333333337</v>
      </c>
      <c r="E163" s="24">
        <f>122/(122+79)</f>
        <v>0.60696517412935325</v>
      </c>
      <c r="F163" s="24">
        <f>159/(159+96)</f>
        <v>0.62352941176470589</v>
      </c>
      <c r="G163" s="24">
        <v>0.58602150537634412</v>
      </c>
      <c r="H163" s="24">
        <v>0.589622641509434</v>
      </c>
      <c r="I163" s="24">
        <f>59/(59+31)</f>
        <v>0.65555555555555556</v>
      </c>
      <c r="J163" s="24">
        <f>128/(128+61)</f>
        <v>0.67724867724867721</v>
      </c>
      <c r="K163" s="24"/>
      <c r="L163" s="24"/>
      <c r="M163" s="24"/>
      <c r="N163" s="24"/>
      <c r="O163" s="24"/>
      <c r="P163" s="24"/>
      <c r="Q163" s="24"/>
      <c r="R163" s="24"/>
      <c r="S163" s="24">
        <f t="shared" si="6"/>
        <v>0.61891590310541611</v>
      </c>
      <c r="T163" s="24">
        <f t="shared" si="7"/>
        <v>4.9133653214946463E-2</v>
      </c>
      <c r="U163" s="24">
        <f t="shared" si="8"/>
        <v>8</v>
      </c>
    </row>
    <row r="164" spans="1:21" x14ac:dyDescent="0.25">
      <c r="A164" s="23">
        <v>28245</v>
      </c>
      <c r="B164" s="23">
        <v>832</v>
      </c>
      <c r="C164" s="24">
        <f>200/262</f>
        <v>0.76335877862595425</v>
      </c>
      <c r="D164" s="24">
        <f>142/(142+49)</f>
        <v>0.74345549738219896</v>
      </c>
      <c r="E164" s="24">
        <f>147/(147+54)</f>
        <v>0.73134328358208955</v>
      </c>
      <c r="F164" s="24">
        <f>111/(111+53)</f>
        <v>0.67682926829268297</v>
      </c>
      <c r="G164" s="24">
        <f>113/(113+41)</f>
        <v>0.73376623376623373</v>
      </c>
      <c r="H164" s="24">
        <f>202/(202+86)</f>
        <v>0.70138888888888884</v>
      </c>
      <c r="I164" s="24">
        <f>198/(198+60)</f>
        <v>0.76744186046511631</v>
      </c>
      <c r="J164" s="24">
        <f>165/(165+40)</f>
        <v>0.80487804878048785</v>
      </c>
      <c r="K164" s="24">
        <f>82/(82+47)</f>
        <v>0.63565891472868219</v>
      </c>
      <c r="L164" s="24">
        <f>186/(186+72)</f>
        <v>0.72093023255813948</v>
      </c>
      <c r="M164" s="24">
        <f>150/(150+79)</f>
        <v>0.65502183406113534</v>
      </c>
      <c r="N164" s="24">
        <f>159/(159+53)</f>
        <v>0.75</v>
      </c>
      <c r="O164" s="24">
        <f>130/(130+69)</f>
        <v>0.65326633165829151</v>
      </c>
      <c r="P164" s="24">
        <f>124/(124+33)</f>
        <v>0.78980891719745228</v>
      </c>
      <c r="Q164" s="24">
        <f>183/(183+51)</f>
        <v>0.78205128205128205</v>
      </c>
      <c r="R164" s="24">
        <f>119/(119+25)</f>
        <v>0.82638888888888884</v>
      </c>
      <c r="S164" s="24">
        <f t="shared" si="6"/>
        <v>0.73347426630797041</v>
      </c>
      <c r="T164" s="24">
        <f t="shared" si="7"/>
        <v>5.6710139738491067E-2</v>
      </c>
      <c r="U164" s="24">
        <f t="shared" si="8"/>
        <v>16</v>
      </c>
    </row>
    <row r="165" spans="1:21" x14ac:dyDescent="0.25">
      <c r="A165" s="23">
        <v>28246</v>
      </c>
      <c r="B165" s="23">
        <v>837</v>
      </c>
      <c r="C165" s="24">
        <f>151/(151+59)</f>
        <v>0.71904761904761905</v>
      </c>
      <c r="D165" s="24">
        <f>154/(154+56)</f>
        <v>0.73333333333333328</v>
      </c>
      <c r="E165" s="24">
        <f>140/(140+42)</f>
        <v>0.76923076923076927</v>
      </c>
      <c r="F165" s="24">
        <f>144/(144+64)</f>
        <v>0.69230769230769229</v>
      </c>
      <c r="G165" s="24">
        <f>44/(44+24)</f>
        <v>0.6470588235294118</v>
      </c>
      <c r="H165" s="24">
        <f>97/(97+34)</f>
        <v>0.74045801526717558</v>
      </c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>
        <f t="shared" si="6"/>
        <v>0.71690604211933362</v>
      </c>
      <c r="T165" s="24">
        <f t="shared" si="7"/>
        <v>4.2545804759144906E-2</v>
      </c>
      <c r="U165" s="24">
        <f t="shared" si="8"/>
        <v>6</v>
      </c>
    </row>
    <row r="166" spans="1:21" x14ac:dyDescent="0.25">
      <c r="A166" s="23">
        <v>28247</v>
      </c>
      <c r="B166" s="23">
        <v>843</v>
      </c>
      <c r="C166" s="24">
        <f>101/(101+36)</f>
        <v>0.73722627737226276</v>
      </c>
      <c r="D166" s="27">
        <v>0.71376811594202894</v>
      </c>
      <c r="E166" s="24">
        <f>141/(141+51)</f>
        <v>0.734375</v>
      </c>
      <c r="F166" s="27">
        <v>0.74725274725274726</v>
      </c>
      <c r="G166" s="24">
        <f>132/(132+42)</f>
        <v>0.75862068965517238</v>
      </c>
      <c r="H166" s="27">
        <v>0.70810810810810809</v>
      </c>
      <c r="I166" s="24">
        <f>213/(213+87)</f>
        <v>0.71</v>
      </c>
      <c r="J166" s="24"/>
      <c r="K166" s="24"/>
      <c r="L166" s="24"/>
      <c r="M166" s="24"/>
      <c r="N166" s="24"/>
      <c r="O166" s="24"/>
      <c r="P166" s="24"/>
      <c r="Q166" s="24"/>
      <c r="R166" s="24"/>
      <c r="S166" s="24">
        <f t="shared" si="6"/>
        <v>0.72990727690433144</v>
      </c>
      <c r="T166" s="24">
        <f t="shared" si="7"/>
        <v>1.970968324384469E-2</v>
      </c>
      <c r="U166" s="24">
        <f t="shared" si="8"/>
        <v>7</v>
      </c>
    </row>
    <row r="167" spans="1:21" x14ac:dyDescent="0.25">
      <c r="A167" s="23">
        <v>28248</v>
      </c>
      <c r="B167" s="23">
        <v>849</v>
      </c>
      <c r="C167" s="24">
        <f>114/(114+73)</f>
        <v>0.60962566844919786</v>
      </c>
      <c r="D167" s="24">
        <f>97/(97+60)</f>
        <v>0.61783439490445857</v>
      </c>
      <c r="E167" s="24">
        <f>96/(96+55)</f>
        <v>0.63576158940397354</v>
      </c>
      <c r="F167" s="24">
        <f>81/(81+47)</f>
        <v>0.6328125</v>
      </c>
      <c r="G167" s="24">
        <f>48/(48+31)</f>
        <v>0.60759493670886078</v>
      </c>
      <c r="H167" s="24">
        <f>71/(71+43)</f>
        <v>0.6228070175438597</v>
      </c>
      <c r="I167" s="24">
        <f>108/(108+88)</f>
        <v>0.55102040816326525</v>
      </c>
      <c r="J167" s="24">
        <f>91/(91+58)</f>
        <v>0.61073825503355705</v>
      </c>
      <c r="K167" s="24"/>
      <c r="L167" s="24"/>
      <c r="M167" s="24"/>
      <c r="N167" s="24"/>
      <c r="O167" s="24"/>
      <c r="P167" s="24"/>
      <c r="Q167" s="24"/>
      <c r="R167" s="24"/>
      <c r="S167" s="24">
        <f t="shared" si="6"/>
        <v>0.61102434627589663</v>
      </c>
      <c r="T167" s="24">
        <f t="shared" si="7"/>
        <v>2.6420053346111992E-2</v>
      </c>
      <c r="U167" s="24">
        <f t="shared" si="8"/>
        <v>8</v>
      </c>
    </row>
    <row r="168" spans="1:21" x14ac:dyDescent="0.25">
      <c r="A168" s="23">
        <v>28249</v>
      </c>
      <c r="B168" s="23">
        <v>850</v>
      </c>
      <c r="C168" s="27">
        <v>0.54666666666666663</v>
      </c>
      <c r="D168" s="24">
        <f>176/(176+37)</f>
        <v>0.82629107981220662</v>
      </c>
      <c r="E168" s="27">
        <v>0.79393939393939394</v>
      </c>
      <c r="F168" s="24">
        <v>0.61627906976744184</v>
      </c>
      <c r="G168" s="24">
        <v>0.56097560975609762</v>
      </c>
      <c r="H168" s="24">
        <v>0.574585635359116</v>
      </c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>
        <f t="shared" si="6"/>
        <v>0.65312290921682037</v>
      </c>
      <c r="T168" s="24">
        <f t="shared" si="7"/>
        <v>0.12423053243317314</v>
      </c>
      <c r="U168" s="24">
        <f t="shared" si="8"/>
        <v>6</v>
      </c>
    </row>
    <row r="169" spans="1:21" x14ac:dyDescent="0.25">
      <c r="A169" s="21">
        <v>25209</v>
      </c>
      <c r="B169" s="21">
        <v>852</v>
      </c>
      <c r="C169" s="25">
        <f>106/(106+62)</f>
        <v>0.63095238095238093</v>
      </c>
      <c r="D169" s="25">
        <f>65/(65+32)</f>
        <v>0.67010309278350511</v>
      </c>
      <c r="E169" s="25">
        <f>62/(62+52)</f>
        <v>0.54385964912280704</v>
      </c>
      <c r="F169" s="25">
        <f>96/(96+69)</f>
        <v>0.58181818181818179</v>
      </c>
      <c r="G169" s="25">
        <f>65/(65+35)</f>
        <v>0.65</v>
      </c>
      <c r="H169" s="25">
        <f>94/(63+94)</f>
        <v>0.59872611464968151</v>
      </c>
      <c r="I169" s="25">
        <f>106/(71+106)</f>
        <v>0.59887005649717517</v>
      </c>
      <c r="J169" s="25"/>
      <c r="K169" s="25"/>
      <c r="L169" s="25"/>
      <c r="M169" s="25"/>
      <c r="N169" s="25"/>
      <c r="O169" s="25"/>
      <c r="P169" s="25"/>
      <c r="Q169" s="25"/>
      <c r="R169" s="25"/>
      <c r="S169" s="25">
        <f t="shared" si="6"/>
        <v>0.61061849654624722</v>
      </c>
      <c r="T169" s="25">
        <f t="shared" si="7"/>
        <v>4.2950442930063282E-2</v>
      </c>
      <c r="U169" s="26">
        <f t="shared" si="8"/>
        <v>7</v>
      </c>
    </row>
    <row r="170" spans="1:21" x14ac:dyDescent="0.25">
      <c r="A170" s="23">
        <v>28250</v>
      </c>
      <c r="B170" s="23">
        <v>853</v>
      </c>
      <c r="C170" s="24">
        <v>0.60215053760000004</v>
      </c>
      <c r="D170" s="24">
        <f>111/(111+62)</f>
        <v>0.64161849710982655</v>
      </c>
      <c r="E170" s="24">
        <v>0.56521739130000004</v>
      </c>
      <c r="F170" s="24">
        <f>86/(86+58)</f>
        <v>0.59722222222222221</v>
      </c>
      <c r="G170" s="24">
        <f>126/(126+57)</f>
        <v>0.68852459016393441</v>
      </c>
      <c r="H170" s="24">
        <v>0.60211267609999997</v>
      </c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>
        <f t="shared" si="6"/>
        <v>0.61614098574933052</v>
      </c>
      <c r="T170" s="24">
        <f t="shared" si="7"/>
        <v>4.2970101161726865E-2</v>
      </c>
      <c r="U170" s="24">
        <f t="shared" si="8"/>
        <v>6</v>
      </c>
    </row>
    <row r="171" spans="1:21" x14ac:dyDescent="0.25">
      <c r="A171" s="23">
        <v>28251</v>
      </c>
      <c r="B171" s="23">
        <v>855</v>
      </c>
      <c r="C171" s="24">
        <v>0.71653543307086609</v>
      </c>
      <c r="D171" s="24">
        <v>0.6</v>
      </c>
      <c r="E171" s="24">
        <v>0.68181818181818177</v>
      </c>
      <c r="F171" s="24">
        <v>0.64954682779456197</v>
      </c>
      <c r="G171" s="24">
        <v>0.55421686746987953</v>
      </c>
      <c r="H171" s="24">
        <v>0.60752688172043012</v>
      </c>
      <c r="I171" s="24">
        <v>0.50961538461538458</v>
      </c>
      <c r="J171" s="24">
        <v>0.50326797385620914</v>
      </c>
      <c r="K171" s="24">
        <v>0.4</v>
      </c>
      <c r="L171" s="24"/>
      <c r="M171" s="24"/>
      <c r="N171" s="24"/>
      <c r="O171" s="24"/>
      <c r="P171" s="24"/>
      <c r="Q171" s="24"/>
      <c r="R171" s="24"/>
      <c r="S171" s="24">
        <f t="shared" si="6"/>
        <v>0.58028083892727922</v>
      </c>
      <c r="T171" s="24">
        <f t="shared" si="7"/>
        <v>9.9315919616177695E-2</v>
      </c>
      <c r="U171" s="24">
        <f t="shared" si="8"/>
        <v>9</v>
      </c>
    </row>
    <row r="172" spans="1:21" x14ac:dyDescent="0.25">
      <c r="A172" s="23">
        <v>28252</v>
      </c>
      <c r="B172" s="23">
        <v>857</v>
      </c>
      <c r="C172" s="24">
        <v>0.56122448000000003</v>
      </c>
      <c r="D172" s="24">
        <v>0.60762941999999998</v>
      </c>
      <c r="E172" s="24">
        <v>0.55719556999999997</v>
      </c>
      <c r="F172" s="24">
        <v>0.59146341000000002</v>
      </c>
      <c r="G172" s="24">
        <v>0.57189542000000004</v>
      </c>
      <c r="H172" s="24">
        <v>0.57093424999999998</v>
      </c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>
        <f t="shared" si="6"/>
        <v>0.57672375833333334</v>
      </c>
      <c r="T172" s="24">
        <f t="shared" si="7"/>
        <v>1.9239679210154636E-2</v>
      </c>
      <c r="U172" s="24">
        <f t="shared" si="8"/>
        <v>6</v>
      </c>
    </row>
    <row r="173" spans="1:21" x14ac:dyDescent="0.25">
      <c r="A173" s="21">
        <v>25210</v>
      </c>
      <c r="B173" s="21">
        <v>859</v>
      </c>
      <c r="C173" s="25">
        <f>36/(36+27)</f>
        <v>0.5714285714285714</v>
      </c>
      <c r="D173" s="25">
        <f>44/(44+34)</f>
        <v>0.5641025641025641</v>
      </c>
      <c r="E173" s="25">
        <f>62/(44+62)</f>
        <v>0.58490566037735847</v>
      </c>
      <c r="F173" s="25">
        <f>43/(43+30)</f>
        <v>0.58904109589041098</v>
      </c>
      <c r="G173" s="25">
        <f>44/(38+44)</f>
        <v>0.53658536585365857</v>
      </c>
      <c r="H173" s="25">
        <f>30/(56)</f>
        <v>0.5357142857142857</v>
      </c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>
        <f t="shared" si="6"/>
        <v>0.56362959056114159</v>
      </c>
      <c r="T173" s="25">
        <f t="shared" si="7"/>
        <v>2.3108950176012645E-2</v>
      </c>
      <c r="U173" s="26">
        <f t="shared" si="8"/>
        <v>6</v>
      </c>
    </row>
    <row r="174" spans="1:21" x14ac:dyDescent="0.25">
      <c r="A174" s="23">
        <v>28253</v>
      </c>
      <c r="B174" s="23">
        <v>861</v>
      </c>
      <c r="C174" s="24">
        <v>0.60357142857142854</v>
      </c>
      <c r="D174" s="24">
        <v>0.54054054054054057</v>
      </c>
      <c r="E174" s="24">
        <v>0.52962962962962967</v>
      </c>
      <c r="F174" s="24">
        <f>1-102/257</f>
        <v>0.60311284046692615</v>
      </c>
      <c r="G174" s="24">
        <f>176/263</f>
        <v>0.66920152091254748</v>
      </c>
      <c r="H174" s="24">
        <f>128/230</f>
        <v>0.55652173913043479</v>
      </c>
      <c r="I174" s="24">
        <f>1-119/250</f>
        <v>0.52400000000000002</v>
      </c>
      <c r="J174" s="24"/>
      <c r="K174" s="24"/>
      <c r="L174" s="24"/>
      <c r="M174" s="24"/>
      <c r="N174" s="24"/>
      <c r="O174" s="24"/>
      <c r="P174" s="24"/>
      <c r="Q174" s="24"/>
      <c r="R174" s="24"/>
      <c r="S174" s="24">
        <f t="shared" si="6"/>
        <v>0.57522538560735814</v>
      </c>
      <c r="T174" s="24">
        <f t="shared" si="7"/>
        <v>5.270768486000655E-2</v>
      </c>
      <c r="U174" s="24">
        <f t="shared" si="8"/>
        <v>7</v>
      </c>
    </row>
    <row r="175" spans="1:21" x14ac:dyDescent="0.25">
      <c r="A175" s="23">
        <v>28254</v>
      </c>
      <c r="B175" s="23">
        <v>879</v>
      </c>
      <c r="C175" s="24">
        <f>161/(161+70)</f>
        <v>0.69696969696969702</v>
      </c>
      <c r="D175" s="24">
        <f>131/(131+62)</f>
        <v>0.67875647668393779</v>
      </c>
      <c r="E175" s="24">
        <f>143/(143+63)</f>
        <v>0.69417475728155342</v>
      </c>
      <c r="F175" s="24">
        <v>0.68474576269999998</v>
      </c>
      <c r="G175" s="24">
        <v>0.6455399061</v>
      </c>
      <c r="H175" s="24">
        <v>0.67268041239999998</v>
      </c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>
        <f t="shared" si="6"/>
        <v>0.67881116868919811</v>
      </c>
      <c r="T175" s="24">
        <f t="shared" si="7"/>
        <v>1.8684525618779996E-2</v>
      </c>
      <c r="U175" s="24">
        <f t="shared" si="8"/>
        <v>6</v>
      </c>
    </row>
    <row r="176" spans="1:21" x14ac:dyDescent="0.25">
      <c r="A176" s="23">
        <v>28255</v>
      </c>
      <c r="B176" s="23">
        <v>882</v>
      </c>
      <c r="C176" s="24">
        <f>64/(64+43)</f>
        <v>0.59813084112149528</v>
      </c>
      <c r="D176" s="24">
        <f>173/(173+65)</f>
        <v>0.72689075630252098</v>
      </c>
      <c r="E176" s="24">
        <f>179/(179+61)</f>
        <v>0.74583333333333335</v>
      </c>
      <c r="F176" s="24">
        <f>143/(143+117)</f>
        <v>0.55000000000000004</v>
      </c>
      <c r="G176" s="24">
        <f>200/(200+77)</f>
        <v>0.72202166064981954</v>
      </c>
      <c r="H176" s="24">
        <f>191/(191+70)</f>
        <v>0.73180076628352486</v>
      </c>
      <c r="I176" s="24">
        <f>157/(157+54)</f>
        <v>0.74407582938388628</v>
      </c>
      <c r="J176" s="24">
        <f>115/(115+38)</f>
        <v>0.75163398692810457</v>
      </c>
      <c r="K176" s="24">
        <f>159/(159+86)</f>
        <v>0.6489795918367347</v>
      </c>
      <c r="L176" s="24">
        <f>167/(167+82)</f>
        <v>0.67068273092369479</v>
      </c>
      <c r="M176" s="24">
        <f>111/(111+53)</f>
        <v>0.67682926829268297</v>
      </c>
      <c r="N176" s="24">
        <f>153/(153+64)</f>
        <v>0.70506912442396308</v>
      </c>
      <c r="O176" s="24">
        <f>149/(149+79)</f>
        <v>0.65350877192982459</v>
      </c>
      <c r="P176" s="24"/>
      <c r="Q176" s="24"/>
      <c r="R176" s="24"/>
      <c r="S176" s="24">
        <f t="shared" si="6"/>
        <v>0.68657358933919899</v>
      </c>
      <c r="T176" s="24">
        <f t="shared" si="7"/>
        <v>6.1677406220127864E-2</v>
      </c>
      <c r="U176" s="24">
        <f t="shared" si="8"/>
        <v>13</v>
      </c>
    </row>
    <row r="177" spans="1:21" x14ac:dyDescent="0.25">
      <c r="A177" s="23">
        <v>28256</v>
      </c>
      <c r="B177" s="23">
        <v>884</v>
      </c>
      <c r="C177" s="24">
        <v>0.629893238434164</v>
      </c>
      <c r="D177" s="24">
        <v>0.6785714285714286</v>
      </c>
      <c r="E177" s="24">
        <v>0.62916666666666665</v>
      </c>
      <c r="F177" s="24">
        <v>0.62962962962962965</v>
      </c>
      <c r="G177" s="24">
        <v>0.66800000000000004</v>
      </c>
      <c r="H177" s="24">
        <f>129/(129+42)</f>
        <v>0.75438596491228072</v>
      </c>
      <c r="I177" s="24">
        <f>123/(123+46)</f>
        <v>0.72781065088757402</v>
      </c>
      <c r="J177" s="24"/>
      <c r="K177" s="24"/>
      <c r="L177" s="24"/>
      <c r="M177" s="24"/>
      <c r="N177" s="24"/>
      <c r="O177" s="24"/>
      <c r="P177" s="24"/>
      <c r="Q177" s="24"/>
      <c r="R177" s="24"/>
      <c r="S177" s="24">
        <f t="shared" si="6"/>
        <v>0.67392251130024916</v>
      </c>
      <c r="T177" s="24">
        <f t="shared" si="7"/>
        <v>5.0561034720298645E-2</v>
      </c>
      <c r="U177" s="24">
        <f t="shared" si="8"/>
        <v>7</v>
      </c>
    </row>
    <row r="178" spans="1:21" x14ac:dyDescent="0.25">
      <c r="A178" s="21">
        <v>28279</v>
      </c>
      <c r="B178" s="21">
        <v>887</v>
      </c>
      <c r="C178" s="28">
        <v>0.473015873015873</v>
      </c>
      <c r="D178" s="25">
        <f>95/(60+95)</f>
        <v>0.61290322580645162</v>
      </c>
      <c r="E178" s="25">
        <f>75/(75+57)</f>
        <v>0.56818181818181823</v>
      </c>
      <c r="F178" s="28">
        <v>0.54146341463414638</v>
      </c>
      <c r="G178" s="25">
        <f>113/(113+87)</f>
        <v>0.56499999999999995</v>
      </c>
      <c r="H178" s="25">
        <f>135/(135+73)</f>
        <v>0.64903846153846156</v>
      </c>
      <c r="I178" s="28">
        <v>0.51724137931034486</v>
      </c>
      <c r="J178" s="25"/>
      <c r="K178" s="25"/>
      <c r="L178" s="25"/>
      <c r="M178" s="25"/>
      <c r="N178" s="25"/>
      <c r="O178" s="25"/>
      <c r="P178" s="25"/>
      <c r="Q178" s="25"/>
      <c r="R178" s="25"/>
      <c r="S178" s="25">
        <f t="shared" si="6"/>
        <v>0.56097773892672798</v>
      </c>
      <c r="T178" s="25">
        <f t="shared" si="7"/>
        <v>5.8523488527059346E-2</v>
      </c>
      <c r="U178" s="26">
        <f t="shared" si="8"/>
        <v>7</v>
      </c>
    </row>
    <row r="179" spans="1:21" x14ac:dyDescent="0.25">
      <c r="A179" s="23">
        <v>28257</v>
      </c>
      <c r="B179" s="23">
        <v>890</v>
      </c>
      <c r="C179" s="24">
        <v>0.64197530800000002</v>
      </c>
      <c r="D179" s="24">
        <v>0.65975103700000004</v>
      </c>
      <c r="E179" s="24">
        <v>0.67123287600000003</v>
      </c>
      <c r="F179" s="26">
        <f>63/(93)</f>
        <v>0.67741935483870963</v>
      </c>
      <c r="G179" s="26">
        <f>68/(68+77)</f>
        <v>0.4689655172413793</v>
      </c>
      <c r="H179" s="26">
        <f>80/121</f>
        <v>0.66115702479338845</v>
      </c>
      <c r="I179" s="26">
        <f>46/80</f>
        <v>0.57499999999999996</v>
      </c>
      <c r="J179" s="26">
        <f>165/(165+81)</f>
        <v>0.67073170731707321</v>
      </c>
      <c r="K179" s="26">
        <f>201/(201+92)</f>
        <v>0.68600682593856654</v>
      </c>
      <c r="L179" s="24"/>
      <c r="M179" s="24"/>
      <c r="N179" s="24"/>
      <c r="O179" s="24"/>
      <c r="P179" s="24"/>
      <c r="Q179" s="24"/>
      <c r="R179" s="24"/>
      <c r="S179" s="24">
        <f t="shared" si="6"/>
        <v>0.63469329456990187</v>
      </c>
      <c r="T179" s="24">
        <f t="shared" si="7"/>
        <v>7.0269779883969027E-2</v>
      </c>
      <c r="U179" s="24">
        <f t="shared" si="8"/>
        <v>9</v>
      </c>
    </row>
    <row r="180" spans="1:21" x14ac:dyDescent="0.25">
      <c r="A180" s="23">
        <v>28258</v>
      </c>
      <c r="B180" s="23">
        <v>892</v>
      </c>
      <c r="C180" s="24">
        <f>73/(73+51)</f>
        <v>0.58870967741935487</v>
      </c>
      <c r="D180" s="24">
        <f>81/(81+35)</f>
        <v>0.69827586206896552</v>
      </c>
      <c r="E180" s="24">
        <f>61/(61+35)</f>
        <v>0.63541666666666663</v>
      </c>
      <c r="F180" s="24">
        <f>90/(90+45)</f>
        <v>0.66666666666666663</v>
      </c>
      <c r="G180" s="24">
        <v>0.61016949152542377</v>
      </c>
      <c r="H180" s="24">
        <v>0.56481481481481477</v>
      </c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>
        <f t="shared" si="6"/>
        <v>0.62734219652698198</v>
      </c>
      <c r="T180" s="24">
        <f t="shared" si="7"/>
        <v>4.9679457969016468E-2</v>
      </c>
      <c r="U180" s="24">
        <f t="shared" si="8"/>
        <v>6</v>
      </c>
    </row>
    <row r="181" spans="1:21" x14ac:dyDescent="0.25">
      <c r="A181" s="23">
        <v>28259</v>
      </c>
      <c r="B181" s="23">
        <v>894</v>
      </c>
      <c r="C181" s="24">
        <f>34/(34+43)</f>
        <v>0.44155844155844154</v>
      </c>
      <c r="D181" s="24">
        <f>16/(53+16)</f>
        <v>0.2318840579710145</v>
      </c>
      <c r="E181" s="24">
        <f>30/(44+30)</f>
        <v>0.40540540540540543</v>
      </c>
      <c r="F181" s="24">
        <f>40/(40+73)</f>
        <v>0.35398230088495575</v>
      </c>
      <c r="G181" s="24">
        <f>45/(91+45)</f>
        <v>0.33088235294117646</v>
      </c>
      <c r="H181" s="24">
        <f>38/(38+86)</f>
        <v>0.30645161290322581</v>
      </c>
      <c r="I181" s="24">
        <f>24/(37+24)</f>
        <v>0.39344262295081966</v>
      </c>
      <c r="J181" s="24"/>
      <c r="K181" s="24"/>
      <c r="L181" s="24"/>
      <c r="M181" s="24"/>
      <c r="N181" s="24"/>
      <c r="O181" s="24"/>
      <c r="P181" s="24"/>
      <c r="Q181" s="24"/>
      <c r="R181" s="24"/>
      <c r="S181" s="24">
        <f t="shared" si="6"/>
        <v>0.35194382780214845</v>
      </c>
      <c r="T181" s="24">
        <f t="shared" si="7"/>
        <v>7.0169675693342703E-2</v>
      </c>
      <c r="U181" s="24">
        <f t="shared" si="8"/>
        <v>7</v>
      </c>
    </row>
    <row r="182" spans="1:21" x14ac:dyDescent="0.25">
      <c r="A182" s="23">
        <v>28260</v>
      </c>
      <c r="B182" s="23">
        <v>897</v>
      </c>
      <c r="C182" s="24">
        <f>60/(131)</f>
        <v>0.4580152671755725</v>
      </c>
      <c r="D182" s="24">
        <f>81/(81+100)</f>
        <v>0.44751381215469616</v>
      </c>
      <c r="E182" s="24">
        <f>63/(50+63)</f>
        <v>0.55752212389380529</v>
      </c>
      <c r="F182" s="24">
        <f>53/(83+53)</f>
        <v>0.38970588235294118</v>
      </c>
      <c r="G182" s="24">
        <f>38/(84+38)</f>
        <v>0.31147540983606559</v>
      </c>
      <c r="H182" s="24">
        <f>116/(116+74)</f>
        <v>0.61052631578947369</v>
      </c>
      <c r="I182" s="24">
        <f>116/(116+61)</f>
        <v>0.65536723163841804</v>
      </c>
      <c r="J182" s="24">
        <f>135/(135+80)</f>
        <v>0.62790697674418605</v>
      </c>
      <c r="K182" s="24">
        <f>118/(118+83)</f>
        <v>0.58706467661691542</v>
      </c>
      <c r="L182" s="24">
        <f>79/(79+48)</f>
        <v>0.62204724409448819</v>
      </c>
      <c r="M182" s="24">
        <f>107/(107+57)</f>
        <v>0.65243902439024393</v>
      </c>
      <c r="N182" s="24"/>
      <c r="O182" s="24"/>
      <c r="P182" s="24"/>
      <c r="Q182" s="24"/>
      <c r="R182" s="24"/>
      <c r="S182" s="24">
        <f t="shared" si="6"/>
        <v>0.53814399678970959</v>
      </c>
      <c r="T182" s="24">
        <f t="shared" si="7"/>
        <v>0.11745496934376892</v>
      </c>
      <c r="U182" s="24">
        <f t="shared" si="8"/>
        <v>11</v>
      </c>
    </row>
    <row r="183" spans="1:21" x14ac:dyDescent="0.25">
      <c r="A183" s="21">
        <v>28261</v>
      </c>
      <c r="B183" s="21">
        <v>900</v>
      </c>
      <c r="C183" s="25">
        <f>122/(122+52)</f>
        <v>0.70114942528735635</v>
      </c>
      <c r="D183" s="25">
        <f>145/(103+145)</f>
        <v>0.58467741935483875</v>
      </c>
      <c r="E183" s="25">
        <f>115/(115+80)</f>
        <v>0.58974358974358976</v>
      </c>
      <c r="F183" s="25">
        <f>108/(108+71)</f>
        <v>0.6033519553072626</v>
      </c>
      <c r="G183" s="25">
        <f>108/(108+67)</f>
        <v>0.6171428571428571</v>
      </c>
      <c r="H183" s="25">
        <f>127/(127+69)</f>
        <v>0.64795918367346939</v>
      </c>
      <c r="I183" s="25">
        <f>70/(70+52)</f>
        <v>0.57377049180327866</v>
      </c>
      <c r="J183" s="25"/>
      <c r="K183" s="25"/>
      <c r="L183" s="25"/>
      <c r="M183" s="25"/>
      <c r="N183" s="25"/>
      <c r="O183" s="25"/>
      <c r="P183" s="25"/>
      <c r="Q183" s="25"/>
      <c r="R183" s="25"/>
      <c r="S183" s="25">
        <f t="shared" si="6"/>
        <v>0.61682784604466456</v>
      </c>
      <c r="T183" s="25">
        <f t="shared" si="7"/>
        <v>4.4501180511845109E-2</v>
      </c>
      <c r="U183" s="26">
        <f t="shared" si="8"/>
        <v>7</v>
      </c>
    </row>
    <row r="184" spans="1:21" x14ac:dyDescent="0.25">
      <c r="A184" s="21">
        <v>28262</v>
      </c>
      <c r="B184" s="21">
        <v>907</v>
      </c>
      <c r="C184" s="25">
        <v>0.703125</v>
      </c>
      <c r="D184" s="25">
        <v>0.65691489361702127</v>
      </c>
      <c r="E184" s="25">
        <v>0.58399999999999996</v>
      </c>
      <c r="F184" s="25">
        <v>0.71144278606965172</v>
      </c>
      <c r="G184" s="25">
        <v>0.65660377358490563</v>
      </c>
      <c r="H184" s="25">
        <v>0.67069486404833834</v>
      </c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>
        <f t="shared" si="6"/>
        <v>0.66379688621998623</v>
      </c>
      <c r="T184" s="25">
        <f t="shared" si="7"/>
        <v>4.545560503628162E-2</v>
      </c>
      <c r="U184" s="26">
        <f t="shared" si="8"/>
        <v>6</v>
      </c>
    </row>
    <row r="185" spans="1:21" x14ac:dyDescent="0.25">
      <c r="A185" s="21">
        <v>28263</v>
      </c>
      <c r="B185" s="21">
        <v>908</v>
      </c>
      <c r="C185" s="28">
        <v>0.59530791788856308</v>
      </c>
      <c r="D185" s="25">
        <f>97/(97+70)</f>
        <v>0.58083832335329344</v>
      </c>
      <c r="E185" s="28">
        <v>0.58103975535168195</v>
      </c>
      <c r="F185" s="25">
        <f>95/(95+65)</f>
        <v>0.59375</v>
      </c>
      <c r="G185" s="25">
        <f>175/(175+103)</f>
        <v>0.62949640287769781</v>
      </c>
      <c r="H185" s="25">
        <f>127/(127+79)</f>
        <v>0.61650485436893199</v>
      </c>
      <c r="I185" s="28">
        <v>0.625</v>
      </c>
      <c r="J185" s="25"/>
      <c r="K185" s="25"/>
      <c r="L185" s="25"/>
      <c r="M185" s="25"/>
      <c r="N185" s="25"/>
      <c r="O185" s="25"/>
      <c r="P185" s="25"/>
      <c r="Q185" s="25"/>
      <c r="R185" s="25"/>
      <c r="S185" s="25">
        <f t="shared" si="6"/>
        <v>0.60313389340573831</v>
      </c>
      <c r="T185" s="25">
        <f t="shared" si="7"/>
        <v>2.0356971978869556E-2</v>
      </c>
      <c r="U185" s="26">
        <f t="shared" si="8"/>
        <v>7</v>
      </c>
    </row>
    <row r="186" spans="1:21" x14ac:dyDescent="0.25">
      <c r="A186" s="21">
        <v>28264</v>
      </c>
      <c r="B186" s="21">
        <v>911</v>
      </c>
      <c r="C186" s="25">
        <f>129/(129+67)</f>
        <v>0.65816326530612246</v>
      </c>
      <c r="D186" s="25">
        <f>119/(119+37)</f>
        <v>0.76282051282051277</v>
      </c>
      <c r="E186" s="25">
        <f>142/(142+60)</f>
        <v>0.70297029702970293</v>
      </c>
      <c r="F186" s="25">
        <f>168/(168+57)</f>
        <v>0.7466666666666667</v>
      </c>
      <c r="G186" s="25">
        <f>130/(63+130)</f>
        <v>0.67357512953367871</v>
      </c>
      <c r="H186" s="25">
        <f>123/(60+123)</f>
        <v>0.67213114754098358</v>
      </c>
      <c r="I186" s="25">
        <f>135/(54+135)</f>
        <v>0.7142857142857143</v>
      </c>
      <c r="J186" s="25">
        <f>166/(98+166)</f>
        <v>0.62878787878787878</v>
      </c>
      <c r="K186" s="25"/>
      <c r="L186" s="25"/>
      <c r="M186" s="25"/>
      <c r="N186" s="25"/>
      <c r="O186" s="25"/>
      <c r="P186" s="25"/>
      <c r="Q186" s="25"/>
      <c r="R186" s="25"/>
      <c r="S186" s="25">
        <f t="shared" si="6"/>
        <v>0.69492507649640756</v>
      </c>
      <c r="T186" s="25">
        <f t="shared" si="7"/>
        <v>4.5399001580099629E-2</v>
      </c>
      <c r="U186" s="26">
        <f t="shared" si="8"/>
        <v>8</v>
      </c>
    </row>
    <row r="187" spans="1:21" x14ac:dyDescent="0.25">
      <c r="A187" s="21">
        <v>28265</v>
      </c>
      <c r="B187" s="21">
        <v>913</v>
      </c>
      <c r="C187" s="25">
        <f>117/(117+73)</f>
        <v>0.61578947368421055</v>
      </c>
      <c r="D187" s="25">
        <f>117/(117+70)</f>
        <v>0.62566844919786091</v>
      </c>
      <c r="E187" s="25">
        <f>124/(124+86)</f>
        <v>0.59047619047619049</v>
      </c>
      <c r="F187" s="25">
        <f>117/(90+117)</f>
        <v>0.56521739130434778</v>
      </c>
      <c r="G187" s="25">
        <f>171/(85+171)</f>
        <v>0.66796875</v>
      </c>
      <c r="H187" s="25">
        <f>89/(89+58)</f>
        <v>0.60544217687074831</v>
      </c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>
        <f t="shared" si="6"/>
        <v>0.61176040525555964</v>
      </c>
      <c r="T187" s="25">
        <f t="shared" si="7"/>
        <v>3.4722428065943903E-2</v>
      </c>
      <c r="U187" s="26">
        <f t="shared" si="8"/>
        <v>6</v>
      </c>
    </row>
    <row r="188" spans="1:21" x14ac:dyDescent="0.25">
      <c r="A188" s="21">
        <v>55015</v>
      </c>
      <c r="B188" s="21">
        <v>32</v>
      </c>
      <c r="C188" s="39">
        <v>0.55038759689922478</v>
      </c>
      <c r="D188" s="39">
        <v>0.60869565217391308</v>
      </c>
      <c r="E188" s="39">
        <v>0.61083743842364535</v>
      </c>
      <c r="F188" s="39">
        <v>0.5859375</v>
      </c>
      <c r="G188" s="39">
        <v>0.6132075471698113</v>
      </c>
      <c r="H188" s="39">
        <v>0.68041237113402064</v>
      </c>
      <c r="I188" s="39">
        <v>0.55645161290322576</v>
      </c>
      <c r="J188" s="39">
        <v>0.58715596330275233</v>
      </c>
      <c r="K188" s="25"/>
      <c r="L188" s="25"/>
      <c r="M188" s="25"/>
      <c r="N188" s="25"/>
      <c r="O188" s="25"/>
      <c r="P188" s="25"/>
      <c r="Q188" s="25"/>
      <c r="R188" s="25"/>
      <c r="S188" s="25">
        <f t="shared" si="6"/>
        <v>0.59913571025082424</v>
      </c>
      <c r="T188" s="25">
        <f t="shared" si="7"/>
        <v>4.0617119794639292E-2</v>
      </c>
      <c r="U188" s="26">
        <f t="shared" si="8"/>
        <v>8</v>
      </c>
    </row>
    <row r="189" spans="1:21" ht="15.75" x14ac:dyDescent="0.25">
      <c r="A189" s="23">
        <v>28144</v>
      </c>
      <c r="B189" s="23">
        <v>142</v>
      </c>
      <c r="C189" s="38">
        <f>106/183</f>
        <v>0.57923497267759561</v>
      </c>
      <c r="D189" s="38">
        <f>82/146</f>
        <v>0.56164383561643838</v>
      </c>
      <c r="E189" s="38">
        <f>27/43</f>
        <v>0.62790697674418605</v>
      </c>
      <c r="F189" s="38">
        <f>57/107</f>
        <v>0.53271028037383172</v>
      </c>
      <c r="G189" s="38">
        <f>99/180</f>
        <v>0.55000000000000004</v>
      </c>
      <c r="H189" s="38">
        <f>99/180</f>
        <v>0.55000000000000004</v>
      </c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>
        <f t="shared" si="6"/>
        <v>0.5669160109020086</v>
      </c>
      <c r="T189" s="24">
        <f t="shared" si="7"/>
        <v>3.3591026827031661E-2</v>
      </c>
      <c r="U189" s="24">
        <f t="shared" si="8"/>
        <v>6</v>
      </c>
    </row>
    <row r="190" spans="1:21" x14ac:dyDescent="0.25">
      <c r="A190" s="23">
        <v>28150</v>
      </c>
      <c r="B190" s="23">
        <v>177</v>
      </c>
      <c r="C190" s="37">
        <v>0.40178599999999998</v>
      </c>
      <c r="D190" s="37">
        <v>0.33571399999999996</v>
      </c>
      <c r="E190" s="37">
        <v>0.37333300000000003</v>
      </c>
      <c r="F190" s="37">
        <v>0.32894699999999999</v>
      </c>
      <c r="G190" s="37">
        <v>0.33333299999999999</v>
      </c>
      <c r="H190" s="37">
        <v>0.30400000000000005</v>
      </c>
      <c r="I190" s="37">
        <v>0.32768399999999998</v>
      </c>
      <c r="J190" s="24"/>
      <c r="K190" s="24"/>
      <c r="L190" s="24"/>
      <c r="M190" s="24"/>
      <c r="N190" s="24"/>
      <c r="O190" s="24"/>
      <c r="P190" s="24"/>
      <c r="Q190" s="24"/>
      <c r="R190" s="24"/>
      <c r="S190" s="24">
        <f t="shared" si="6"/>
        <v>0.34354242857142853</v>
      </c>
      <c r="T190" s="24">
        <f t="shared" si="7"/>
        <v>3.284668535716169E-2</v>
      </c>
      <c r="U190" s="24">
        <f t="shared" si="8"/>
        <v>7</v>
      </c>
    </row>
    <row r="191" spans="1:21" x14ac:dyDescent="0.25">
      <c r="A191" s="29">
        <v>25176</v>
      </c>
      <c r="B191" s="29">
        <v>303</v>
      </c>
      <c r="C191" s="37">
        <v>0.29565217391304344</v>
      </c>
      <c r="D191" s="37">
        <v>0.2857142857142857</v>
      </c>
      <c r="E191" s="37">
        <v>0.3571428571428571</v>
      </c>
      <c r="F191" s="37">
        <v>0.29870129870129869</v>
      </c>
      <c r="G191" s="37">
        <v>0.27631578947368418</v>
      </c>
      <c r="H191" s="37">
        <v>0.38536585365853659</v>
      </c>
      <c r="I191" s="37">
        <v>0.27536231884057971</v>
      </c>
      <c r="J191" s="26"/>
      <c r="K191" s="26"/>
      <c r="L191" s="26"/>
      <c r="M191" s="26"/>
      <c r="N191" s="26"/>
      <c r="O191" s="26"/>
      <c r="P191" s="26"/>
      <c r="Q191" s="26"/>
      <c r="R191" s="26"/>
      <c r="S191" s="25">
        <f>AVERAGE(C191:R191)</f>
        <v>0.31060779677775502</v>
      </c>
      <c r="T191" s="25">
        <f>STDEV(C191:R191)</f>
        <v>4.3123053843080961E-2</v>
      </c>
      <c r="U191" s="26">
        <f>COUNT(C191:R191)</f>
        <v>7</v>
      </c>
    </row>
    <row r="192" spans="1:21" x14ac:dyDescent="0.25">
      <c r="A192" s="31">
        <v>25186</v>
      </c>
      <c r="B192" s="31">
        <v>360</v>
      </c>
      <c r="C192" s="40">
        <v>0.3571428571428571</v>
      </c>
      <c r="D192" s="40">
        <v>0.51704545454545459</v>
      </c>
      <c r="E192" s="40">
        <v>0.58333333333333326</v>
      </c>
      <c r="F192" s="40">
        <v>0.43206521739130432</v>
      </c>
      <c r="G192" s="40">
        <v>0.32661290322580649</v>
      </c>
      <c r="H192" s="40">
        <v>0.34285714285714286</v>
      </c>
      <c r="I192" s="40">
        <v>0.50549450549450547</v>
      </c>
      <c r="J192" s="30"/>
      <c r="K192" s="26"/>
      <c r="L192" s="26"/>
      <c r="M192" s="26"/>
      <c r="N192" s="26"/>
      <c r="O192" s="26"/>
      <c r="P192" s="26"/>
      <c r="Q192" s="26"/>
      <c r="R192" s="26"/>
      <c r="S192" s="24">
        <f>AVERAGE(C192:R192)</f>
        <v>0.43779305914148631</v>
      </c>
      <c r="T192" s="24">
        <f>STDEV(C192:R192)</f>
        <v>9.996459202397065E-2</v>
      </c>
      <c r="U192" s="24">
        <f>COUNT(C192:R192)</f>
        <v>7</v>
      </c>
    </row>
    <row r="193" spans="1:21" ht="15.75" x14ac:dyDescent="0.25">
      <c r="A193" s="21">
        <v>25188</v>
      </c>
      <c r="B193" s="21">
        <v>375</v>
      </c>
      <c r="C193" s="38">
        <f>112/205</f>
        <v>0.54634146341463419</v>
      </c>
      <c r="D193" s="38">
        <f>74/125</f>
        <v>0.59199999999999997</v>
      </c>
      <c r="E193" s="38">
        <f>58/94</f>
        <v>0.61702127659574468</v>
      </c>
      <c r="F193" s="38">
        <f>125/226</f>
        <v>0.55309734513274333</v>
      </c>
      <c r="G193" s="38">
        <f>16/47</f>
        <v>0.34042553191489361</v>
      </c>
      <c r="H193" s="38">
        <f>125/221</f>
        <v>0.56561085972850678</v>
      </c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>
        <f>AVERAGE(C193:R193)</f>
        <v>0.53574941279775379</v>
      </c>
      <c r="T193" s="25">
        <f>STDEV(C193:R193)</f>
        <v>9.9222488533906986E-2</v>
      </c>
      <c r="U193" s="26">
        <f>COUNT(C193:R193)</f>
        <v>6</v>
      </c>
    </row>
    <row r="194" spans="1:21" x14ac:dyDescent="0.25">
      <c r="A194" s="23">
        <v>28222</v>
      </c>
      <c r="B194" s="23">
        <v>737</v>
      </c>
      <c r="C194" s="36">
        <v>0.70848708487084866</v>
      </c>
      <c r="D194" s="36">
        <v>0.70370370370370372</v>
      </c>
      <c r="E194" s="36">
        <v>0.72377622377622375</v>
      </c>
      <c r="F194" s="36">
        <v>0.70671378091872794</v>
      </c>
      <c r="G194" s="36">
        <v>0.73270440251572322</v>
      </c>
      <c r="H194" s="36">
        <v>0.71812080536912748</v>
      </c>
      <c r="I194" s="36">
        <v>0.59466666666666668</v>
      </c>
      <c r="J194" s="36">
        <v>0.76950354609929073</v>
      </c>
      <c r="K194" s="36">
        <v>0.70627062706270627</v>
      </c>
      <c r="L194" s="24"/>
      <c r="M194" s="24"/>
      <c r="N194" s="24"/>
      <c r="O194" s="24"/>
      <c r="P194" s="24"/>
      <c r="Q194" s="24"/>
      <c r="R194" s="24"/>
      <c r="S194" s="24">
        <f t="shared" ref="S194:S204" si="9">AVERAGE(C194:R194)</f>
        <v>0.70710520455366888</v>
      </c>
      <c r="T194" s="24">
        <f t="shared" ref="T194:T204" si="10">STDEV(C194:R194)</f>
        <v>4.6910676613444592E-2</v>
      </c>
      <c r="U194" s="24">
        <f t="shared" ref="U194:U204" si="11">COUNT(C194:R194)</f>
        <v>9</v>
      </c>
    </row>
    <row r="195" spans="1:21" x14ac:dyDescent="0.25">
      <c r="A195" s="21">
        <v>28122</v>
      </c>
      <c r="B195" s="21">
        <v>21</v>
      </c>
      <c r="C195" s="37">
        <v>0.44444444444444442</v>
      </c>
      <c r="D195" s="37">
        <v>0.55294117647058827</v>
      </c>
      <c r="E195" s="37">
        <v>0.50877192982456143</v>
      </c>
      <c r="F195" s="36">
        <f>73/(73+97)</f>
        <v>0.42941176470588233</v>
      </c>
      <c r="G195" s="36">
        <f>83/(83+89)</f>
        <v>0.48255813953488375</v>
      </c>
      <c r="H195" s="36">
        <f>80/(80+101)</f>
        <v>0.44198895027624308</v>
      </c>
      <c r="I195" s="35">
        <v>0.40666666666666668</v>
      </c>
      <c r="J195" s="35">
        <v>0.44866920152091255</v>
      </c>
      <c r="K195" s="36">
        <f>78/(78+105)</f>
        <v>0.42622950819672129</v>
      </c>
      <c r="L195" s="35">
        <v>0.46232876712328769</v>
      </c>
      <c r="M195" s="25"/>
      <c r="N195" s="25"/>
      <c r="O195" s="25"/>
      <c r="P195" s="25"/>
      <c r="Q195" s="25"/>
      <c r="R195" s="25"/>
      <c r="S195" s="25">
        <f t="shared" si="9"/>
        <v>0.46040105487641914</v>
      </c>
      <c r="T195" s="25">
        <f t="shared" si="10"/>
        <v>4.3645973089615729E-2</v>
      </c>
      <c r="U195" s="26">
        <f t="shared" si="11"/>
        <v>10</v>
      </c>
    </row>
    <row r="196" spans="1:21" x14ac:dyDescent="0.25">
      <c r="A196" s="21">
        <v>29651</v>
      </c>
      <c r="B196" s="21">
        <v>40</v>
      </c>
      <c r="C196" s="37">
        <v>0.46385542168674698</v>
      </c>
      <c r="D196" s="37">
        <v>0.43859649122807021</v>
      </c>
      <c r="E196" s="37">
        <v>0.44715447154471544</v>
      </c>
      <c r="F196" s="37">
        <v>0.37391304347826082</v>
      </c>
      <c r="G196" s="37">
        <v>0.41605839416058399</v>
      </c>
      <c r="H196" s="37">
        <v>0.44378698224852076</v>
      </c>
      <c r="I196" s="37">
        <v>0.46575342465753422</v>
      </c>
      <c r="J196" s="25"/>
      <c r="K196" s="25"/>
      <c r="L196" s="25"/>
      <c r="M196" s="25"/>
      <c r="N196" s="25"/>
      <c r="O196" s="25"/>
      <c r="P196" s="25"/>
      <c r="Q196" s="25"/>
      <c r="R196" s="25"/>
      <c r="S196" s="25">
        <f t="shared" si="9"/>
        <v>0.43558831842920476</v>
      </c>
      <c r="T196" s="25">
        <f t="shared" si="10"/>
        <v>3.1896351234514224E-2</v>
      </c>
      <c r="U196" s="26">
        <f t="shared" si="11"/>
        <v>7</v>
      </c>
    </row>
    <row r="197" spans="1:21" x14ac:dyDescent="0.25">
      <c r="A197" s="23">
        <v>28152</v>
      </c>
      <c r="B197" s="23">
        <v>189</v>
      </c>
      <c r="C197" s="36">
        <f>99/(99+54)</f>
        <v>0.6470588235294118</v>
      </c>
      <c r="D197" s="36">
        <f>137/(137+56)</f>
        <v>0.7098445595854922</v>
      </c>
      <c r="E197" s="35">
        <v>0.67713004484304928</v>
      </c>
      <c r="F197" s="35">
        <v>0.69148936170212771</v>
      </c>
      <c r="G197" s="36">
        <f>141/(141+60)</f>
        <v>0.70149253731343286</v>
      </c>
      <c r="H197" s="36">
        <f>148/(148+68)</f>
        <v>0.68518518518518523</v>
      </c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>
        <f t="shared" si="9"/>
        <v>0.68536675202644981</v>
      </c>
      <c r="T197" s="24">
        <f t="shared" si="10"/>
        <v>2.2054768467327887E-2</v>
      </c>
      <c r="U197" s="24">
        <f t="shared" si="11"/>
        <v>6</v>
      </c>
    </row>
    <row r="198" spans="1:21" x14ac:dyDescent="0.25">
      <c r="A198" s="21">
        <v>25181</v>
      </c>
      <c r="B198" s="21">
        <v>315</v>
      </c>
      <c r="C198" s="37">
        <v>0.51658767800000005</v>
      </c>
      <c r="D198" s="37">
        <v>0.48618784599999998</v>
      </c>
      <c r="E198" s="37">
        <v>0.56888888889</v>
      </c>
      <c r="F198" s="37">
        <v>0.5</v>
      </c>
      <c r="G198" s="36">
        <f>128/(128+72)</f>
        <v>0.64</v>
      </c>
      <c r="H198" s="36">
        <f>118/(118+83)</f>
        <v>0.58706467661691542</v>
      </c>
      <c r="I198" s="36">
        <f>100/(197)</f>
        <v>0.50761421319796951</v>
      </c>
      <c r="J198" s="36">
        <f>155/(155+89)</f>
        <v>0.63524590163934425</v>
      </c>
      <c r="K198" s="36">
        <f>84/(84+99)</f>
        <v>0.45901639344262296</v>
      </c>
      <c r="L198" s="36">
        <f>165/(165+104)</f>
        <v>0.61338289962825276</v>
      </c>
      <c r="M198" s="36">
        <f>65/(65+61)</f>
        <v>0.51587301587301593</v>
      </c>
      <c r="N198" s="36">
        <f>140/210</f>
        <v>0.66666666666666663</v>
      </c>
      <c r="O198" s="36">
        <f>104/(104+83)</f>
        <v>0.55614973262032086</v>
      </c>
      <c r="P198" s="25"/>
      <c r="Q198" s="25"/>
      <c r="R198" s="25"/>
      <c r="S198" s="25">
        <f t="shared" si="9"/>
        <v>0.55789830096731596</v>
      </c>
      <c r="T198" s="25">
        <f t="shared" si="10"/>
        <v>6.6382968601500822E-2</v>
      </c>
      <c r="U198" s="26">
        <f t="shared" si="11"/>
        <v>13</v>
      </c>
    </row>
    <row r="199" spans="1:21" x14ac:dyDescent="0.25">
      <c r="A199" s="21">
        <v>25445</v>
      </c>
      <c r="B199" s="21">
        <v>365</v>
      </c>
      <c r="C199" s="36">
        <f>133/(133+53)</f>
        <v>0.71505376344086025</v>
      </c>
      <c r="D199" s="36">
        <f>66/(66+31)</f>
        <v>0.68041237113402064</v>
      </c>
      <c r="E199" s="36">
        <f>74/(74+54)</f>
        <v>0.578125</v>
      </c>
      <c r="F199" s="36">
        <f>129/(129+52)</f>
        <v>0.71270718232044195</v>
      </c>
      <c r="G199" s="36">
        <f>151/(221)</f>
        <v>0.68325791855203621</v>
      </c>
      <c r="H199" s="36">
        <f>87/(87+37)</f>
        <v>0.70161290322580649</v>
      </c>
      <c r="I199" s="36">
        <f>95/(95+43)</f>
        <v>0.68840579710144922</v>
      </c>
      <c r="J199" s="36">
        <f>129/(129+62)</f>
        <v>0.67539267015706805</v>
      </c>
      <c r="K199" s="25"/>
      <c r="L199" s="25"/>
      <c r="M199" s="25"/>
      <c r="N199" s="25"/>
      <c r="O199" s="25"/>
      <c r="P199" s="25"/>
      <c r="Q199" s="25"/>
      <c r="R199" s="25"/>
      <c r="S199" s="25">
        <f t="shared" si="9"/>
        <v>0.67937095074146026</v>
      </c>
      <c r="T199" s="25">
        <f t="shared" si="10"/>
        <v>4.3496572426928608E-2</v>
      </c>
      <c r="U199" s="26">
        <f t="shared" si="11"/>
        <v>8</v>
      </c>
    </row>
    <row r="200" spans="1:21" x14ac:dyDescent="0.25">
      <c r="A200" s="23">
        <v>28185</v>
      </c>
      <c r="B200" s="23">
        <v>374</v>
      </c>
      <c r="C200" s="36">
        <v>0.45918367346938782</v>
      </c>
      <c r="D200" s="36">
        <v>0.52892561983471076</v>
      </c>
      <c r="E200" s="36">
        <v>0.43902439024390238</v>
      </c>
      <c r="F200" s="36">
        <f>1-202/330</f>
        <v>0.38787878787878793</v>
      </c>
      <c r="G200" s="36">
        <f>1-201/318</f>
        <v>0.36792452830188682</v>
      </c>
      <c r="H200" s="36">
        <f>1-199/336</f>
        <v>0.40773809523809523</v>
      </c>
      <c r="I200" s="36">
        <f>1-176/319</f>
        <v>0.44827586206896552</v>
      </c>
      <c r="J200" s="24"/>
      <c r="K200" s="24"/>
      <c r="L200" s="24"/>
      <c r="M200" s="24"/>
      <c r="N200" s="24"/>
      <c r="O200" s="24"/>
      <c r="P200" s="24"/>
      <c r="Q200" s="24"/>
      <c r="R200" s="24"/>
      <c r="S200" s="24">
        <f t="shared" si="9"/>
        <v>0.43413585100510527</v>
      </c>
      <c r="T200" s="24">
        <f t="shared" si="10"/>
        <v>5.3317958304346241E-2</v>
      </c>
      <c r="U200" s="24">
        <f t="shared" si="11"/>
        <v>7</v>
      </c>
    </row>
    <row r="201" spans="1:21" x14ac:dyDescent="0.25">
      <c r="A201" s="21">
        <v>29656</v>
      </c>
      <c r="B201" s="21">
        <v>405</v>
      </c>
      <c r="C201" s="35">
        <v>0.67249999999999999</v>
      </c>
      <c r="D201" s="35">
        <v>0.53913043478260869</v>
      </c>
      <c r="E201" s="35">
        <v>0.65313653136531369</v>
      </c>
      <c r="F201" s="35">
        <v>0.53926701570680624</v>
      </c>
      <c r="G201" s="35">
        <v>0.61176470588235299</v>
      </c>
      <c r="H201" s="35">
        <v>0.67845659163987138</v>
      </c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>
        <f t="shared" si="9"/>
        <v>0.61570921322949212</v>
      </c>
      <c r="T201" s="25">
        <f t="shared" si="10"/>
        <v>6.3696953005547188E-2</v>
      </c>
      <c r="U201" s="26">
        <f t="shared" si="11"/>
        <v>6</v>
      </c>
    </row>
    <row r="202" spans="1:21" x14ac:dyDescent="0.25">
      <c r="A202" s="21">
        <v>25195</v>
      </c>
      <c r="B202" s="21">
        <v>486</v>
      </c>
      <c r="C202" s="36">
        <v>0.51136363636363635</v>
      </c>
      <c r="D202" s="36">
        <v>0.50420168067226889</v>
      </c>
      <c r="E202" s="37">
        <v>0.52727272727272734</v>
      </c>
      <c r="F202" s="37">
        <v>0.53082191780821919</v>
      </c>
      <c r="G202" s="37">
        <v>0.56849315068493156</v>
      </c>
      <c r="H202" s="37">
        <v>0.52898550724637683</v>
      </c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>
        <f t="shared" si="9"/>
        <v>0.5285231033413601</v>
      </c>
      <c r="T202" s="25">
        <f t="shared" si="10"/>
        <v>2.2318805514153054E-2</v>
      </c>
      <c r="U202" s="26">
        <f t="shared" si="11"/>
        <v>6</v>
      </c>
    </row>
    <row r="203" spans="1:21" ht="15.75" x14ac:dyDescent="0.25">
      <c r="A203" s="21">
        <v>55030</v>
      </c>
      <c r="B203" s="21">
        <v>627</v>
      </c>
      <c r="C203" s="38">
        <f>87/135</f>
        <v>0.64444444444444449</v>
      </c>
      <c r="D203" s="38">
        <f>170/242</f>
        <v>0.7024793388429752</v>
      </c>
      <c r="E203" s="38">
        <f>248/349</f>
        <v>0.71060171919770776</v>
      </c>
      <c r="F203" s="38">
        <f>269/392</f>
        <v>0.68622448979591832</v>
      </c>
      <c r="G203" s="38">
        <f>172/296</f>
        <v>0.58108108108108103</v>
      </c>
      <c r="H203" s="36">
        <f>143/(143+96)</f>
        <v>0.59832635983263593</v>
      </c>
      <c r="I203" s="36">
        <f>132/(132+130)</f>
        <v>0.50381679389312972</v>
      </c>
      <c r="J203" s="36">
        <f>118/(118+96)</f>
        <v>0.55140186915887845</v>
      </c>
      <c r="L203" s="26"/>
      <c r="M203" s="26"/>
      <c r="N203" s="26"/>
      <c r="O203" s="26"/>
      <c r="P203" s="26"/>
      <c r="Q203" s="25"/>
      <c r="R203" s="25"/>
      <c r="S203" s="25">
        <f t="shared" si="9"/>
        <v>0.62229701203084631</v>
      </c>
      <c r="T203" s="25">
        <f t="shared" si="10"/>
        <v>7.5726185809148902E-2</v>
      </c>
      <c r="U203" s="26">
        <f t="shared" si="11"/>
        <v>8</v>
      </c>
    </row>
    <row r="204" spans="1:21" x14ac:dyDescent="0.25">
      <c r="A204" s="23">
        <v>28221</v>
      </c>
      <c r="B204" s="23">
        <v>727</v>
      </c>
      <c r="C204" s="36">
        <f>73/(73+49)</f>
        <v>0.59836065573770492</v>
      </c>
      <c r="D204" s="36">
        <f>88/(88+36)</f>
        <v>0.70967741935483875</v>
      </c>
      <c r="E204" s="36">
        <f>53/(53+21)</f>
        <v>0.71621621621621623</v>
      </c>
      <c r="F204" s="36">
        <f>139/(139+68)</f>
        <v>0.67149758454106279</v>
      </c>
      <c r="G204" s="36">
        <f>99/(99+63)</f>
        <v>0.61111111111111116</v>
      </c>
      <c r="H204" s="36">
        <f>81/(81+45)</f>
        <v>0.6428571428571429</v>
      </c>
      <c r="I204" s="36">
        <f>68/(68+39)</f>
        <v>0.63551401869158874</v>
      </c>
      <c r="J204" s="36">
        <f>119/(119+58)</f>
        <v>0.67231638418079098</v>
      </c>
      <c r="K204" s="24"/>
      <c r="L204" s="24"/>
      <c r="M204" s="24"/>
      <c r="N204" s="24"/>
      <c r="O204" s="24"/>
      <c r="P204" s="24"/>
      <c r="Q204" s="24"/>
      <c r="R204" s="24"/>
      <c r="S204" s="24">
        <f t="shared" si="9"/>
        <v>0.65719381658630693</v>
      </c>
      <c r="T204" s="24">
        <f t="shared" si="10"/>
        <v>4.2981677916649953E-2</v>
      </c>
      <c r="U204" s="24">
        <f t="shared" si="11"/>
        <v>8</v>
      </c>
    </row>
    <row r="206" spans="1:21" x14ac:dyDescent="0.25">
      <c r="C206" s="34"/>
      <c r="D206" s="34"/>
      <c r="E206" s="34"/>
      <c r="F206" s="34"/>
      <c r="G206" s="34"/>
      <c r="H206" s="34"/>
      <c r="I206" s="34"/>
      <c r="J206" s="3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2"/>
  <sheetViews>
    <sheetView workbookViewId="0">
      <selection activeCell="A6" sqref="A6"/>
    </sheetView>
  </sheetViews>
  <sheetFormatPr defaultRowHeight="15" x14ac:dyDescent="0.25"/>
  <sheetData>
    <row r="1" spans="1:8" ht="17.25" thickBot="1" x14ac:dyDescent="0.3">
      <c r="A1">
        <v>74</v>
      </c>
      <c r="B1">
        <f t="shared" ref="B1:B64" si="0">COUNTIF(H:H,A1)</f>
        <v>0</v>
      </c>
      <c r="C1">
        <f t="shared" ref="C1:C64" si="1">COUNTIF(G:G,A1)</f>
        <v>0</v>
      </c>
      <c r="G1" s="16">
        <v>28122</v>
      </c>
      <c r="H1" s="19">
        <v>21</v>
      </c>
    </row>
    <row r="2" spans="1:8" ht="17.25" thickBot="1" x14ac:dyDescent="0.3">
      <c r="A2">
        <v>432</v>
      </c>
      <c r="B2" s="14">
        <f t="shared" si="0"/>
        <v>0</v>
      </c>
      <c r="C2" s="14">
        <f t="shared" si="1"/>
        <v>0</v>
      </c>
      <c r="G2" s="16">
        <v>28123</v>
      </c>
      <c r="H2" s="19">
        <v>26</v>
      </c>
    </row>
    <row r="3" spans="1:8" ht="17.25" thickBot="1" x14ac:dyDescent="0.3">
      <c r="A3">
        <v>642</v>
      </c>
      <c r="B3" s="14">
        <f t="shared" si="0"/>
        <v>0</v>
      </c>
      <c r="C3" s="14">
        <f t="shared" si="1"/>
        <v>0</v>
      </c>
      <c r="G3" s="16">
        <v>28124</v>
      </c>
      <c r="H3" s="19">
        <v>28</v>
      </c>
    </row>
    <row r="4" spans="1:8" ht="17.25" thickBot="1" x14ac:dyDescent="0.3">
      <c r="A4">
        <v>715</v>
      </c>
      <c r="B4" s="14">
        <f t="shared" si="0"/>
        <v>0</v>
      </c>
      <c r="C4" s="14">
        <f t="shared" si="1"/>
        <v>0</v>
      </c>
      <c r="G4" s="16">
        <v>55014</v>
      </c>
      <c r="H4" s="19">
        <v>31</v>
      </c>
    </row>
    <row r="5" spans="1:8" ht="17.25" thickBot="1" x14ac:dyDescent="0.3">
      <c r="A5">
        <v>715</v>
      </c>
      <c r="B5" s="14">
        <f t="shared" si="0"/>
        <v>0</v>
      </c>
      <c r="C5" s="14">
        <f t="shared" si="1"/>
        <v>0</v>
      </c>
      <c r="G5" s="16">
        <v>55015</v>
      </c>
      <c r="H5" s="19">
        <v>32</v>
      </c>
    </row>
    <row r="6" spans="1:8" ht="17.25" thickBot="1" x14ac:dyDescent="0.3">
      <c r="A6">
        <v>735</v>
      </c>
      <c r="B6" s="14">
        <f t="shared" si="0"/>
        <v>0</v>
      </c>
      <c r="C6" s="14">
        <f t="shared" si="1"/>
        <v>0</v>
      </c>
      <c r="G6" s="16">
        <v>28125</v>
      </c>
      <c r="H6" s="19">
        <v>38</v>
      </c>
    </row>
    <row r="7" spans="1:8" ht="17.25" thickBot="1" x14ac:dyDescent="0.3">
      <c r="A7">
        <v>854</v>
      </c>
      <c r="B7" s="14">
        <f t="shared" si="0"/>
        <v>0</v>
      </c>
      <c r="C7" s="14">
        <f t="shared" si="1"/>
        <v>0</v>
      </c>
      <c r="G7" s="16">
        <v>29651</v>
      </c>
      <c r="H7" s="19">
        <v>40</v>
      </c>
    </row>
    <row r="8" spans="1:8" ht="17.25" thickBot="1" x14ac:dyDescent="0.3">
      <c r="A8">
        <v>28169</v>
      </c>
      <c r="B8" s="14">
        <f t="shared" si="0"/>
        <v>0</v>
      </c>
      <c r="C8" s="14">
        <f t="shared" si="1"/>
        <v>0</v>
      </c>
      <c r="G8" s="16">
        <v>28126</v>
      </c>
      <c r="H8" s="19">
        <v>41</v>
      </c>
    </row>
    <row r="9" spans="1:8" ht="17.25" thickBot="1" x14ac:dyDescent="0.3">
      <c r="A9">
        <v>28296</v>
      </c>
      <c r="B9" s="14">
        <f t="shared" si="0"/>
        <v>0</v>
      </c>
      <c r="C9" s="14">
        <f t="shared" si="1"/>
        <v>0</v>
      </c>
      <c r="G9" s="16">
        <v>28127</v>
      </c>
      <c r="H9" s="19">
        <v>42</v>
      </c>
    </row>
    <row r="10" spans="1:8" ht="17.25" thickBot="1" x14ac:dyDescent="0.3">
      <c r="A10" t="s">
        <v>88</v>
      </c>
      <c r="B10" s="14">
        <f t="shared" si="0"/>
        <v>0</v>
      </c>
      <c r="C10" s="14">
        <f t="shared" si="1"/>
        <v>0</v>
      </c>
      <c r="G10" s="16">
        <v>28128</v>
      </c>
      <c r="H10" s="19">
        <v>45</v>
      </c>
    </row>
    <row r="11" spans="1:8" ht="17.25" thickBot="1" x14ac:dyDescent="0.3">
      <c r="A11">
        <v>21</v>
      </c>
      <c r="B11" s="14">
        <f t="shared" si="0"/>
        <v>1</v>
      </c>
      <c r="C11" s="14">
        <f t="shared" si="1"/>
        <v>0</v>
      </c>
      <c r="G11" s="16">
        <v>55016</v>
      </c>
      <c r="H11" s="19">
        <v>48</v>
      </c>
    </row>
    <row r="12" spans="1:8" ht="17.25" thickBot="1" x14ac:dyDescent="0.3">
      <c r="A12">
        <v>21</v>
      </c>
      <c r="B12" s="14">
        <f t="shared" si="0"/>
        <v>1</v>
      </c>
      <c r="C12" s="14">
        <f t="shared" si="1"/>
        <v>0</v>
      </c>
      <c r="G12" s="16">
        <v>29652</v>
      </c>
      <c r="H12" s="19">
        <v>57</v>
      </c>
    </row>
    <row r="13" spans="1:8" ht="17.25" thickBot="1" x14ac:dyDescent="0.3">
      <c r="A13">
        <v>28</v>
      </c>
      <c r="B13" s="14">
        <f t="shared" si="0"/>
        <v>1</v>
      </c>
      <c r="C13" s="14">
        <f t="shared" si="1"/>
        <v>0</v>
      </c>
      <c r="G13" s="16">
        <v>28129</v>
      </c>
      <c r="H13" s="19">
        <v>59</v>
      </c>
    </row>
    <row r="14" spans="1:8" ht="17.25" thickBot="1" x14ac:dyDescent="0.3">
      <c r="A14">
        <v>40</v>
      </c>
      <c r="B14" s="14">
        <f t="shared" si="0"/>
        <v>1</v>
      </c>
      <c r="C14" s="14">
        <f t="shared" si="1"/>
        <v>0</v>
      </c>
      <c r="G14" s="16">
        <v>28130</v>
      </c>
      <c r="H14" s="19">
        <v>69</v>
      </c>
    </row>
    <row r="15" spans="1:8" ht="17.25" thickBot="1" x14ac:dyDescent="0.3">
      <c r="A15">
        <v>40</v>
      </c>
      <c r="B15" s="14">
        <f t="shared" si="0"/>
        <v>1</v>
      </c>
      <c r="C15" s="14">
        <f t="shared" si="1"/>
        <v>0</v>
      </c>
      <c r="G15" s="16">
        <v>28131</v>
      </c>
      <c r="H15" s="19">
        <v>73</v>
      </c>
    </row>
    <row r="16" spans="1:8" ht="17.25" thickBot="1" x14ac:dyDescent="0.3">
      <c r="A16">
        <v>45</v>
      </c>
      <c r="B16" s="14">
        <f t="shared" si="0"/>
        <v>1</v>
      </c>
      <c r="C16" s="14">
        <f t="shared" si="1"/>
        <v>0</v>
      </c>
      <c r="G16" s="16">
        <v>28132</v>
      </c>
      <c r="H16" s="19">
        <v>75</v>
      </c>
    </row>
    <row r="17" spans="1:8" ht="17.25" thickBot="1" x14ac:dyDescent="0.3">
      <c r="A17">
        <v>45</v>
      </c>
      <c r="B17" s="14">
        <f t="shared" si="0"/>
        <v>1</v>
      </c>
      <c r="C17" s="14">
        <f t="shared" si="1"/>
        <v>0</v>
      </c>
      <c r="G17" s="16">
        <v>28134</v>
      </c>
      <c r="H17" s="19">
        <v>83</v>
      </c>
    </row>
    <row r="18" spans="1:8" ht="17.25" thickBot="1" x14ac:dyDescent="0.3">
      <c r="A18">
        <v>59</v>
      </c>
      <c r="B18" s="14">
        <f t="shared" si="0"/>
        <v>1</v>
      </c>
      <c r="C18" s="14">
        <f t="shared" si="1"/>
        <v>0</v>
      </c>
      <c r="G18" s="16">
        <v>28274</v>
      </c>
      <c r="H18" s="19">
        <v>85</v>
      </c>
    </row>
    <row r="19" spans="1:8" ht="17.25" thickBot="1" x14ac:dyDescent="0.3">
      <c r="A19">
        <v>73</v>
      </c>
      <c r="B19" s="14">
        <f t="shared" si="0"/>
        <v>1</v>
      </c>
      <c r="C19" s="14">
        <f t="shared" si="1"/>
        <v>0</v>
      </c>
      <c r="G19" s="16">
        <v>28135</v>
      </c>
      <c r="H19" s="19">
        <v>88</v>
      </c>
    </row>
    <row r="20" spans="1:8" ht="17.25" thickBot="1" x14ac:dyDescent="0.3">
      <c r="A20">
        <v>75</v>
      </c>
      <c r="B20" s="14">
        <f t="shared" si="0"/>
        <v>1</v>
      </c>
      <c r="C20" s="14">
        <f t="shared" si="1"/>
        <v>0</v>
      </c>
      <c r="G20" s="16">
        <v>28136</v>
      </c>
      <c r="H20" s="19">
        <v>91</v>
      </c>
    </row>
    <row r="21" spans="1:8" ht="17.25" thickBot="1" x14ac:dyDescent="0.3">
      <c r="A21">
        <v>75</v>
      </c>
      <c r="B21" s="14">
        <f t="shared" si="0"/>
        <v>1</v>
      </c>
      <c r="C21" s="14">
        <f t="shared" si="1"/>
        <v>0</v>
      </c>
      <c r="G21" s="16">
        <v>28137</v>
      </c>
      <c r="H21" s="19">
        <v>93</v>
      </c>
    </row>
    <row r="22" spans="1:8" ht="17.25" thickBot="1" x14ac:dyDescent="0.3">
      <c r="A22">
        <v>83</v>
      </c>
      <c r="B22" s="14">
        <f t="shared" si="0"/>
        <v>1</v>
      </c>
      <c r="C22" s="14">
        <f t="shared" si="1"/>
        <v>0</v>
      </c>
      <c r="G22" s="16">
        <v>55017</v>
      </c>
      <c r="H22" s="19">
        <v>100</v>
      </c>
    </row>
    <row r="23" spans="1:8" ht="17.25" thickBot="1" x14ac:dyDescent="0.3">
      <c r="A23">
        <v>91</v>
      </c>
      <c r="B23" s="14">
        <f t="shared" si="0"/>
        <v>1</v>
      </c>
      <c r="C23" s="14">
        <f t="shared" si="1"/>
        <v>0</v>
      </c>
      <c r="G23" s="16">
        <v>28138</v>
      </c>
      <c r="H23" s="19">
        <v>101</v>
      </c>
    </row>
    <row r="24" spans="1:8" ht="17.25" thickBot="1" x14ac:dyDescent="0.3">
      <c r="A24">
        <v>93</v>
      </c>
      <c r="B24" s="14">
        <f t="shared" si="0"/>
        <v>1</v>
      </c>
      <c r="C24" s="14">
        <f t="shared" si="1"/>
        <v>0</v>
      </c>
      <c r="G24" s="16">
        <v>28139</v>
      </c>
      <c r="H24" s="19">
        <v>105</v>
      </c>
    </row>
    <row r="25" spans="1:8" ht="17.25" thickBot="1" x14ac:dyDescent="0.3">
      <c r="A25">
        <v>101</v>
      </c>
      <c r="B25" s="14">
        <f t="shared" si="0"/>
        <v>1</v>
      </c>
      <c r="C25" s="14">
        <f t="shared" si="1"/>
        <v>0</v>
      </c>
      <c r="G25" s="16">
        <v>28140</v>
      </c>
      <c r="H25" s="19">
        <v>109</v>
      </c>
    </row>
    <row r="26" spans="1:8" ht="17.25" thickBot="1" x14ac:dyDescent="0.3">
      <c r="A26">
        <v>105</v>
      </c>
      <c r="B26" s="14">
        <f t="shared" si="0"/>
        <v>1</v>
      </c>
      <c r="C26" s="14">
        <f t="shared" si="1"/>
        <v>0</v>
      </c>
      <c r="G26" s="16">
        <v>28141</v>
      </c>
      <c r="H26" s="19">
        <v>129</v>
      </c>
    </row>
    <row r="27" spans="1:8" ht="17.25" thickBot="1" x14ac:dyDescent="0.3">
      <c r="A27">
        <v>109</v>
      </c>
      <c r="B27" s="14">
        <f t="shared" si="0"/>
        <v>1</v>
      </c>
      <c r="C27" s="14">
        <f t="shared" si="1"/>
        <v>0</v>
      </c>
      <c r="G27" s="16">
        <v>28142</v>
      </c>
      <c r="H27" s="19">
        <v>136</v>
      </c>
    </row>
    <row r="28" spans="1:8" ht="17.25" thickBot="1" x14ac:dyDescent="0.3">
      <c r="A28">
        <v>136</v>
      </c>
      <c r="B28" s="14">
        <f t="shared" si="0"/>
        <v>1</v>
      </c>
      <c r="C28" s="14">
        <f t="shared" si="1"/>
        <v>0</v>
      </c>
      <c r="G28" s="16">
        <v>28143</v>
      </c>
      <c r="H28" s="19">
        <v>138</v>
      </c>
    </row>
    <row r="29" spans="1:8" ht="17.25" thickBot="1" x14ac:dyDescent="0.3">
      <c r="A29">
        <v>138</v>
      </c>
      <c r="B29" s="14">
        <f t="shared" si="0"/>
        <v>1</v>
      </c>
      <c r="C29" s="14">
        <f t="shared" si="1"/>
        <v>0</v>
      </c>
      <c r="G29" s="16">
        <v>28144</v>
      </c>
      <c r="H29" s="19">
        <v>142</v>
      </c>
    </row>
    <row r="30" spans="1:8" ht="17.25" thickBot="1" x14ac:dyDescent="0.3">
      <c r="A30">
        <v>149</v>
      </c>
      <c r="B30" s="14">
        <f t="shared" si="0"/>
        <v>1</v>
      </c>
      <c r="C30" s="14">
        <f t="shared" si="1"/>
        <v>0</v>
      </c>
      <c r="G30" s="16">
        <v>28145</v>
      </c>
      <c r="H30" s="19">
        <v>149</v>
      </c>
    </row>
    <row r="31" spans="1:8" ht="17.25" thickBot="1" x14ac:dyDescent="0.3">
      <c r="A31">
        <v>158</v>
      </c>
      <c r="B31" s="14">
        <f t="shared" si="0"/>
        <v>1</v>
      </c>
      <c r="C31" s="14">
        <f t="shared" si="1"/>
        <v>0</v>
      </c>
      <c r="G31" s="16">
        <v>28146</v>
      </c>
      <c r="H31" s="19">
        <v>153</v>
      </c>
    </row>
    <row r="32" spans="1:8" ht="17.25" thickBot="1" x14ac:dyDescent="0.3">
      <c r="A32">
        <v>177</v>
      </c>
      <c r="B32" s="14">
        <f t="shared" si="0"/>
        <v>1</v>
      </c>
      <c r="C32" s="14">
        <f t="shared" si="1"/>
        <v>0</v>
      </c>
      <c r="G32" s="16">
        <v>28147</v>
      </c>
      <c r="H32" s="19">
        <v>158</v>
      </c>
    </row>
    <row r="33" spans="1:8" ht="17.25" thickBot="1" x14ac:dyDescent="0.3">
      <c r="A33">
        <v>189</v>
      </c>
      <c r="B33" s="14">
        <f t="shared" si="0"/>
        <v>1</v>
      </c>
      <c r="C33" s="14">
        <f t="shared" si="1"/>
        <v>0</v>
      </c>
      <c r="G33" s="16">
        <v>28148</v>
      </c>
      <c r="H33" s="19">
        <v>161</v>
      </c>
    </row>
    <row r="34" spans="1:8" ht="17.25" thickBot="1" x14ac:dyDescent="0.3">
      <c r="A34">
        <v>189</v>
      </c>
      <c r="B34" s="14">
        <f t="shared" si="0"/>
        <v>1</v>
      </c>
      <c r="C34" s="14">
        <f t="shared" si="1"/>
        <v>0</v>
      </c>
      <c r="G34" s="16">
        <v>28149</v>
      </c>
      <c r="H34" s="19">
        <v>176</v>
      </c>
    </row>
    <row r="35" spans="1:8" ht="17.25" thickBot="1" x14ac:dyDescent="0.3">
      <c r="A35">
        <v>189</v>
      </c>
      <c r="B35" s="14">
        <f t="shared" si="0"/>
        <v>1</v>
      </c>
      <c r="C35" s="14">
        <f t="shared" si="1"/>
        <v>0</v>
      </c>
      <c r="G35" s="16">
        <v>28150</v>
      </c>
      <c r="H35" s="19">
        <v>177</v>
      </c>
    </row>
    <row r="36" spans="1:8" ht="17.25" thickBot="1" x14ac:dyDescent="0.3">
      <c r="A36">
        <v>189</v>
      </c>
      <c r="B36" s="14">
        <f t="shared" si="0"/>
        <v>1</v>
      </c>
      <c r="C36" s="14">
        <f t="shared" si="1"/>
        <v>0</v>
      </c>
      <c r="G36" s="16">
        <v>28151</v>
      </c>
      <c r="H36" s="19">
        <v>181</v>
      </c>
    </row>
    <row r="37" spans="1:8" ht="17.25" thickBot="1" x14ac:dyDescent="0.3">
      <c r="A37">
        <v>208</v>
      </c>
      <c r="B37" s="14">
        <f t="shared" si="0"/>
        <v>1</v>
      </c>
      <c r="C37" s="14">
        <f t="shared" si="1"/>
        <v>0</v>
      </c>
      <c r="G37" s="16">
        <v>28152</v>
      </c>
      <c r="H37" s="19">
        <v>189</v>
      </c>
    </row>
    <row r="38" spans="1:8" ht="17.25" thickBot="1" x14ac:dyDescent="0.3">
      <c r="A38">
        <v>223</v>
      </c>
      <c r="B38" s="14">
        <f t="shared" si="0"/>
        <v>1</v>
      </c>
      <c r="C38" s="14">
        <f t="shared" si="1"/>
        <v>0</v>
      </c>
      <c r="G38" s="16">
        <v>28153</v>
      </c>
      <c r="H38" s="19">
        <v>195</v>
      </c>
    </row>
    <row r="39" spans="1:8" ht="17.25" thickBot="1" x14ac:dyDescent="0.3">
      <c r="A39">
        <v>229</v>
      </c>
      <c r="B39" s="14">
        <f t="shared" si="0"/>
        <v>1</v>
      </c>
      <c r="C39" s="14">
        <f t="shared" si="1"/>
        <v>0</v>
      </c>
      <c r="G39" s="16">
        <v>25174</v>
      </c>
      <c r="H39" s="19">
        <v>208</v>
      </c>
    </row>
    <row r="40" spans="1:8" ht="17.25" thickBot="1" x14ac:dyDescent="0.3">
      <c r="A40">
        <v>229</v>
      </c>
      <c r="B40" s="14">
        <f t="shared" si="0"/>
        <v>1</v>
      </c>
      <c r="C40" s="14">
        <f t="shared" si="1"/>
        <v>0</v>
      </c>
      <c r="G40" s="16">
        <v>28154</v>
      </c>
      <c r="H40" s="19">
        <v>217</v>
      </c>
    </row>
    <row r="41" spans="1:8" ht="17.25" thickBot="1" x14ac:dyDescent="0.3">
      <c r="A41">
        <v>233</v>
      </c>
      <c r="B41" s="14">
        <f t="shared" si="0"/>
        <v>1</v>
      </c>
      <c r="C41" s="14">
        <f t="shared" si="1"/>
        <v>0</v>
      </c>
      <c r="G41" s="16">
        <v>28155</v>
      </c>
      <c r="H41" s="19">
        <v>223</v>
      </c>
    </row>
    <row r="42" spans="1:8" ht="17.25" thickBot="1" x14ac:dyDescent="0.3">
      <c r="A42">
        <v>235</v>
      </c>
      <c r="B42" s="14">
        <f t="shared" si="0"/>
        <v>1</v>
      </c>
      <c r="C42" s="14">
        <f t="shared" si="1"/>
        <v>0</v>
      </c>
      <c r="G42" s="16">
        <v>28156</v>
      </c>
      <c r="H42" s="19">
        <v>227</v>
      </c>
    </row>
    <row r="43" spans="1:8" ht="17.25" thickBot="1" x14ac:dyDescent="0.3">
      <c r="A43">
        <v>239</v>
      </c>
      <c r="B43" s="14">
        <f t="shared" si="0"/>
        <v>1</v>
      </c>
      <c r="C43" s="14">
        <f t="shared" si="1"/>
        <v>0</v>
      </c>
      <c r="G43" s="16">
        <v>28157</v>
      </c>
      <c r="H43" s="19">
        <v>228</v>
      </c>
    </row>
    <row r="44" spans="1:8" ht="17.25" thickBot="1" x14ac:dyDescent="0.3">
      <c r="A44">
        <v>239</v>
      </c>
      <c r="B44" s="14">
        <f t="shared" si="0"/>
        <v>1</v>
      </c>
      <c r="C44" s="14">
        <f t="shared" si="1"/>
        <v>0</v>
      </c>
      <c r="G44" s="16">
        <v>29653</v>
      </c>
      <c r="H44" s="19">
        <v>229</v>
      </c>
    </row>
    <row r="45" spans="1:8" ht="17.25" thickBot="1" x14ac:dyDescent="0.3">
      <c r="A45">
        <v>301</v>
      </c>
      <c r="B45" s="14">
        <f t="shared" si="0"/>
        <v>1</v>
      </c>
      <c r="C45" s="14">
        <f t="shared" si="1"/>
        <v>0</v>
      </c>
      <c r="G45" s="16">
        <v>28159</v>
      </c>
      <c r="H45" s="19">
        <v>233</v>
      </c>
    </row>
    <row r="46" spans="1:8" ht="17.25" thickBot="1" x14ac:dyDescent="0.3">
      <c r="A46">
        <v>304</v>
      </c>
      <c r="B46" s="14">
        <f t="shared" si="0"/>
        <v>1</v>
      </c>
      <c r="C46" s="14">
        <f t="shared" si="1"/>
        <v>0</v>
      </c>
      <c r="G46" s="16">
        <v>28275</v>
      </c>
      <c r="H46" s="19">
        <v>235</v>
      </c>
    </row>
    <row r="47" spans="1:8" ht="17.25" thickBot="1" x14ac:dyDescent="0.3">
      <c r="A47">
        <v>304</v>
      </c>
      <c r="B47" s="14">
        <f t="shared" si="0"/>
        <v>1</v>
      </c>
      <c r="C47" s="14">
        <f t="shared" si="1"/>
        <v>0</v>
      </c>
      <c r="G47" s="16">
        <v>28160</v>
      </c>
      <c r="H47" s="19">
        <v>237</v>
      </c>
    </row>
    <row r="48" spans="1:8" ht="17.25" thickBot="1" x14ac:dyDescent="0.3">
      <c r="A48">
        <v>304</v>
      </c>
      <c r="B48" s="14">
        <f t="shared" si="0"/>
        <v>1</v>
      </c>
      <c r="C48" s="14">
        <f t="shared" si="1"/>
        <v>0</v>
      </c>
      <c r="G48" s="16">
        <v>28161</v>
      </c>
      <c r="H48" s="19">
        <v>239</v>
      </c>
    </row>
    <row r="49" spans="1:8" ht="17.25" thickBot="1" x14ac:dyDescent="0.3">
      <c r="A49">
        <v>310</v>
      </c>
      <c r="B49" s="14">
        <f t="shared" si="0"/>
        <v>1</v>
      </c>
      <c r="C49" s="14">
        <f t="shared" si="1"/>
        <v>0</v>
      </c>
      <c r="G49" s="16">
        <v>28162</v>
      </c>
      <c r="H49" s="19">
        <v>256</v>
      </c>
    </row>
    <row r="50" spans="1:8" ht="17.25" thickBot="1" x14ac:dyDescent="0.3">
      <c r="A50">
        <v>313</v>
      </c>
      <c r="B50" s="14">
        <f t="shared" si="0"/>
        <v>1</v>
      </c>
      <c r="C50" s="14">
        <f t="shared" si="1"/>
        <v>0</v>
      </c>
      <c r="G50" s="16">
        <v>28164</v>
      </c>
      <c r="H50" s="19">
        <v>280</v>
      </c>
    </row>
    <row r="51" spans="1:8" ht="17.25" thickBot="1" x14ac:dyDescent="0.3">
      <c r="A51">
        <v>315</v>
      </c>
      <c r="B51" s="14">
        <f t="shared" si="0"/>
        <v>1</v>
      </c>
      <c r="C51" s="14">
        <f t="shared" si="1"/>
        <v>0</v>
      </c>
      <c r="G51" s="16">
        <v>28165</v>
      </c>
      <c r="H51" s="19">
        <v>287</v>
      </c>
    </row>
    <row r="52" spans="1:8" ht="17.25" thickBot="1" x14ac:dyDescent="0.3">
      <c r="A52">
        <v>317</v>
      </c>
      <c r="B52" s="14">
        <f t="shared" si="0"/>
        <v>1</v>
      </c>
      <c r="C52" s="14">
        <f t="shared" si="1"/>
        <v>0</v>
      </c>
      <c r="G52" s="16">
        <v>25175</v>
      </c>
      <c r="H52" s="19">
        <v>301</v>
      </c>
    </row>
    <row r="53" spans="1:8" ht="17.25" thickBot="1" x14ac:dyDescent="0.3">
      <c r="A53">
        <v>324</v>
      </c>
      <c r="B53" s="14">
        <f t="shared" si="0"/>
        <v>1</v>
      </c>
      <c r="C53" s="14">
        <f t="shared" si="1"/>
        <v>0</v>
      </c>
      <c r="G53" s="16">
        <v>25176</v>
      </c>
      <c r="H53" s="19">
        <v>303</v>
      </c>
    </row>
    <row r="54" spans="1:8" ht="17.25" thickBot="1" x14ac:dyDescent="0.3">
      <c r="A54">
        <v>332</v>
      </c>
      <c r="B54" s="14">
        <f t="shared" si="0"/>
        <v>1</v>
      </c>
      <c r="C54" s="14">
        <f t="shared" si="1"/>
        <v>0</v>
      </c>
      <c r="G54" s="16">
        <v>25177</v>
      </c>
      <c r="H54" s="19">
        <v>304</v>
      </c>
    </row>
    <row r="55" spans="1:8" ht="17.25" thickBot="1" x14ac:dyDescent="0.3">
      <c r="A55">
        <v>336</v>
      </c>
      <c r="B55" s="14">
        <f t="shared" si="0"/>
        <v>1</v>
      </c>
      <c r="C55" s="14">
        <f t="shared" si="1"/>
        <v>0</v>
      </c>
      <c r="G55" s="16">
        <v>37525</v>
      </c>
      <c r="H55" s="19">
        <v>306</v>
      </c>
    </row>
    <row r="56" spans="1:8" ht="17.25" thickBot="1" x14ac:dyDescent="0.3">
      <c r="A56">
        <v>348</v>
      </c>
      <c r="B56" s="14">
        <f t="shared" si="0"/>
        <v>1</v>
      </c>
      <c r="C56" s="14">
        <f t="shared" si="1"/>
        <v>0</v>
      </c>
      <c r="G56" s="16">
        <v>25179</v>
      </c>
      <c r="H56" s="19">
        <v>307</v>
      </c>
    </row>
    <row r="57" spans="1:8" ht="17.25" thickBot="1" x14ac:dyDescent="0.3">
      <c r="A57">
        <v>352</v>
      </c>
      <c r="B57" s="14">
        <f t="shared" si="0"/>
        <v>1</v>
      </c>
      <c r="C57" s="14">
        <f t="shared" si="1"/>
        <v>0</v>
      </c>
      <c r="G57" s="16">
        <v>28166</v>
      </c>
      <c r="H57" s="19">
        <v>309</v>
      </c>
    </row>
    <row r="58" spans="1:8" ht="17.25" thickBot="1" x14ac:dyDescent="0.3">
      <c r="A58">
        <v>356</v>
      </c>
      <c r="B58" s="14">
        <f t="shared" si="0"/>
        <v>1</v>
      </c>
      <c r="C58" s="14">
        <f t="shared" si="1"/>
        <v>0</v>
      </c>
      <c r="G58" s="16">
        <v>28276</v>
      </c>
      <c r="H58" s="19">
        <v>310</v>
      </c>
    </row>
    <row r="59" spans="1:8" ht="17.25" thickBot="1" x14ac:dyDescent="0.3">
      <c r="A59">
        <v>357</v>
      </c>
      <c r="B59" s="14">
        <f t="shared" si="0"/>
        <v>1</v>
      </c>
      <c r="C59" s="14">
        <f t="shared" si="1"/>
        <v>0</v>
      </c>
      <c r="G59" s="16">
        <v>25180</v>
      </c>
      <c r="H59" s="19">
        <v>313</v>
      </c>
    </row>
    <row r="60" spans="1:8" ht="17.25" thickBot="1" x14ac:dyDescent="0.3">
      <c r="A60">
        <v>357</v>
      </c>
      <c r="B60" s="14">
        <f t="shared" si="0"/>
        <v>1</v>
      </c>
      <c r="C60" s="14">
        <f t="shared" si="1"/>
        <v>0</v>
      </c>
      <c r="G60" s="16">
        <v>25181</v>
      </c>
      <c r="H60" s="19">
        <v>315</v>
      </c>
    </row>
    <row r="61" spans="1:8" ht="17.25" thickBot="1" x14ac:dyDescent="0.3">
      <c r="A61">
        <v>359</v>
      </c>
      <c r="B61" s="14">
        <f t="shared" si="0"/>
        <v>1</v>
      </c>
      <c r="C61" s="14">
        <f t="shared" si="1"/>
        <v>0</v>
      </c>
      <c r="G61" s="16">
        <v>28167</v>
      </c>
      <c r="H61" s="19">
        <v>317</v>
      </c>
    </row>
    <row r="62" spans="1:8" ht="17.25" thickBot="1" x14ac:dyDescent="0.3">
      <c r="A62">
        <v>359</v>
      </c>
      <c r="B62" s="14">
        <f t="shared" si="0"/>
        <v>1</v>
      </c>
      <c r="C62" s="14">
        <f t="shared" si="1"/>
        <v>0</v>
      </c>
      <c r="G62" s="16">
        <v>28168</v>
      </c>
      <c r="H62" s="19">
        <v>318</v>
      </c>
    </row>
    <row r="63" spans="1:8" ht="17.25" thickBot="1" x14ac:dyDescent="0.3">
      <c r="A63">
        <v>360</v>
      </c>
      <c r="B63" s="14">
        <f t="shared" si="0"/>
        <v>1</v>
      </c>
      <c r="C63" s="14">
        <f t="shared" si="1"/>
        <v>0</v>
      </c>
      <c r="G63" s="16">
        <v>55018</v>
      </c>
      <c r="H63" s="19">
        <v>319</v>
      </c>
    </row>
    <row r="64" spans="1:8" ht="17.25" thickBot="1" x14ac:dyDescent="0.3">
      <c r="A64">
        <v>365</v>
      </c>
      <c r="B64" s="14">
        <f t="shared" si="0"/>
        <v>1</v>
      </c>
      <c r="C64" s="14">
        <f t="shared" si="1"/>
        <v>0</v>
      </c>
      <c r="G64" s="16">
        <v>29654</v>
      </c>
      <c r="H64" s="19">
        <v>320</v>
      </c>
    </row>
    <row r="65" spans="1:8" ht="17.25" thickBot="1" x14ac:dyDescent="0.3">
      <c r="A65">
        <v>365</v>
      </c>
      <c r="B65" s="14">
        <f t="shared" ref="B65:B128" si="2">COUNTIF(H:H,A65)</f>
        <v>1</v>
      </c>
      <c r="C65" s="14">
        <f t="shared" ref="C65:C128" si="3">COUNTIF(G:G,A65)</f>
        <v>0</v>
      </c>
      <c r="G65" s="16">
        <v>29655</v>
      </c>
      <c r="H65" s="19">
        <v>321</v>
      </c>
    </row>
    <row r="66" spans="1:8" ht="17.25" thickBot="1" x14ac:dyDescent="0.3">
      <c r="A66">
        <v>374</v>
      </c>
      <c r="B66" s="14">
        <f t="shared" si="2"/>
        <v>1</v>
      </c>
      <c r="C66" s="14">
        <f t="shared" si="3"/>
        <v>0</v>
      </c>
      <c r="G66" s="16">
        <v>25182</v>
      </c>
      <c r="H66" s="19">
        <v>324</v>
      </c>
    </row>
    <row r="67" spans="1:8" ht="17.25" thickBot="1" x14ac:dyDescent="0.3">
      <c r="A67">
        <v>374</v>
      </c>
      <c r="B67" s="14">
        <f t="shared" si="2"/>
        <v>1</v>
      </c>
      <c r="C67" s="14">
        <f t="shared" si="3"/>
        <v>0</v>
      </c>
      <c r="G67" s="16">
        <v>28171</v>
      </c>
      <c r="H67" s="19">
        <v>332</v>
      </c>
    </row>
    <row r="68" spans="1:8" ht="17.25" thickBot="1" x14ac:dyDescent="0.3">
      <c r="A68">
        <v>380</v>
      </c>
      <c r="B68" s="14">
        <f t="shared" si="2"/>
        <v>1</v>
      </c>
      <c r="C68" s="14">
        <f t="shared" si="3"/>
        <v>0</v>
      </c>
      <c r="G68" s="16">
        <v>25183</v>
      </c>
      <c r="H68" s="19">
        <v>335</v>
      </c>
    </row>
    <row r="69" spans="1:8" ht="17.25" thickBot="1" x14ac:dyDescent="0.3">
      <c r="A69">
        <v>383</v>
      </c>
      <c r="B69" s="14">
        <f t="shared" si="2"/>
        <v>1</v>
      </c>
      <c r="C69" s="14">
        <f t="shared" si="3"/>
        <v>0</v>
      </c>
      <c r="G69" s="16">
        <v>28172</v>
      </c>
      <c r="H69" s="19">
        <v>336</v>
      </c>
    </row>
    <row r="70" spans="1:8" ht="17.25" thickBot="1" x14ac:dyDescent="0.3">
      <c r="A70">
        <v>383</v>
      </c>
      <c r="B70" s="14">
        <f t="shared" si="2"/>
        <v>1</v>
      </c>
      <c r="C70" s="14">
        <f t="shared" si="3"/>
        <v>0</v>
      </c>
      <c r="G70" s="16">
        <v>28173</v>
      </c>
      <c r="H70" s="19">
        <v>338</v>
      </c>
    </row>
    <row r="71" spans="1:8" ht="17.25" thickBot="1" x14ac:dyDescent="0.3">
      <c r="A71">
        <v>383</v>
      </c>
      <c r="B71" s="14">
        <f t="shared" si="2"/>
        <v>1</v>
      </c>
      <c r="C71" s="14">
        <f t="shared" si="3"/>
        <v>0</v>
      </c>
      <c r="G71" s="16">
        <v>28174</v>
      </c>
      <c r="H71" s="19">
        <v>340</v>
      </c>
    </row>
    <row r="72" spans="1:8" ht="17.25" thickBot="1" x14ac:dyDescent="0.3">
      <c r="A72">
        <v>385</v>
      </c>
      <c r="B72" s="14">
        <f t="shared" si="2"/>
        <v>1</v>
      </c>
      <c r="C72" s="14">
        <f t="shared" si="3"/>
        <v>0</v>
      </c>
      <c r="G72" s="16">
        <v>55019</v>
      </c>
      <c r="H72" s="19">
        <v>348</v>
      </c>
    </row>
    <row r="73" spans="1:8" ht="17.25" thickBot="1" x14ac:dyDescent="0.3">
      <c r="A73">
        <v>391</v>
      </c>
      <c r="B73" s="14">
        <f t="shared" si="2"/>
        <v>1</v>
      </c>
      <c r="C73" s="14">
        <f t="shared" si="3"/>
        <v>0</v>
      </c>
      <c r="G73" s="16">
        <v>28176</v>
      </c>
      <c r="H73" s="19">
        <v>350</v>
      </c>
    </row>
    <row r="74" spans="1:8" ht="17.25" thickBot="1" x14ac:dyDescent="0.3">
      <c r="A74">
        <v>392</v>
      </c>
      <c r="B74" s="14">
        <f t="shared" si="2"/>
        <v>1</v>
      </c>
      <c r="C74" s="14">
        <f t="shared" si="3"/>
        <v>0</v>
      </c>
      <c r="G74" s="16">
        <v>28177</v>
      </c>
      <c r="H74" s="19">
        <v>352</v>
      </c>
    </row>
    <row r="75" spans="1:8" ht="17.25" thickBot="1" x14ac:dyDescent="0.3">
      <c r="A75">
        <v>399</v>
      </c>
      <c r="B75" s="14">
        <f t="shared" si="2"/>
        <v>1</v>
      </c>
      <c r="C75" s="14">
        <f t="shared" si="3"/>
        <v>0</v>
      </c>
      <c r="G75" s="16">
        <v>55020</v>
      </c>
      <c r="H75" s="19">
        <v>354</v>
      </c>
    </row>
    <row r="76" spans="1:8" ht="17.25" thickBot="1" x14ac:dyDescent="0.3">
      <c r="A76">
        <v>406</v>
      </c>
      <c r="B76" s="14">
        <f t="shared" si="2"/>
        <v>1</v>
      </c>
      <c r="C76" s="14">
        <f t="shared" si="3"/>
        <v>0</v>
      </c>
      <c r="G76" s="16">
        <v>55038</v>
      </c>
      <c r="H76" s="19">
        <v>355</v>
      </c>
    </row>
    <row r="77" spans="1:8" ht="17.25" thickBot="1" x14ac:dyDescent="0.3">
      <c r="A77">
        <v>409</v>
      </c>
      <c r="B77" s="14">
        <f t="shared" si="2"/>
        <v>1</v>
      </c>
      <c r="C77" s="14">
        <f t="shared" si="3"/>
        <v>0</v>
      </c>
      <c r="G77" s="16">
        <v>28178</v>
      </c>
      <c r="H77" s="19">
        <v>356</v>
      </c>
    </row>
    <row r="78" spans="1:8" ht="17.25" thickBot="1" x14ac:dyDescent="0.3">
      <c r="A78">
        <v>426</v>
      </c>
      <c r="B78" s="14">
        <f t="shared" si="2"/>
        <v>1</v>
      </c>
      <c r="C78" s="14">
        <f t="shared" si="3"/>
        <v>0</v>
      </c>
      <c r="G78" s="16">
        <v>25184</v>
      </c>
      <c r="H78" s="19">
        <v>357</v>
      </c>
    </row>
    <row r="79" spans="1:8" ht="17.25" thickBot="1" x14ac:dyDescent="0.3">
      <c r="A79">
        <v>437</v>
      </c>
      <c r="B79" s="14">
        <f t="shared" si="2"/>
        <v>1</v>
      </c>
      <c r="C79" s="14">
        <f t="shared" si="3"/>
        <v>0</v>
      </c>
      <c r="G79" s="16">
        <v>25185</v>
      </c>
      <c r="H79" s="19">
        <v>358</v>
      </c>
    </row>
    <row r="80" spans="1:8" ht="17.25" thickBot="1" x14ac:dyDescent="0.3">
      <c r="A80">
        <v>441</v>
      </c>
      <c r="B80" s="14">
        <f t="shared" si="2"/>
        <v>1</v>
      </c>
      <c r="C80" s="14">
        <f t="shared" si="3"/>
        <v>0</v>
      </c>
      <c r="G80" s="16">
        <v>28179</v>
      </c>
      <c r="H80" s="19">
        <v>359</v>
      </c>
    </row>
    <row r="81" spans="1:8" ht="17.25" thickBot="1" x14ac:dyDescent="0.3">
      <c r="A81">
        <v>443</v>
      </c>
      <c r="B81" s="14">
        <f t="shared" si="2"/>
        <v>1</v>
      </c>
      <c r="C81" s="14">
        <f t="shared" si="3"/>
        <v>0</v>
      </c>
      <c r="G81" s="16">
        <v>25186</v>
      </c>
      <c r="H81" s="19">
        <v>360</v>
      </c>
    </row>
    <row r="82" spans="1:8" ht="17.25" thickBot="1" x14ac:dyDescent="0.3">
      <c r="A82">
        <v>461</v>
      </c>
      <c r="B82" s="14">
        <f t="shared" si="2"/>
        <v>1</v>
      </c>
      <c r="C82" s="14">
        <f t="shared" si="3"/>
        <v>0</v>
      </c>
      <c r="G82" s="16">
        <v>28180</v>
      </c>
      <c r="H82" s="19">
        <v>361</v>
      </c>
    </row>
    <row r="83" spans="1:8" ht="17.25" thickBot="1" x14ac:dyDescent="0.3">
      <c r="A83">
        <v>461</v>
      </c>
      <c r="B83" s="14">
        <f t="shared" si="2"/>
        <v>1</v>
      </c>
      <c r="C83" s="14">
        <f t="shared" si="3"/>
        <v>0</v>
      </c>
      <c r="G83" s="16">
        <v>25187</v>
      </c>
      <c r="H83" s="19">
        <v>362</v>
      </c>
    </row>
    <row r="84" spans="1:8" ht="17.25" thickBot="1" x14ac:dyDescent="0.3">
      <c r="A84">
        <v>486</v>
      </c>
      <c r="B84" s="14">
        <f t="shared" si="2"/>
        <v>1</v>
      </c>
      <c r="C84" s="14">
        <f t="shared" si="3"/>
        <v>0</v>
      </c>
      <c r="G84" s="16">
        <v>25445</v>
      </c>
      <c r="H84" s="19">
        <v>365</v>
      </c>
    </row>
    <row r="85" spans="1:8" ht="17.25" thickBot="1" x14ac:dyDescent="0.3">
      <c r="A85">
        <v>491</v>
      </c>
      <c r="B85" s="14">
        <f t="shared" si="2"/>
        <v>1</v>
      </c>
      <c r="C85" s="14">
        <f t="shared" si="3"/>
        <v>0</v>
      </c>
      <c r="G85" s="16">
        <v>28181</v>
      </c>
      <c r="H85" s="19">
        <v>367</v>
      </c>
    </row>
    <row r="86" spans="1:8" ht="17.25" thickBot="1" x14ac:dyDescent="0.3">
      <c r="A86">
        <v>508</v>
      </c>
      <c r="B86" s="14">
        <f t="shared" si="2"/>
        <v>1</v>
      </c>
      <c r="C86" s="14">
        <f t="shared" si="3"/>
        <v>0</v>
      </c>
      <c r="G86" s="16">
        <v>28182</v>
      </c>
      <c r="H86" s="19">
        <v>370</v>
      </c>
    </row>
    <row r="87" spans="1:8" ht="17.25" thickBot="1" x14ac:dyDescent="0.3">
      <c r="A87">
        <v>513</v>
      </c>
      <c r="B87" s="14">
        <f t="shared" si="2"/>
        <v>1</v>
      </c>
      <c r="C87" s="14">
        <f t="shared" si="3"/>
        <v>0</v>
      </c>
      <c r="G87" s="16">
        <v>28183</v>
      </c>
      <c r="H87" s="19">
        <v>371</v>
      </c>
    </row>
    <row r="88" spans="1:8" ht="17.25" thickBot="1" x14ac:dyDescent="0.3">
      <c r="A88">
        <v>517</v>
      </c>
      <c r="B88" s="14">
        <f t="shared" si="2"/>
        <v>1</v>
      </c>
      <c r="C88" s="14">
        <f t="shared" si="3"/>
        <v>0</v>
      </c>
      <c r="G88" s="16">
        <v>28184</v>
      </c>
      <c r="H88" s="19">
        <v>373</v>
      </c>
    </row>
    <row r="89" spans="1:8" ht="17.25" thickBot="1" x14ac:dyDescent="0.3">
      <c r="A89">
        <v>530</v>
      </c>
      <c r="B89" s="14">
        <f t="shared" si="2"/>
        <v>1</v>
      </c>
      <c r="C89" s="14">
        <f t="shared" si="3"/>
        <v>0</v>
      </c>
      <c r="G89" s="16">
        <v>28185</v>
      </c>
      <c r="H89" s="19">
        <v>374</v>
      </c>
    </row>
    <row r="90" spans="1:8" ht="17.25" thickBot="1" x14ac:dyDescent="0.3">
      <c r="A90">
        <v>531</v>
      </c>
      <c r="B90" s="14">
        <f t="shared" si="2"/>
        <v>1</v>
      </c>
      <c r="C90" s="14">
        <f t="shared" si="3"/>
        <v>0</v>
      </c>
      <c r="G90" s="16">
        <v>25188</v>
      </c>
      <c r="H90" s="19">
        <v>375</v>
      </c>
    </row>
    <row r="91" spans="1:8" ht="17.25" thickBot="1" x14ac:dyDescent="0.3">
      <c r="A91">
        <v>535</v>
      </c>
      <c r="B91" s="14">
        <f t="shared" si="2"/>
        <v>1</v>
      </c>
      <c r="C91" s="14">
        <f t="shared" si="3"/>
        <v>0</v>
      </c>
      <c r="G91" s="16">
        <v>28186</v>
      </c>
      <c r="H91" s="19">
        <v>377</v>
      </c>
    </row>
    <row r="92" spans="1:8" ht="17.25" thickBot="1" x14ac:dyDescent="0.3">
      <c r="A92">
        <v>535</v>
      </c>
      <c r="B92" s="14">
        <f t="shared" si="2"/>
        <v>1</v>
      </c>
      <c r="C92" s="14">
        <f t="shared" si="3"/>
        <v>0</v>
      </c>
      <c r="G92" s="16">
        <v>25189</v>
      </c>
      <c r="H92" s="19">
        <v>379</v>
      </c>
    </row>
    <row r="93" spans="1:8" ht="17.25" thickBot="1" x14ac:dyDescent="0.3">
      <c r="A93">
        <v>555</v>
      </c>
      <c r="B93" s="14">
        <f t="shared" si="2"/>
        <v>1</v>
      </c>
      <c r="C93" s="14">
        <f t="shared" si="3"/>
        <v>0</v>
      </c>
      <c r="G93" s="16">
        <v>25190</v>
      </c>
      <c r="H93" s="19">
        <v>380</v>
      </c>
    </row>
    <row r="94" spans="1:8" ht="17.25" thickBot="1" x14ac:dyDescent="0.3">
      <c r="A94">
        <v>563</v>
      </c>
      <c r="B94" s="14">
        <f t="shared" si="2"/>
        <v>1</v>
      </c>
      <c r="C94" s="14">
        <f t="shared" si="3"/>
        <v>0</v>
      </c>
      <c r="G94" s="16">
        <v>28188</v>
      </c>
      <c r="H94" s="19">
        <v>381</v>
      </c>
    </row>
    <row r="95" spans="1:8" ht="17.25" thickBot="1" x14ac:dyDescent="0.3">
      <c r="A95">
        <v>584</v>
      </c>
      <c r="B95" s="14">
        <f t="shared" si="2"/>
        <v>1</v>
      </c>
      <c r="C95" s="14">
        <f t="shared" si="3"/>
        <v>0</v>
      </c>
      <c r="G95" s="16">
        <v>28189</v>
      </c>
      <c r="H95" s="19">
        <v>382</v>
      </c>
    </row>
    <row r="96" spans="1:8" ht="17.25" thickBot="1" x14ac:dyDescent="0.3">
      <c r="A96">
        <v>589</v>
      </c>
      <c r="B96" s="14">
        <f t="shared" si="2"/>
        <v>1</v>
      </c>
      <c r="C96" s="14">
        <f t="shared" si="3"/>
        <v>0</v>
      </c>
      <c r="G96" s="16">
        <v>28190</v>
      </c>
      <c r="H96" s="19">
        <v>383</v>
      </c>
    </row>
    <row r="97" spans="1:8" ht="17.25" thickBot="1" x14ac:dyDescent="0.3">
      <c r="A97">
        <v>595</v>
      </c>
      <c r="B97" s="14">
        <f t="shared" si="2"/>
        <v>1</v>
      </c>
      <c r="C97" s="14">
        <f t="shared" si="3"/>
        <v>0</v>
      </c>
      <c r="G97" s="16">
        <v>28191</v>
      </c>
      <c r="H97" s="19">
        <v>385</v>
      </c>
    </row>
    <row r="98" spans="1:8" ht="17.25" thickBot="1" x14ac:dyDescent="0.3">
      <c r="A98">
        <v>639</v>
      </c>
      <c r="B98" s="14">
        <f t="shared" si="2"/>
        <v>1</v>
      </c>
      <c r="C98" s="14">
        <f t="shared" si="3"/>
        <v>0</v>
      </c>
      <c r="G98" s="16">
        <v>28192</v>
      </c>
      <c r="H98" s="19">
        <v>386</v>
      </c>
    </row>
    <row r="99" spans="1:8" ht="17.25" thickBot="1" x14ac:dyDescent="0.3">
      <c r="A99">
        <v>639</v>
      </c>
      <c r="B99" s="14">
        <f t="shared" si="2"/>
        <v>1</v>
      </c>
      <c r="C99" s="14">
        <f t="shared" si="3"/>
        <v>0</v>
      </c>
      <c r="G99" s="16">
        <v>55021</v>
      </c>
      <c r="H99" s="19">
        <v>390</v>
      </c>
    </row>
    <row r="100" spans="1:8" ht="17.25" thickBot="1" x14ac:dyDescent="0.3">
      <c r="A100">
        <v>705</v>
      </c>
      <c r="B100" s="14">
        <f t="shared" si="2"/>
        <v>1</v>
      </c>
      <c r="C100" s="14">
        <f t="shared" si="3"/>
        <v>0</v>
      </c>
      <c r="G100" s="16">
        <v>25191</v>
      </c>
      <c r="H100" s="19">
        <v>391</v>
      </c>
    </row>
    <row r="101" spans="1:8" ht="17.25" thickBot="1" x14ac:dyDescent="0.3">
      <c r="A101">
        <v>705</v>
      </c>
      <c r="B101" s="14">
        <f t="shared" si="2"/>
        <v>1</v>
      </c>
      <c r="C101" s="14">
        <f t="shared" si="3"/>
        <v>0</v>
      </c>
      <c r="G101" s="16">
        <v>28194</v>
      </c>
      <c r="H101" s="19">
        <v>392</v>
      </c>
    </row>
    <row r="102" spans="1:8" ht="17.25" thickBot="1" x14ac:dyDescent="0.3">
      <c r="A102">
        <v>707</v>
      </c>
      <c r="B102" s="14">
        <f t="shared" si="2"/>
        <v>1</v>
      </c>
      <c r="C102" s="14">
        <f t="shared" si="3"/>
        <v>0</v>
      </c>
      <c r="G102" s="16">
        <v>55022</v>
      </c>
      <c r="H102" s="19">
        <v>395</v>
      </c>
    </row>
    <row r="103" spans="1:8" ht="17.25" thickBot="1" x14ac:dyDescent="0.3">
      <c r="A103">
        <v>707</v>
      </c>
      <c r="B103" s="14">
        <f t="shared" si="2"/>
        <v>1</v>
      </c>
      <c r="C103" s="14">
        <f t="shared" si="3"/>
        <v>0</v>
      </c>
      <c r="G103" s="16">
        <v>55023</v>
      </c>
      <c r="H103" s="19">
        <v>397</v>
      </c>
    </row>
    <row r="104" spans="1:8" ht="17.25" thickBot="1" x14ac:dyDescent="0.3">
      <c r="A104">
        <v>707</v>
      </c>
      <c r="B104" s="14">
        <f t="shared" si="2"/>
        <v>1</v>
      </c>
      <c r="C104" s="14">
        <f t="shared" si="3"/>
        <v>0</v>
      </c>
      <c r="G104" s="16">
        <v>25192</v>
      </c>
      <c r="H104" s="19">
        <v>399</v>
      </c>
    </row>
    <row r="105" spans="1:8" ht="17.25" thickBot="1" x14ac:dyDescent="0.3">
      <c r="A105">
        <v>707</v>
      </c>
      <c r="B105" s="14">
        <f t="shared" si="2"/>
        <v>1</v>
      </c>
      <c r="C105" s="14">
        <f t="shared" si="3"/>
        <v>0</v>
      </c>
      <c r="G105" s="16">
        <v>29656</v>
      </c>
      <c r="H105" s="19">
        <v>405</v>
      </c>
    </row>
    <row r="106" spans="1:8" ht="17.25" thickBot="1" x14ac:dyDescent="0.3">
      <c r="A106">
        <v>712</v>
      </c>
      <c r="B106" s="14">
        <f t="shared" si="2"/>
        <v>1</v>
      </c>
      <c r="C106" s="14">
        <f t="shared" si="3"/>
        <v>0</v>
      </c>
      <c r="G106" s="16">
        <v>29657</v>
      </c>
      <c r="H106" s="19">
        <v>406</v>
      </c>
    </row>
    <row r="107" spans="1:8" ht="17.25" thickBot="1" x14ac:dyDescent="0.3">
      <c r="A107">
        <v>721</v>
      </c>
      <c r="B107" s="14">
        <f t="shared" si="2"/>
        <v>1</v>
      </c>
      <c r="C107" s="14">
        <f t="shared" si="3"/>
        <v>0</v>
      </c>
      <c r="G107" s="16">
        <v>28278</v>
      </c>
      <c r="H107" s="19">
        <v>409</v>
      </c>
    </row>
    <row r="108" spans="1:8" ht="17.25" thickBot="1" x14ac:dyDescent="0.3">
      <c r="A108">
        <v>737</v>
      </c>
      <c r="B108" s="14">
        <f t="shared" si="2"/>
        <v>1</v>
      </c>
      <c r="C108" s="14">
        <f t="shared" si="3"/>
        <v>0</v>
      </c>
      <c r="G108" s="16">
        <v>28196</v>
      </c>
      <c r="H108" s="19">
        <v>426</v>
      </c>
    </row>
    <row r="109" spans="1:8" ht="17.25" thickBot="1" x14ac:dyDescent="0.3">
      <c r="A109">
        <v>748</v>
      </c>
      <c r="B109" s="14">
        <f t="shared" si="2"/>
        <v>1</v>
      </c>
      <c r="C109" s="14">
        <f t="shared" si="3"/>
        <v>0</v>
      </c>
      <c r="G109" s="16">
        <v>25193</v>
      </c>
      <c r="H109" s="19">
        <v>427</v>
      </c>
    </row>
    <row r="110" spans="1:8" ht="17.25" thickBot="1" x14ac:dyDescent="0.3">
      <c r="A110">
        <v>776</v>
      </c>
      <c r="B110" s="14">
        <f t="shared" si="2"/>
        <v>1</v>
      </c>
      <c r="C110" s="14">
        <f t="shared" si="3"/>
        <v>0</v>
      </c>
      <c r="G110" s="16">
        <v>25194</v>
      </c>
      <c r="H110" s="19">
        <v>437</v>
      </c>
    </row>
    <row r="111" spans="1:8" ht="17.25" thickBot="1" x14ac:dyDescent="0.3">
      <c r="A111">
        <v>790</v>
      </c>
      <c r="B111" s="14">
        <f t="shared" si="2"/>
        <v>1</v>
      </c>
      <c r="C111" s="14">
        <f t="shared" si="3"/>
        <v>0</v>
      </c>
      <c r="G111" s="16">
        <v>29658</v>
      </c>
      <c r="H111" s="19">
        <v>439</v>
      </c>
    </row>
    <row r="112" spans="1:8" ht="17.25" thickBot="1" x14ac:dyDescent="0.3">
      <c r="A112">
        <v>796</v>
      </c>
      <c r="B112" s="14">
        <f t="shared" si="2"/>
        <v>1</v>
      </c>
      <c r="C112" s="14">
        <f t="shared" si="3"/>
        <v>0</v>
      </c>
      <c r="G112" s="16">
        <v>28197</v>
      </c>
      <c r="H112" s="19">
        <v>440</v>
      </c>
    </row>
    <row r="113" spans="1:8" ht="17.25" thickBot="1" x14ac:dyDescent="0.3">
      <c r="A113">
        <v>799</v>
      </c>
      <c r="B113" s="14">
        <f t="shared" si="2"/>
        <v>1</v>
      </c>
      <c r="C113" s="14">
        <f t="shared" si="3"/>
        <v>0</v>
      </c>
      <c r="G113" s="16">
        <v>28198</v>
      </c>
      <c r="H113" s="19">
        <v>441</v>
      </c>
    </row>
    <row r="114" spans="1:8" ht="17.25" thickBot="1" x14ac:dyDescent="0.3">
      <c r="A114">
        <v>802</v>
      </c>
      <c r="B114" s="14">
        <f t="shared" si="2"/>
        <v>1</v>
      </c>
      <c r="C114" s="14">
        <f t="shared" si="3"/>
        <v>0</v>
      </c>
      <c r="G114" s="16">
        <v>28199</v>
      </c>
      <c r="H114" s="19">
        <v>443</v>
      </c>
    </row>
    <row r="115" spans="1:8" ht="17.25" thickBot="1" x14ac:dyDescent="0.3">
      <c r="A115">
        <v>802</v>
      </c>
      <c r="B115" s="14">
        <f t="shared" si="2"/>
        <v>1</v>
      </c>
      <c r="C115" s="14">
        <f t="shared" si="3"/>
        <v>0</v>
      </c>
      <c r="G115" s="16">
        <v>28200</v>
      </c>
      <c r="H115" s="19">
        <v>461</v>
      </c>
    </row>
    <row r="116" spans="1:8" ht="17.25" thickBot="1" x14ac:dyDescent="0.3">
      <c r="A116">
        <v>804</v>
      </c>
      <c r="B116" s="14">
        <f t="shared" si="2"/>
        <v>1</v>
      </c>
      <c r="C116" s="14">
        <f t="shared" si="3"/>
        <v>0</v>
      </c>
      <c r="G116" s="16">
        <v>25195</v>
      </c>
      <c r="H116" s="19">
        <v>486</v>
      </c>
    </row>
    <row r="117" spans="1:8" ht="17.25" thickBot="1" x14ac:dyDescent="0.3">
      <c r="A117">
        <v>804</v>
      </c>
      <c r="B117" s="14">
        <f t="shared" si="2"/>
        <v>1</v>
      </c>
      <c r="C117" s="14">
        <f t="shared" si="3"/>
        <v>0</v>
      </c>
      <c r="G117" s="16">
        <v>28202</v>
      </c>
      <c r="H117" s="19">
        <v>491</v>
      </c>
    </row>
    <row r="118" spans="1:8" ht="17.25" thickBot="1" x14ac:dyDescent="0.3">
      <c r="A118">
        <v>805</v>
      </c>
      <c r="B118" s="14">
        <f t="shared" si="2"/>
        <v>1</v>
      </c>
      <c r="C118" s="14">
        <f t="shared" si="3"/>
        <v>0</v>
      </c>
      <c r="G118" s="16">
        <v>28203</v>
      </c>
      <c r="H118" s="19">
        <v>492</v>
      </c>
    </row>
    <row r="119" spans="1:8" ht="17.25" thickBot="1" x14ac:dyDescent="0.3">
      <c r="A119">
        <v>808</v>
      </c>
      <c r="B119" s="14">
        <f t="shared" si="2"/>
        <v>1</v>
      </c>
      <c r="C119" s="14">
        <f t="shared" si="3"/>
        <v>0</v>
      </c>
      <c r="G119" s="16">
        <v>28204</v>
      </c>
      <c r="H119" s="19">
        <v>502</v>
      </c>
    </row>
    <row r="120" spans="1:8" ht="17.25" thickBot="1" x14ac:dyDescent="0.3">
      <c r="A120">
        <v>808</v>
      </c>
      <c r="B120" s="14">
        <f t="shared" si="2"/>
        <v>1</v>
      </c>
      <c r="C120" s="14">
        <f t="shared" si="3"/>
        <v>0</v>
      </c>
      <c r="G120" s="16">
        <v>55024</v>
      </c>
      <c r="H120" s="19">
        <v>505</v>
      </c>
    </row>
    <row r="121" spans="1:8" ht="17.25" thickBot="1" x14ac:dyDescent="0.3">
      <c r="A121">
        <v>810</v>
      </c>
      <c r="B121" s="14">
        <f t="shared" si="2"/>
        <v>1</v>
      </c>
      <c r="C121" s="14">
        <f t="shared" si="3"/>
        <v>0</v>
      </c>
      <c r="G121" s="16">
        <v>28205</v>
      </c>
      <c r="H121" s="19">
        <v>508</v>
      </c>
    </row>
    <row r="122" spans="1:8" ht="17.25" thickBot="1" x14ac:dyDescent="0.3">
      <c r="A122">
        <v>812</v>
      </c>
      <c r="B122" s="14">
        <f t="shared" si="2"/>
        <v>1</v>
      </c>
      <c r="C122" s="14">
        <f t="shared" si="3"/>
        <v>0</v>
      </c>
      <c r="G122" s="16">
        <v>28206</v>
      </c>
      <c r="H122" s="19">
        <v>509</v>
      </c>
    </row>
    <row r="123" spans="1:8" ht="17.25" thickBot="1" x14ac:dyDescent="0.3">
      <c r="A123">
        <v>818</v>
      </c>
      <c r="B123" s="14">
        <f t="shared" si="2"/>
        <v>1</v>
      </c>
      <c r="C123" s="14">
        <f t="shared" si="3"/>
        <v>0</v>
      </c>
      <c r="G123" s="16">
        <v>29659</v>
      </c>
      <c r="H123" s="19">
        <v>513</v>
      </c>
    </row>
    <row r="124" spans="1:8" ht="17.25" thickBot="1" x14ac:dyDescent="0.3">
      <c r="A124">
        <v>819</v>
      </c>
      <c r="B124" s="14">
        <f t="shared" si="2"/>
        <v>1</v>
      </c>
      <c r="C124" s="14">
        <f t="shared" si="3"/>
        <v>0</v>
      </c>
      <c r="G124" s="16">
        <v>25197</v>
      </c>
      <c r="H124" s="19">
        <v>517</v>
      </c>
    </row>
    <row r="125" spans="1:8" ht="17.25" thickBot="1" x14ac:dyDescent="0.3">
      <c r="A125">
        <v>820</v>
      </c>
      <c r="B125" s="14">
        <f t="shared" si="2"/>
        <v>1</v>
      </c>
      <c r="C125" s="14">
        <f t="shared" si="3"/>
        <v>0</v>
      </c>
      <c r="G125" s="16">
        <v>55025</v>
      </c>
      <c r="H125" s="19">
        <v>528</v>
      </c>
    </row>
    <row r="126" spans="1:8" ht="17.25" thickBot="1" x14ac:dyDescent="0.3">
      <c r="A126">
        <v>821</v>
      </c>
      <c r="B126" s="14">
        <f t="shared" si="2"/>
        <v>1</v>
      </c>
      <c r="C126" s="14">
        <f t="shared" si="3"/>
        <v>0</v>
      </c>
      <c r="G126" s="16">
        <v>29660</v>
      </c>
      <c r="H126" s="19">
        <v>530</v>
      </c>
    </row>
    <row r="127" spans="1:8" ht="17.25" thickBot="1" x14ac:dyDescent="0.3">
      <c r="A127">
        <v>822</v>
      </c>
      <c r="B127" s="14">
        <f t="shared" si="2"/>
        <v>1</v>
      </c>
      <c r="C127" s="14">
        <f t="shared" si="3"/>
        <v>0</v>
      </c>
      <c r="G127" s="16">
        <v>28207</v>
      </c>
      <c r="H127" s="19">
        <v>531</v>
      </c>
    </row>
    <row r="128" spans="1:8" ht="17.25" thickBot="1" x14ac:dyDescent="0.3">
      <c r="A128">
        <v>843</v>
      </c>
      <c r="B128" s="14">
        <f t="shared" si="2"/>
        <v>1</v>
      </c>
      <c r="C128" s="14">
        <f t="shared" si="3"/>
        <v>0</v>
      </c>
      <c r="G128" s="16">
        <v>28208</v>
      </c>
      <c r="H128" s="19">
        <v>535</v>
      </c>
    </row>
    <row r="129" spans="1:8" ht="17.25" thickBot="1" x14ac:dyDescent="0.3">
      <c r="A129">
        <v>849</v>
      </c>
      <c r="B129" s="14">
        <f t="shared" ref="B129:B192" si="4">COUNTIF(H:H,A129)</f>
        <v>1</v>
      </c>
      <c r="C129" s="14">
        <f t="shared" ref="C129:C192" si="5">COUNTIF(G:G,A129)</f>
        <v>0</v>
      </c>
      <c r="G129" s="16">
        <v>55026</v>
      </c>
      <c r="H129" s="19">
        <v>551</v>
      </c>
    </row>
    <row r="130" spans="1:8" ht="17.25" thickBot="1" x14ac:dyDescent="0.3">
      <c r="A130">
        <v>850</v>
      </c>
      <c r="B130" s="14">
        <f t="shared" si="4"/>
        <v>1</v>
      </c>
      <c r="C130" s="14">
        <f t="shared" si="5"/>
        <v>0</v>
      </c>
      <c r="G130" s="16">
        <v>25198</v>
      </c>
      <c r="H130" s="19">
        <v>555</v>
      </c>
    </row>
    <row r="131" spans="1:8" ht="17.25" thickBot="1" x14ac:dyDescent="0.3">
      <c r="A131">
        <v>852</v>
      </c>
      <c r="B131" s="14">
        <f t="shared" si="4"/>
        <v>1</v>
      </c>
      <c r="C131" s="14">
        <f t="shared" si="5"/>
        <v>0</v>
      </c>
      <c r="G131" s="16">
        <v>55027</v>
      </c>
      <c r="H131" s="19">
        <v>559</v>
      </c>
    </row>
    <row r="132" spans="1:8" ht="17.25" thickBot="1" x14ac:dyDescent="0.3">
      <c r="A132">
        <v>857</v>
      </c>
      <c r="B132" s="14">
        <f t="shared" si="4"/>
        <v>1</v>
      </c>
      <c r="C132" s="14">
        <f t="shared" si="5"/>
        <v>0</v>
      </c>
      <c r="G132" s="16">
        <v>28211</v>
      </c>
      <c r="H132" s="19">
        <v>563</v>
      </c>
    </row>
    <row r="133" spans="1:8" ht="17.25" thickBot="1" x14ac:dyDescent="0.3">
      <c r="A133">
        <v>857</v>
      </c>
      <c r="B133" s="14">
        <f t="shared" si="4"/>
        <v>1</v>
      </c>
      <c r="C133" s="14">
        <f t="shared" si="5"/>
        <v>0</v>
      </c>
      <c r="G133" s="16">
        <v>55028</v>
      </c>
      <c r="H133" s="19">
        <v>566</v>
      </c>
    </row>
    <row r="134" spans="1:8" ht="17.25" thickBot="1" x14ac:dyDescent="0.3">
      <c r="A134">
        <v>859</v>
      </c>
      <c r="B134" s="14">
        <f t="shared" si="4"/>
        <v>1</v>
      </c>
      <c r="C134" s="14">
        <f t="shared" si="5"/>
        <v>0</v>
      </c>
      <c r="G134" s="16">
        <v>28212</v>
      </c>
      <c r="H134" s="19">
        <v>584</v>
      </c>
    </row>
    <row r="135" spans="1:8" ht="17.25" thickBot="1" x14ac:dyDescent="0.3">
      <c r="A135">
        <v>861</v>
      </c>
      <c r="B135" s="14">
        <f t="shared" si="4"/>
        <v>1</v>
      </c>
      <c r="C135" s="14">
        <f t="shared" si="5"/>
        <v>0</v>
      </c>
      <c r="G135" s="16">
        <v>28213</v>
      </c>
      <c r="H135" s="19">
        <v>589</v>
      </c>
    </row>
    <row r="136" spans="1:8" ht="17.25" thickBot="1" x14ac:dyDescent="0.3">
      <c r="A136">
        <v>882</v>
      </c>
      <c r="B136" s="14">
        <f t="shared" si="4"/>
        <v>1</v>
      </c>
      <c r="C136" s="14">
        <f t="shared" si="5"/>
        <v>0</v>
      </c>
      <c r="G136" s="16">
        <v>28215</v>
      </c>
      <c r="H136" s="19">
        <v>595</v>
      </c>
    </row>
    <row r="137" spans="1:8" ht="17.25" thickBot="1" x14ac:dyDescent="0.3">
      <c r="A137">
        <v>884</v>
      </c>
      <c r="B137" s="14">
        <f t="shared" si="4"/>
        <v>1</v>
      </c>
      <c r="C137" s="14">
        <f t="shared" si="5"/>
        <v>0</v>
      </c>
      <c r="G137" s="16">
        <v>55029</v>
      </c>
      <c r="H137" s="19">
        <v>596</v>
      </c>
    </row>
    <row r="138" spans="1:8" ht="17.25" thickBot="1" x14ac:dyDescent="0.3">
      <c r="A138">
        <v>887</v>
      </c>
      <c r="B138" s="14">
        <f t="shared" si="4"/>
        <v>1</v>
      </c>
      <c r="C138" s="14">
        <f t="shared" si="5"/>
        <v>0</v>
      </c>
      <c r="G138" s="16">
        <v>55030</v>
      </c>
      <c r="H138" s="19">
        <v>627</v>
      </c>
    </row>
    <row r="139" spans="1:8" ht="17.25" thickBot="1" x14ac:dyDescent="0.3">
      <c r="A139">
        <v>890</v>
      </c>
      <c r="B139" s="14">
        <f t="shared" si="4"/>
        <v>1</v>
      </c>
      <c r="C139" s="14">
        <f t="shared" si="5"/>
        <v>0</v>
      </c>
      <c r="G139" s="16">
        <v>55031</v>
      </c>
      <c r="H139" s="19">
        <v>630</v>
      </c>
    </row>
    <row r="140" spans="1:8" ht="17.25" thickBot="1" x14ac:dyDescent="0.3">
      <c r="A140">
        <v>900</v>
      </c>
      <c r="B140" s="14">
        <f t="shared" si="4"/>
        <v>1</v>
      </c>
      <c r="C140" s="14">
        <f t="shared" si="5"/>
        <v>0</v>
      </c>
      <c r="G140" s="16">
        <v>55032</v>
      </c>
      <c r="H140" s="19">
        <v>634</v>
      </c>
    </row>
    <row r="141" spans="1:8" ht="17.25" thickBot="1" x14ac:dyDescent="0.3">
      <c r="A141">
        <v>908</v>
      </c>
      <c r="B141" s="14">
        <f t="shared" si="4"/>
        <v>1</v>
      </c>
      <c r="C141" s="14">
        <f t="shared" si="5"/>
        <v>0</v>
      </c>
      <c r="G141" s="16">
        <v>25199</v>
      </c>
      <c r="H141" s="19">
        <v>639</v>
      </c>
    </row>
    <row r="142" spans="1:8" ht="17.25" thickBot="1" x14ac:dyDescent="0.3">
      <c r="A142">
        <v>911</v>
      </c>
      <c r="B142" s="14">
        <f t="shared" si="4"/>
        <v>1</v>
      </c>
      <c r="C142" s="14">
        <f t="shared" si="5"/>
        <v>0</v>
      </c>
      <c r="G142" s="16">
        <v>28217</v>
      </c>
      <c r="H142" s="19">
        <v>646</v>
      </c>
    </row>
    <row r="143" spans="1:8" ht="17.25" thickBot="1" x14ac:dyDescent="0.3">
      <c r="A143">
        <v>913</v>
      </c>
      <c r="B143" s="14">
        <f t="shared" si="4"/>
        <v>1</v>
      </c>
      <c r="C143" s="14">
        <f t="shared" si="5"/>
        <v>0</v>
      </c>
      <c r="G143" s="16">
        <v>28218</v>
      </c>
      <c r="H143" s="19">
        <v>703</v>
      </c>
    </row>
    <row r="144" spans="1:8" ht="17.25" thickBot="1" x14ac:dyDescent="0.3">
      <c r="A144">
        <v>25174</v>
      </c>
      <c r="B144" s="14">
        <f t="shared" si="4"/>
        <v>0</v>
      </c>
      <c r="C144" s="14">
        <f t="shared" si="5"/>
        <v>1</v>
      </c>
      <c r="G144" s="16">
        <v>25744</v>
      </c>
      <c r="H144" s="19">
        <v>705</v>
      </c>
    </row>
    <row r="145" spans="1:8" ht="17.25" thickBot="1" x14ac:dyDescent="0.3">
      <c r="A145">
        <v>25176</v>
      </c>
      <c r="B145" s="14">
        <f t="shared" si="4"/>
        <v>0</v>
      </c>
      <c r="C145" s="14">
        <f t="shared" si="5"/>
        <v>1</v>
      </c>
      <c r="G145" s="16">
        <v>25200</v>
      </c>
      <c r="H145" s="19">
        <v>707</v>
      </c>
    </row>
    <row r="146" spans="1:8" ht="17.25" thickBot="1" x14ac:dyDescent="0.3">
      <c r="A146">
        <v>25179</v>
      </c>
      <c r="B146" s="14">
        <f t="shared" si="4"/>
        <v>0</v>
      </c>
      <c r="C146" s="14">
        <f t="shared" si="5"/>
        <v>1</v>
      </c>
      <c r="G146" s="16">
        <v>25201</v>
      </c>
      <c r="H146" s="19">
        <v>712</v>
      </c>
    </row>
    <row r="147" spans="1:8" ht="17.25" thickBot="1" x14ac:dyDescent="0.3">
      <c r="A147">
        <v>25181</v>
      </c>
      <c r="B147" s="14">
        <f t="shared" si="4"/>
        <v>0</v>
      </c>
      <c r="C147" s="14">
        <f t="shared" si="5"/>
        <v>1</v>
      </c>
      <c r="G147" s="16">
        <v>25745</v>
      </c>
      <c r="H147" s="19">
        <v>714</v>
      </c>
    </row>
    <row r="148" spans="1:8" ht="17.25" thickBot="1" x14ac:dyDescent="0.3">
      <c r="A148">
        <v>25181</v>
      </c>
      <c r="B148" s="14">
        <f t="shared" si="4"/>
        <v>0</v>
      </c>
      <c r="C148" s="14">
        <f t="shared" si="5"/>
        <v>1</v>
      </c>
      <c r="G148" s="16">
        <v>28219</v>
      </c>
      <c r="H148" s="19">
        <v>716</v>
      </c>
    </row>
    <row r="149" spans="1:8" ht="17.25" thickBot="1" x14ac:dyDescent="0.3">
      <c r="A149">
        <v>25183</v>
      </c>
      <c r="B149" s="14">
        <f t="shared" si="4"/>
        <v>0</v>
      </c>
      <c r="C149" s="14">
        <f t="shared" si="5"/>
        <v>1</v>
      </c>
      <c r="G149" s="16">
        <v>28220</v>
      </c>
      <c r="H149" s="19">
        <v>721</v>
      </c>
    </row>
    <row r="150" spans="1:8" ht="17.25" thickBot="1" x14ac:dyDescent="0.3">
      <c r="A150">
        <v>25184</v>
      </c>
      <c r="B150" s="14">
        <f t="shared" si="4"/>
        <v>0</v>
      </c>
      <c r="C150" s="14">
        <f t="shared" si="5"/>
        <v>1</v>
      </c>
      <c r="G150" s="16">
        <v>28221</v>
      </c>
      <c r="H150" s="19">
        <v>727</v>
      </c>
    </row>
    <row r="151" spans="1:8" ht="17.25" thickBot="1" x14ac:dyDescent="0.3">
      <c r="A151">
        <v>25185</v>
      </c>
      <c r="B151" s="14">
        <f t="shared" si="4"/>
        <v>0</v>
      </c>
      <c r="C151" s="14">
        <f t="shared" si="5"/>
        <v>1</v>
      </c>
      <c r="G151" s="16">
        <v>25202</v>
      </c>
      <c r="H151" s="19">
        <v>730</v>
      </c>
    </row>
    <row r="152" spans="1:8" ht="17.25" thickBot="1" x14ac:dyDescent="0.3">
      <c r="A152">
        <v>25187</v>
      </c>
      <c r="B152" s="14">
        <f t="shared" si="4"/>
        <v>0</v>
      </c>
      <c r="C152" s="14">
        <f t="shared" si="5"/>
        <v>1</v>
      </c>
      <c r="G152" s="16">
        <v>25203</v>
      </c>
      <c r="H152" s="19">
        <v>732</v>
      </c>
    </row>
    <row r="153" spans="1:8" ht="17.25" thickBot="1" x14ac:dyDescent="0.3">
      <c r="A153">
        <v>25188</v>
      </c>
      <c r="B153" s="14">
        <f t="shared" si="4"/>
        <v>0</v>
      </c>
      <c r="C153" s="14">
        <f t="shared" si="5"/>
        <v>1</v>
      </c>
      <c r="G153" s="16">
        <v>28222</v>
      </c>
      <c r="H153" s="19">
        <v>737</v>
      </c>
    </row>
    <row r="154" spans="1:8" ht="17.25" thickBot="1" x14ac:dyDescent="0.3">
      <c r="A154">
        <v>25189</v>
      </c>
      <c r="B154" s="14">
        <f t="shared" si="4"/>
        <v>0</v>
      </c>
      <c r="C154" s="14">
        <f t="shared" si="5"/>
        <v>1</v>
      </c>
      <c r="G154" s="16">
        <v>28223</v>
      </c>
      <c r="H154" s="19">
        <v>738</v>
      </c>
    </row>
    <row r="155" spans="1:8" ht="17.25" thickBot="1" x14ac:dyDescent="0.3">
      <c r="A155">
        <v>25193</v>
      </c>
      <c r="B155" s="14">
        <f t="shared" si="4"/>
        <v>0</v>
      </c>
      <c r="C155" s="14">
        <f t="shared" si="5"/>
        <v>1</v>
      </c>
      <c r="G155" s="16">
        <v>28224</v>
      </c>
      <c r="H155" s="19">
        <v>748</v>
      </c>
    </row>
    <row r="156" spans="1:8" ht="17.25" thickBot="1" x14ac:dyDescent="0.3">
      <c r="A156">
        <v>25195</v>
      </c>
      <c r="B156" s="14">
        <f t="shared" si="4"/>
        <v>0</v>
      </c>
      <c r="C156" s="14">
        <f t="shared" si="5"/>
        <v>1</v>
      </c>
      <c r="G156" s="16">
        <v>28226</v>
      </c>
      <c r="H156" s="19">
        <v>757</v>
      </c>
    </row>
    <row r="157" spans="1:8" ht="17.25" thickBot="1" x14ac:dyDescent="0.3">
      <c r="A157">
        <v>25198</v>
      </c>
      <c r="B157" s="14">
        <f t="shared" si="4"/>
        <v>0</v>
      </c>
      <c r="C157" s="14">
        <f t="shared" si="5"/>
        <v>1</v>
      </c>
      <c r="G157" s="16">
        <v>28227</v>
      </c>
      <c r="H157" s="19">
        <v>761</v>
      </c>
    </row>
    <row r="158" spans="1:8" ht="17.25" thickBot="1" x14ac:dyDescent="0.3">
      <c r="A158">
        <v>25203</v>
      </c>
      <c r="B158" s="14">
        <f t="shared" si="4"/>
        <v>0</v>
      </c>
      <c r="C158" s="14">
        <f t="shared" si="5"/>
        <v>1</v>
      </c>
      <c r="G158" s="16">
        <v>25204</v>
      </c>
      <c r="H158" s="19">
        <v>765</v>
      </c>
    </row>
    <row r="159" spans="1:8" ht="17.25" thickBot="1" x14ac:dyDescent="0.3">
      <c r="A159">
        <v>25204</v>
      </c>
      <c r="B159" s="14">
        <f t="shared" si="4"/>
        <v>0</v>
      </c>
      <c r="C159" s="14">
        <f t="shared" si="5"/>
        <v>1</v>
      </c>
      <c r="G159" s="16">
        <v>25205</v>
      </c>
      <c r="H159" s="19">
        <v>774</v>
      </c>
    </row>
    <row r="160" spans="1:8" ht="17.25" thickBot="1" x14ac:dyDescent="0.3">
      <c r="A160">
        <v>25205</v>
      </c>
      <c r="B160" s="14">
        <f t="shared" si="4"/>
        <v>0</v>
      </c>
      <c r="C160" s="14">
        <f t="shared" si="5"/>
        <v>1</v>
      </c>
      <c r="G160" s="16">
        <v>28229</v>
      </c>
      <c r="H160" s="19">
        <v>776</v>
      </c>
    </row>
    <row r="161" spans="1:8" ht="17.25" thickBot="1" x14ac:dyDescent="0.3">
      <c r="A161">
        <v>25206</v>
      </c>
      <c r="B161" s="14">
        <f t="shared" si="4"/>
        <v>0</v>
      </c>
      <c r="C161" s="14">
        <f t="shared" si="5"/>
        <v>1</v>
      </c>
      <c r="G161" s="16">
        <v>28230</v>
      </c>
      <c r="H161" s="19">
        <v>783</v>
      </c>
    </row>
    <row r="162" spans="1:8" ht="17.25" thickBot="1" x14ac:dyDescent="0.3">
      <c r="A162">
        <v>25208</v>
      </c>
      <c r="B162" s="14">
        <f t="shared" si="4"/>
        <v>0</v>
      </c>
      <c r="C162" s="14">
        <f t="shared" si="5"/>
        <v>1</v>
      </c>
      <c r="G162" s="16">
        <v>25206</v>
      </c>
      <c r="H162" s="19">
        <v>786</v>
      </c>
    </row>
    <row r="163" spans="1:8" ht="17.25" thickBot="1" x14ac:dyDescent="0.3">
      <c r="A163">
        <v>25208</v>
      </c>
      <c r="B163" s="14">
        <f t="shared" si="4"/>
        <v>0</v>
      </c>
      <c r="C163" s="14">
        <f t="shared" si="5"/>
        <v>1</v>
      </c>
      <c r="G163" s="16">
        <v>28231</v>
      </c>
      <c r="H163" s="19">
        <v>787</v>
      </c>
    </row>
    <row r="164" spans="1:8" ht="17.25" thickBot="1" x14ac:dyDescent="0.3">
      <c r="A164">
        <v>25745</v>
      </c>
      <c r="B164" s="14">
        <f t="shared" si="4"/>
        <v>0</v>
      </c>
      <c r="C164" s="14">
        <f t="shared" si="5"/>
        <v>1</v>
      </c>
      <c r="G164" s="16">
        <v>28232</v>
      </c>
      <c r="H164" s="19">
        <v>790</v>
      </c>
    </row>
    <row r="165" spans="1:8" ht="17.25" thickBot="1" x14ac:dyDescent="0.3">
      <c r="A165">
        <v>28123</v>
      </c>
      <c r="B165" s="14">
        <f t="shared" si="4"/>
        <v>0</v>
      </c>
      <c r="C165" s="14">
        <f t="shared" si="5"/>
        <v>1</v>
      </c>
      <c r="G165" s="16">
        <v>28233</v>
      </c>
      <c r="H165" s="19">
        <v>796</v>
      </c>
    </row>
    <row r="166" spans="1:8" ht="17.25" thickBot="1" x14ac:dyDescent="0.3">
      <c r="A166">
        <v>28125</v>
      </c>
      <c r="B166" s="14">
        <f t="shared" si="4"/>
        <v>0</v>
      </c>
      <c r="C166" s="14">
        <f t="shared" si="5"/>
        <v>1</v>
      </c>
      <c r="G166" s="16">
        <v>25207</v>
      </c>
      <c r="H166" s="19">
        <v>799</v>
      </c>
    </row>
    <row r="167" spans="1:8" ht="17.25" thickBot="1" x14ac:dyDescent="0.3">
      <c r="A167">
        <v>28126</v>
      </c>
      <c r="B167" s="14">
        <f t="shared" si="4"/>
        <v>0</v>
      </c>
      <c r="C167" s="14">
        <f t="shared" si="5"/>
        <v>1</v>
      </c>
      <c r="G167" s="16">
        <v>28234</v>
      </c>
      <c r="H167" s="19">
        <v>801</v>
      </c>
    </row>
    <row r="168" spans="1:8" ht="17.25" thickBot="1" x14ac:dyDescent="0.3">
      <c r="A168">
        <v>28126</v>
      </c>
      <c r="B168" s="14">
        <f t="shared" si="4"/>
        <v>0</v>
      </c>
      <c r="C168" s="14">
        <f t="shared" si="5"/>
        <v>1</v>
      </c>
      <c r="G168" s="16">
        <v>28235</v>
      </c>
      <c r="H168" s="19">
        <v>802</v>
      </c>
    </row>
    <row r="169" spans="1:8" ht="17.25" thickBot="1" x14ac:dyDescent="0.3">
      <c r="A169">
        <v>28127</v>
      </c>
      <c r="B169" s="14">
        <f t="shared" si="4"/>
        <v>0</v>
      </c>
      <c r="C169" s="14">
        <f t="shared" si="5"/>
        <v>1</v>
      </c>
      <c r="G169" s="16">
        <v>28236</v>
      </c>
      <c r="H169" s="19">
        <v>804</v>
      </c>
    </row>
    <row r="170" spans="1:8" ht="17.25" thickBot="1" x14ac:dyDescent="0.3">
      <c r="A170">
        <v>28130</v>
      </c>
      <c r="B170" s="14">
        <f t="shared" si="4"/>
        <v>0</v>
      </c>
      <c r="C170" s="14">
        <f t="shared" si="5"/>
        <v>1</v>
      </c>
      <c r="G170" s="16">
        <v>28237</v>
      </c>
      <c r="H170" s="19">
        <v>805</v>
      </c>
    </row>
    <row r="171" spans="1:8" ht="17.25" thickBot="1" x14ac:dyDescent="0.3">
      <c r="A171">
        <v>28135</v>
      </c>
      <c r="B171" s="14">
        <f t="shared" si="4"/>
        <v>0</v>
      </c>
      <c r="C171" s="14">
        <f t="shared" si="5"/>
        <v>1</v>
      </c>
      <c r="G171" s="16">
        <v>28238</v>
      </c>
      <c r="H171" s="19">
        <v>808</v>
      </c>
    </row>
    <row r="172" spans="1:8" ht="17.25" thickBot="1" x14ac:dyDescent="0.3">
      <c r="A172">
        <v>28137</v>
      </c>
      <c r="B172" s="14">
        <f t="shared" si="4"/>
        <v>0</v>
      </c>
      <c r="C172" s="14">
        <f t="shared" si="5"/>
        <v>1</v>
      </c>
      <c r="G172" s="16">
        <v>28239</v>
      </c>
      <c r="H172" s="19">
        <v>810</v>
      </c>
    </row>
    <row r="173" spans="1:8" ht="17.25" thickBot="1" x14ac:dyDescent="0.3">
      <c r="A173">
        <v>28137</v>
      </c>
      <c r="B173" s="14">
        <f t="shared" si="4"/>
        <v>0</v>
      </c>
      <c r="C173" s="14">
        <f t="shared" si="5"/>
        <v>1</v>
      </c>
      <c r="G173" s="16">
        <v>28240</v>
      </c>
      <c r="H173" s="19">
        <v>812</v>
      </c>
    </row>
    <row r="174" spans="1:8" ht="17.25" thickBot="1" x14ac:dyDescent="0.3">
      <c r="A174">
        <v>28141</v>
      </c>
      <c r="B174" s="14">
        <f t="shared" si="4"/>
        <v>0</v>
      </c>
      <c r="C174" s="14">
        <f t="shared" si="5"/>
        <v>1</v>
      </c>
      <c r="G174" s="16">
        <v>28241</v>
      </c>
      <c r="H174" s="19">
        <v>818</v>
      </c>
    </row>
    <row r="175" spans="1:8" ht="17.25" thickBot="1" x14ac:dyDescent="0.3">
      <c r="A175">
        <v>28141</v>
      </c>
      <c r="B175" s="14">
        <f t="shared" si="4"/>
        <v>0</v>
      </c>
      <c r="C175" s="14">
        <f t="shared" si="5"/>
        <v>1</v>
      </c>
      <c r="G175" s="16">
        <v>28242</v>
      </c>
      <c r="H175" s="19">
        <v>819</v>
      </c>
    </row>
    <row r="176" spans="1:8" ht="17.25" thickBot="1" x14ac:dyDescent="0.3">
      <c r="A176">
        <v>28144</v>
      </c>
      <c r="B176" s="14">
        <f t="shared" si="4"/>
        <v>0</v>
      </c>
      <c r="C176" s="14">
        <f t="shared" si="5"/>
        <v>1</v>
      </c>
      <c r="G176" s="16">
        <v>25208</v>
      </c>
      <c r="H176" s="19">
        <v>820</v>
      </c>
    </row>
    <row r="177" spans="1:8" ht="17.25" thickBot="1" x14ac:dyDescent="0.3">
      <c r="A177">
        <v>28147</v>
      </c>
      <c r="B177" s="14">
        <f t="shared" si="4"/>
        <v>0</v>
      </c>
      <c r="C177" s="14">
        <f t="shared" si="5"/>
        <v>1</v>
      </c>
      <c r="G177" s="16">
        <v>28243</v>
      </c>
      <c r="H177" s="19">
        <v>821</v>
      </c>
    </row>
    <row r="178" spans="1:8" ht="17.25" thickBot="1" x14ac:dyDescent="0.3">
      <c r="A178">
        <v>28148</v>
      </c>
      <c r="B178" s="14">
        <f t="shared" si="4"/>
        <v>0</v>
      </c>
      <c r="C178" s="14">
        <f t="shared" si="5"/>
        <v>1</v>
      </c>
      <c r="G178" s="16">
        <v>28244</v>
      </c>
      <c r="H178" s="19">
        <v>822</v>
      </c>
    </row>
    <row r="179" spans="1:8" ht="17.25" thickBot="1" x14ac:dyDescent="0.3">
      <c r="A179">
        <v>28149</v>
      </c>
      <c r="B179" s="14">
        <f t="shared" si="4"/>
        <v>0</v>
      </c>
      <c r="C179" s="14">
        <f t="shared" si="5"/>
        <v>1</v>
      </c>
      <c r="G179" s="16">
        <v>28245</v>
      </c>
      <c r="H179" s="19">
        <v>832</v>
      </c>
    </row>
    <row r="180" spans="1:8" ht="17.25" thickBot="1" x14ac:dyDescent="0.3">
      <c r="A180">
        <v>28149</v>
      </c>
      <c r="B180" s="14">
        <f t="shared" si="4"/>
        <v>0</v>
      </c>
      <c r="C180" s="14">
        <f t="shared" si="5"/>
        <v>1</v>
      </c>
      <c r="G180" s="16">
        <v>28246</v>
      </c>
      <c r="H180" s="19">
        <v>837</v>
      </c>
    </row>
    <row r="181" spans="1:8" ht="17.25" thickBot="1" x14ac:dyDescent="0.3">
      <c r="A181">
        <v>28151</v>
      </c>
      <c r="B181" s="14">
        <f t="shared" si="4"/>
        <v>0</v>
      </c>
      <c r="C181" s="14">
        <f t="shared" si="5"/>
        <v>1</v>
      </c>
      <c r="G181" s="16">
        <v>28247</v>
      </c>
      <c r="H181" s="19">
        <v>843</v>
      </c>
    </row>
    <row r="182" spans="1:8" ht="17.25" thickBot="1" x14ac:dyDescent="0.3">
      <c r="A182">
        <v>28153</v>
      </c>
      <c r="B182" s="14">
        <f t="shared" si="4"/>
        <v>0</v>
      </c>
      <c r="C182" s="14">
        <f t="shared" si="5"/>
        <v>1</v>
      </c>
      <c r="G182" s="16">
        <v>28248</v>
      </c>
      <c r="H182" s="19">
        <v>849</v>
      </c>
    </row>
    <row r="183" spans="1:8" ht="17.25" thickBot="1" x14ac:dyDescent="0.3">
      <c r="A183">
        <v>28154</v>
      </c>
      <c r="B183" s="14">
        <f t="shared" si="4"/>
        <v>0</v>
      </c>
      <c r="C183" s="14">
        <f t="shared" si="5"/>
        <v>1</v>
      </c>
      <c r="G183" s="16">
        <v>28249</v>
      </c>
      <c r="H183" s="19">
        <v>850</v>
      </c>
    </row>
    <row r="184" spans="1:8" ht="17.25" thickBot="1" x14ac:dyDescent="0.3">
      <c r="A184">
        <v>28156</v>
      </c>
      <c r="B184" s="14">
        <f t="shared" si="4"/>
        <v>0</v>
      </c>
      <c r="C184" s="14">
        <f t="shared" si="5"/>
        <v>1</v>
      </c>
      <c r="G184" s="16">
        <v>25209</v>
      </c>
      <c r="H184" s="19">
        <v>852</v>
      </c>
    </row>
    <row r="185" spans="1:8" ht="17.25" thickBot="1" x14ac:dyDescent="0.3">
      <c r="A185">
        <v>28157</v>
      </c>
      <c r="B185" s="14">
        <f t="shared" si="4"/>
        <v>0</v>
      </c>
      <c r="C185" s="14">
        <f t="shared" si="5"/>
        <v>1</v>
      </c>
      <c r="G185" s="16">
        <v>28250</v>
      </c>
      <c r="H185" s="19">
        <v>853</v>
      </c>
    </row>
    <row r="186" spans="1:8" ht="17.25" thickBot="1" x14ac:dyDescent="0.3">
      <c r="A186">
        <v>28160</v>
      </c>
      <c r="B186" s="14">
        <f t="shared" si="4"/>
        <v>0</v>
      </c>
      <c r="C186" s="14">
        <f t="shared" si="5"/>
        <v>1</v>
      </c>
      <c r="G186" s="16">
        <v>28251</v>
      </c>
      <c r="H186" s="19">
        <v>855</v>
      </c>
    </row>
    <row r="187" spans="1:8" ht="17.25" thickBot="1" x14ac:dyDescent="0.3">
      <c r="A187">
        <v>28160</v>
      </c>
      <c r="B187" s="14">
        <f t="shared" si="4"/>
        <v>0</v>
      </c>
      <c r="C187" s="14">
        <f t="shared" si="5"/>
        <v>1</v>
      </c>
      <c r="G187" s="16">
        <v>28252</v>
      </c>
      <c r="H187" s="19">
        <v>857</v>
      </c>
    </row>
    <row r="188" spans="1:8" ht="17.25" thickBot="1" x14ac:dyDescent="0.3">
      <c r="A188">
        <v>28162</v>
      </c>
      <c r="B188" s="14">
        <f t="shared" si="4"/>
        <v>0</v>
      </c>
      <c r="C188" s="14">
        <f t="shared" si="5"/>
        <v>1</v>
      </c>
      <c r="G188" s="16">
        <v>25210</v>
      </c>
      <c r="H188" s="19">
        <v>859</v>
      </c>
    </row>
    <row r="189" spans="1:8" ht="17.25" thickBot="1" x14ac:dyDescent="0.3">
      <c r="A189">
        <v>28162</v>
      </c>
      <c r="B189" s="14">
        <f t="shared" si="4"/>
        <v>0</v>
      </c>
      <c r="C189" s="14">
        <f t="shared" si="5"/>
        <v>1</v>
      </c>
      <c r="G189" s="16">
        <v>28253</v>
      </c>
      <c r="H189" s="19">
        <v>861</v>
      </c>
    </row>
    <row r="190" spans="1:8" ht="17.25" thickBot="1" x14ac:dyDescent="0.3">
      <c r="A190">
        <v>28164</v>
      </c>
      <c r="B190" s="14">
        <f t="shared" si="4"/>
        <v>0</v>
      </c>
      <c r="C190" s="14">
        <f t="shared" si="5"/>
        <v>1</v>
      </c>
      <c r="G190" s="16">
        <v>28254</v>
      </c>
      <c r="H190" s="19">
        <v>879</v>
      </c>
    </row>
    <row r="191" spans="1:8" ht="17.25" thickBot="1" x14ac:dyDescent="0.3">
      <c r="A191">
        <v>28165</v>
      </c>
      <c r="B191" s="14">
        <f t="shared" si="4"/>
        <v>0</v>
      </c>
      <c r="C191" s="14">
        <f t="shared" si="5"/>
        <v>1</v>
      </c>
      <c r="G191" s="16">
        <v>28255</v>
      </c>
      <c r="H191" s="19">
        <v>882</v>
      </c>
    </row>
    <row r="192" spans="1:8" ht="17.25" thickBot="1" x14ac:dyDescent="0.3">
      <c r="A192">
        <v>28166</v>
      </c>
      <c r="B192" s="14">
        <f t="shared" si="4"/>
        <v>0</v>
      </c>
      <c r="C192" s="14">
        <f t="shared" si="5"/>
        <v>1</v>
      </c>
      <c r="G192" s="16">
        <v>28256</v>
      </c>
      <c r="H192" s="19">
        <v>884</v>
      </c>
    </row>
    <row r="193" spans="1:8" ht="17.25" thickBot="1" x14ac:dyDescent="0.3">
      <c r="A193">
        <v>28168</v>
      </c>
      <c r="B193" s="14">
        <f t="shared" ref="B193:B256" si="6">COUNTIF(H:H,A193)</f>
        <v>0</v>
      </c>
      <c r="C193" s="14">
        <f t="shared" ref="C193:C256" si="7">COUNTIF(G:G,A193)</f>
        <v>1</v>
      </c>
      <c r="G193" s="16">
        <v>28279</v>
      </c>
      <c r="H193" s="19">
        <v>887</v>
      </c>
    </row>
    <row r="194" spans="1:8" ht="17.25" thickBot="1" x14ac:dyDescent="0.3">
      <c r="A194">
        <v>28173</v>
      </c>
      <c r="B194" s="14">
        <f t="shared" si="6"/>
        <v>0</v>
      </c>
      <c r="C194" s="14">
        <f t="shared" si="7"/>
        <v>1</v>
      </c>
      <c r="G194" s="16">
        <v>28257</v>
      </c>
      <c r="H194" s="19">
        <v>890</v>
      </c>
    </row>
    <row r="195" spans="1:8" ht="17.25" thickBot="1" x14ac:dyDescent="0.3">
      <c r="A195">
        <v>28174</v>
      </c>
      <c r="B195" s="14">
        <f t="shared" si="6"/>
        <v>0</v>
      </c>
      <c r="C195" s="14">
        <f t="shared" si="7"/>
        <v>1</v>
      </c>
      <c r="G195" s="16">
        <v>28258</v>
      </c>
      <c r="H195" s="19">
        <v>892</v>
      </c>
    </row>
    <row r="196" spans="1:8" ht="17.25" thickBot="1" x14ac:dyDescent="0.3">
      <c r="A196">
        <v>28176</v>
      </c>
      <c r="B196" s="14">
        <f t="shared" si="6"/>
        <v>0</v>
      </c>
      <c r="C196" s="14">
        <f t="shared" si="7"/>
        <v>1</v>
      </c>
      <c r="G196" s="16">
        <v>28259</v>
      </c>
      <c r="H196" s="19">
        <v>894</v>
      </c>
    </row>
    <row r="197" spans="1:8" ht="17.25" thickBot="1" x14ac:dyDescent="0.3">
      <c r="A197">
        <v>28178</v>
      </c>
      <c r="B197" s="14">
        <f t="shared" si="6"/>
        <v>0</v>
      </c>
      <c r="C197" s="14">
        <f t="shared" si="7"/>
        <v>1</v>
      </c>
      <c r="G197" s="16">
        <v>28260</v>
      </c>
      <c r="H197" s="19">
        <v>897</v>
      </c>
    </row>
    <row r="198" spans="1:8" ht="17.25" thickBot="1" x14ac:dyDescent="0.3">
      <c r="A198">
        <v>28180</v>
      </c>
      <c r="B198" s="14">
        <f t="shared" si="6"/>
        <v>0</v>
      </c>
      <c r="C198" s="14">
        <f t="shared" si="7"/>
        <v>1</v>
      </c>
      <c r="G198" s="16">
        <v>28261</v>
      </c>
      <c r="H198" s="19">
        <v>900</v>
      </c>
    </row>
    <row r="199" spans="1:8" ht="17.25" thickBot="1" x14ac:dyDescent="0.3">
      <c r="A199">
        <v>28181</v>
      </c>
      <c r="B199" s="14">
        <f t="shared" si="6"/>
        <v>0</v>
      </c>
      <c r="C199" s="14">
        <f t="shared" si="7"/>
        <v>1</v>
      </c>
      <c r="G199" s="16">
        <v>28262</v>
      </c>
      <c r="H199" s="19">
        <v>907</v>
      </c>
    </row>
    <row r="200" spans="1:8" ht="17.25" thickBot="1" x14ac:dyDescent="0.3">
      <c r="A200">
        <v>28182</v>
      </c>
      <c r="B200" s="14">
        <f t="shared" si="6"/>
        <v>0</v>
      </c>
      <c r="C200" s="14">
        <f t="shared" si="7"/>
        <v>1</v>
      </c>
      <c r="G200" s="16">
        <v>28263</v>
      </c>
      <c r="H200" s="19">
        <v>908</v>
      </c>
    </row>
    <row r="201" spans="1:8" ht="17.25" thickBot="1" x14ac:dyDescent="0.3">
      <c r="A201">
        <v>28183</v>
      </c>
      <c r="B201" s="14">
        <f t="shared" si="6"/>
        <v>0</v>
      </c>
      <c r="C201" s="14">
        <f t="shared" si="7"/>
        <v>1</v>
      </c>
      <c r="G201" s="16">
        <v>28264</v>
      </c>
      <c r="H201" s="19">
        <v>911</v>
      </c>
    </row>
    <row r="202" spans="1:8" ht="17.25" thickBot="1" x14ac:dyDescent="0.3">
      <c r="A202">
        <v>28184</v>
      </c>
      <c r="B202" s="14">
        <f t="shared" si="6"/>
        <v>0</v>
      </c>
      <c r="C202" s="14">
        <f t="shared" si="7"/>
        <v>1</v>
      </c>
      <c r="G202" s="16">
        <v>28265</v>
      </c>
      <c r="H202" s="19">
        <v>913</v>
      </c>
    </row>
    <row r="203" spans="1:8" x14ac:dyDescent="0.25">
      <c r="A203">
        <v>28185</v>
      </c>
      <c r="B203" s="14">
        <f t="shared" si="6"/>
        <v>0</v>
      </c>
      <c r="C203" s="14">
        <f t="shared" si="7"/>
        <v>1</v>
      </c>
    </row>
    <row r="204" spans="1:8" x14ac:dyDescent="0.25">
      <c r="A204">
        <v>28185</v>
      </c>
      <c r="B204" s="14">
        <f t="shared" si="6"/>
        <v>0</v>
      </c>
      <c r="C204" s="14">
        <f t="shared" si="7"/>
        <v>1</v>
      </c>
    </row>
    <row r="205" spans="1:8" x14ac:dyDescent="0.25">
      <c r="A205">
        <v>28186</v>
      </c>
      <c r="B205" s="14">
        <f t="shared" si="6"/>
        <v>0</v>
      </c>
      <c r="C205" s="14">
        <f t="shared" si="7"/>
        <v>1</v>
      </c>
    </row>
    <row r="206" spans="1:8" x14ac:dyDescent="0.25">
      <c r="A206">
        <v>28186</v>
      </c>
      <c r="B206" s="14">
        <f t="shared" si="6"/>
        <v>0</v>
      </c>
      <c r="C206" s="14">
        <f t="shared" si="7"/>
        <v>1</v>
      </c>
    </row>
    <row r="207" spans="1:8" x14ac:dyDescent="0.25">
      <c r="A207">
        <v>28186</v>
      </c>
      <c r="B207" s="14">
        <f t="shared" si="6"/>
        <v>0</v>
      </c>
      <c r="C207" s="14">
        <f t="shared" si="7"/>
        <v>1</v>
      </c>
    </row>
    <row r="208" spans="1:8" x14ac:dyDescent="0.25">
      <c r="A208">
        <v>28186</v>
      </c>
      <c r="B208" s="14">
        <f t="shared" si="6"/>
        <v>0</v>
      </c>
      <c r="C208" s="14">
        <f t="shared" si="7"/>
        <v>1</v>
      </c>
    </row>
    <row r="209" spans="1:3" x14ac:dyDescent="0.25">
      <c r="A209">
        <v>28188</v>
      </c>
      <c r="B209" s="14">
        <f t="shared" si="6"/>
        <v>0</v>
      </c>
      <c r="C209" s="14">
        <f t="shared" si="7"/>
        <v>1</v>
      </c>
    </row>
    <row r="210" spans="1:3" x14ac:dyDescent="0.25">
      <c r="A210">
        <v>28189</v>
      </c>
      <c r="B210" s="14">
        <f t="shared" si="6"/>
        <v>0</v>
      </c>
      <c r="C210" s="14">
        <f t="shared" si="7"/>
        <v>1</v>
      </c>
    </row>
    <row r="211" spans="1:3" x14ac:dyDescent="0.25">
      <c r="A211">
        <v>28190</v>
      </c>
      <c r="B211" s="14">
        <f t="shared" si="6"/>
        <v>0</v>
      </c>
      <c r="C211" s="14">
        <f t="shared" si="7"/>
        <v>1</v>
      </c>
    </row>
    <row r="212" spans="1:3" x14ac:dyDescent="0.25">
      <c r="A212">
        <v>28196</v>
      </c>
      <c r="B212" s="14">
        <f t="shared" si="6"/>
        <v>0</v>
      </c>
      <c r="C212" s="14">
        <f t="shared" si="7"/>
        <v>1</v>
      </c>
    </row>
    <row r="213" spans="1:3" x14ac:dyDescent="0.25">
      <c r="A213">
        <v>28197</v>
      </c>
      <c r="B213" s="14">
        <f t="shared" si="6"/>
        <v>0</v>
      </c>
      <c r="C213" s="14">
        <f t="shared" si="7"/>
        <v>1</v>
      </c>
    </row>
    <row r="214" spans="1:3" x14ac:dyDescent="0.25">
      <c r="A214">
        <v>28202</v>
      </c>
      <c r="B214" s="14">
        <f t="shared" si="6"/>
        <v>0</v>
      </c>
      <c r="C214" s="14">
        <f t="shared" si="7"/>
        <v>1</v>
      </c>
    </row>
    <row r="215" spans="1:3" x14ac:dyDescent="0.25">
      <c r="A215">
        <v>28203</v>
      </c>
      <c r="B215" s="14">
        <f t="shared" si="6"/>
        <v>0</v>
      </c>
      <c r="C215" s="14">
        <f t="shared" si="7"/>
        <v>1</v>
      </c>
    </row>
    <row r="216" spans="1:3" x14ac:dyDescent="0.25">
      <c r="A216">
        <v>28203</v>
      </c>
      <c r="B216" s="14">
        <f t="shared" si="6"/>
        <v>0</v>
      </c>
      <c r="C216" s="14">
        <f t="shared" si="7"/>
        <v>1</v>
      </c>
    </row>
    <row r="217" spans="1:3" x14ac:dyDescent="0.25">
      <c r="A217">
        <v>28203</v>
      </c>
      <c r="B217" s="14">
        <f t="shared" si="6"/>
        <v>0</v>
      </c>
      <c r="C217" s="14">
        <f t="shared" si="7"/>
        <v>1</v>
      </c>
    </row>
    <row r="218" spans="1:3" x14ac:dyDescent="0.25">
      <c r="A218">
        <v>28204</v>
      </c>
      <c r="B218" s="14">
        <f t="shared" si="6"/>
        <v>0</v>
      </c>
      <c r="C218" s="14">
        <f t="shared" si="7"/>
        <v>1</v>
      </c>
    </row>
    <row r="219" spans="1:3" x14ac:dyDescent="0.25">
      <c r="A219">
        <v>28206</v>
      </c>
      <c r="B219" s="14">
        <f t="shared" si="6"/>
        <v>0</v>
      </c>
      <c r="C219" s="14">
        <f t="shared" si="7"/>
        <v>1</v>
      </c>
    </row>
    <row r="220" spans="1:3" x14ac:dyDescent="0.25">
      <c r="A220">
        <v>28215</v>
      </c>
      <c r="B220" s="14">
        <f t="shared" si="6"/>
        <v>0</v>
      </c>
      <c r="C220" s="14">
        <f t="shared" si="7"/>
        <v>1</v>
      </c>
    </row>
    <row r="221" spans="1:3" x14ac:dyDescent="0.25">
      <c r="A221">
        <v>28217</v>
      </c>
      <c r="B221" s="14">
        <f t="shared" si="6"/>
        <v>0</v>
      </c>
      <c r="C221" s="14">
        <f t="shared" si="7"/>
        <v>1</v>
      </c>
    </row>
    <row r="222" spans="1:3" x14ac:dyDescent="0.25">
      <c r="A222">
        <v>28217</v>
      </c>
      <c r="B222" s="14">
        <f t="shared" si="6"/>
        <v>0</v>
      </c>
      <c r="C222" s="14">
        <f t="shared" si="7"/>
        <v>1</v>
      </c>
    </row>
    <row r="223" spans="1:3" x14ac:dyDescent="0.25">
      <c r="A223">
        <v>28218</v>
      </c>
      <c r="B223" s="14">
        <f t="shared" si="6"/>
        <v>0</v>
      </c>
      <c r="C223" s="14">
        <f t="shared" si="7"/>
        <v>1</v>
      </c>
    </row>
    <row r="224" spans="1:3" x14ac:dyDescent="0.25">
      <c r="A224">
        <v>28219</v>
      </c>
      <c r="B224" s="14">
        <f t="shared" si="6"/>
        <v>0</v>
      </c>
      <c r="C224" s="14">
        <f t="shared" si="7"/>
        <v>1</v>
      </c>
    </row>
    <row r="225" spans="1:3" x14ac:dyDescent="0.25">
      <c r="A225">
        <v>28226</v>
      </c>
      <c r="B225" s="14">
        <f t="shared" si="6"/>
        <v>0</v>
      </c>
      <c r="C225" s="14">
        <f t="shared" si="7"/>
        <v>1</v>
      </c>
    </row>
    <row r="226" spans="1:3" x14ac:dyDescent="0.25">
      <c r="A226">
        <v>28227</v>
      </c>
      <c r="B226" s="14">
        <f t="shared" si="6"/>
        <v>0</v>
      </c>
      <c r="C226" s="14">
        <f t="shared" si="7"/>
        <v>1</v>
      </c>
    </row>
    <row r="227" spans="1:3" x14ac:dyDescent="0.25">
      <c r="A227">
        <v>28227</v>
      </c>
      <c r="B227" s="14">
        <f t="shared" si="6"/>
        <v>0</v>
      </c>
      <c r="C227" s="14">
        <f t="shared" si="7"/>
        <v>1</v>
      </c>
    </row>
    <row r="228" spans="1:3" x14ac:dyDescent="0.25">
      <c r="A228">
        <v>28230</v>
      </c>
      <c r="B228" s="14">
        <f t="shared" si="6"/>
        <v>0</v>
      </c>
      <c r="C228" s="14">
        <f t="shared" si="7"/>
        <v>1</v>
      </c>
    </row>
    <row r="229" spans="1:3" x14ac:dyDescent="0.25">
      <c r="A229">
        <v>28231</v>
      </c>
      <c r="B229" s="14">
        <f t="shared" si="6"/>
        <v>0</v>
      </c>
      <c r="C229" s="14">
        <f t="shared" si="7"/>
        <v>1</v>
      </c>
    </row>
    <row r="230" spans="1:3" x14ac:dyDescent="0.25">
      <c r="A230">
        <v>28234</v>
      </c>
      <c r="B230" s="14">
        <f t="shared" si="6"/>
        <v>0</v>
      </c>
      <c r="C230" s="14">
        <f t="shared" si="7"/>
        <v>1</v>
      </c>
    </row>
    <row r="231" spans="1:3" x14ac:dyDescent="0.25">
      <c r="A231">
        <v>28237</v>
      </c>
      <c r="B231" s="14">
        <f t="shared" si="6"/>
        <v>0</v>
      </c>
      <c r="C231" s="14">
        <f t="shared" si="7"/>
        <v>1</v>
      </c>
    </row>
    <row r="232" spans="1:3" x14ac:dyDescent="0.25">
      <c r="A232">
        <v>28239</v>
      </c>
      <c r="B232" s="14">
        <f t="shared" si="6"/>
        <v>0</v>
      </c>
      <c r="C232" s="14">
        <f t="shared" si="7"/>
        <v>1</v>
      </c>
    </row>
    <row r="233" spans="1:3" x14ac:dyDescent="0.25">
      <c r="A233">
        <v>28245</v>
      </c>
      <c r="B233" s="14">
        <f t="shared" si="6"/>
        <v>0</v>
      </c>
      <c r="C233" s="14">
        <f t="shared" si="7"/>
        <v>1</v>
      </c>
    </row>
    <row r="234" spans="1:3" x14ac:dyDescent="0.25">
      <c r="A234">
        <v>28246</v>
      </c>
      <c r="B234" s="14">
        <f t="shared" si="6"/>
        <v>0</v>
      </c>
      <c r="C234" s="14">
        <f t="shared" si="7"/>
        <v>1</v>
      </c>
    </row>
    <row r="235" spans="1:3" x14ac:dyDescent="0.25">
      <c r="A235">
        <v>28250</v>
      </c>
      <c r="B235" s="14">
        <f t="shared" si="6"/>
        <v>0</v>
      </c>
      <c r="C235" s="14">
        <f t="shared" si="7"/>
        <v>1</v>
      </c>
    </row>
    <row r="236" spans="1:3" x14ac:dyDescent="0.25">
      <c r="A236">
        <v>28251</v>
      </c>
      <c r="B236" s="14">
        <f t="shared" si="6"/>
        <v>0</v>
      </c>
      <c r="C236" s="14">
        <f t="shared" si="7"/>
        <v>1</v>
      </c>
    </row>
    <row r="237" spans="1:3" x14ac:dyDescent="0.25">
      <c r="A237">
        <v>28251</v>
      </c>
      <c r="B237" s="14">
        <f t="shared" si="6"/>
        <v>0</v>
      </c>
      <c r="C237" s="14">
        <f t="shared" si="7"/>
        <v>1</v>
      </c>
    </row>
    <row r="238" spans="1:3" x14ac:dyDescent="0.25">
      <c r="A238">
        <v>28253</v>
      </c>
      <c r="B238" s="14">
        <f t="shared" si="6"/>
        <v>0</v>
      </c>
      <c r="C238" s="14">
        <f t="shared" si="7"/>
        <v>1</v>
      </c>
    </row>
    <row r="239" spans="1:3" x14ac:dyDescent="0.25">
      <c r="A239">
        <v>28254</v>
      </c>
      <c r="B239" s="14">
        <f t="shared" si="6"/>
        <v>0</v>
      </c>
      <c r="C239" s="14">
        <f t="shared" si="7"/>
        <v>1</v>
      </c>
    </row>
    <row r="240" spans="1:3" x14ac:dyDescent="0.25">
      <c r="A240">
        <v>28255</v>
      </c>
      <c r="B240" s="14">
        <f t="shared" si="6"/>
        <v>0</v>
      </c>
      <c r="C240" s="14">
        <f t="shared" si="7"/>
        <v>1</v>
      </c>
    </row>
    <row r="241" spans="1:3" x14ac:dyDescent="0.25">
      <c r="A241">
        <v>28256</v>
      </c>
      <c r="B241" s="14">
        <f t="shared" si="6"/>
        <v>0</v>
      </c>
      <c r="C241" s="14">
        <f t="shared" si="7"/>
        <v>1</v>
      </c>
    </row>
    <row r="242" spans="1:3" x14ac:dyDescent="0.25">
      <c r="A242">
        <v>28257</v>
      </c>
      <c r="B242" s="14">
        <f t="shared" si="6"/>
        <v>0</v>
      </c>
      <c r="C242" s="14">
        <f t="shared" si="7"/>
        <v>1</v>
      </c>
    </row>
    <row r="243" spans="1:3" x14ac:dyDescent="0.25">
      <c r="A243">
        <v>28258</v>
      </c>
      <c r="B243" s="14">
        <f t="shared" si="6"/>
        <v>0</v>
      </c>
      <c r="C243" s="14">
        <f t="shared" si="7"/>
        <v>1</v>
      </c>
    </row>
    <row r="244" spans="1:3" x14ac:dyDescent="0.25">
      <c r="A244">
        <v>28258</v>
      </c>
      <c r="B244" s="14">
        <f t="shared" si="6"/>
        <v>0</v>
      </c>
      <c r="C244" s="14">
        <f t="shared" si="7"/>
        <v>1</v>
      </c>
    </row>
    <row r="245" spans="1:3" x14ac:dyDescent="0.25">
      <c r="A245">
        <v>28259</v>
      </c>
      <c r="B245" s="14">
        <f t="shared" si="6"/>
        <v>0</v>
      </c>
      <c r="C245" s="14">
        <f t="shared" si="7"/>
        <v>1</v>
      </c>
    </row>
    <row r="246" spans="1:3" x14ac:dyDescent="0.25">
      <c r="A246">
        <v>28260</v>
      </c>
      <c r="B246" s="14">
        <f t="shared" si="6"/>
        <v>0</v>
      </c>
      <c r="C246" s="14">
        <f t="shared" si="7"/>
        <v>1</v>
      </c>
    </row>
    <row r="247" spans="1:3" x14ac:dyDescent="0.25">
      <c r="A247">
        <v>28260</v>
      </c>
      <c r="B247" s="14">
        <f t="shared" si="6"/>
        <v>0</v>
      </c>
      <c r="C247" s="14">
        <f t="shared" si="7"/>
        <v>1</v>
      </c>
    </row>
    <row r="248" spans="1:3" x14ac:dyDescent="0.25">
      <c r="A248">
        <v>28262</v>
      </c>
      <c r="B248" s="14">
        <f t="shared" si="6"/>
        <v>0</v>
      </c>
      <c r="C248" s="14">
        <f t="shared" si="7"/>
        <v>1</v>
      </c>
    </row>
    <row r="249" spans="1:3" x14ac:dyDescent="0.25">
      <c r="A249">
        <v>28274</v>
      </c>
      <c r="B249" s="14">
        <f t="shared" si="6"/>
        <v>0</v>
      </c>
      <c r="C249" s="14">
        <f t="shared" si="7"/>
        <v>1</v>
      </c>
    </row>
    <row r="250" spans="1:3" x14ac:dyDescent="0.25">
      <c r="A250">
        <v>28274</v>
      </c>
      <c r="B250" s="14">
        <f t="shared" si="6"/>
        <v>0</v>
      </c>
      <c r="C250" s="14">
        <f t="shared" si="7"/>
        <v>1</v>
      </c>
    </row>
    <row r="251" spans="1:3" x14ac:dyDescent="0.25">
      <c r="A251">
        <v>29651</v>
      </c>
      <c r="B251" s="14">
        <f t="shared" si="6"/>
        <v>0</v>
      </c>
      <c r="C251" s="14">
        <f t="shared" si="7"/>
        <v>1</v>
      </c>
    </row>
    <row r="252" spans="1:3" x14ac:dyDescent="0.25">
      <c r="A252">
        <v>29654</v>
      </c>
      <c r="B252" s="14">
        <f t="shared" si="6"/>
        <v>0</v>
      </c>
      <c r="C252" s="14">
        <f t="shared" si="7"/>
        <v>1</v>
      </c>
    </row>
    <row r="253" spans="1:3" x14ac:dyDescent="0.25">
      <c r="A253">
        <v>29655</v>
      </c>
      <c r="B253" s="14">
        <f t="shared" si="6"/>
        <v>0</v>
      </c>
      <c r="C253" s="14">
        <f t="shared" si="7"/>
        <v>1</v>
      </c>
    </row>
    <row r="254" spans="1:3" x14ac:dyDescent="0.25">
      <c r="A254">
        <v>29656</v>
      </c>
      <c r="B254" s="14">
        <f t="shared" si="6"/>
        <v>0</v>
      </c>
      <c r="C254" s="14">
        <f t="shared" si="7"/>
        <v>1</v>
      </c>
    </row>
    <row r="255" spans="1:3" x14ac:dyDescent="0.25">
      <c r="A255">
        <v>29656</v>
      </c>
      <c r="B255" s="14">
        <f t="shared" si="6"/>
        <v>0</v>
      </c>
      <c r="C255" s="14">
        <f t="shared" si="7"/>
        <v>1</v>
      </c>
    </row>
    <row r="256" spans="1:3" x14ac:dyDescent="0.25">
      <c r="A256">
        <v>29658</v>
      </c>
      <c r="B256" s="14">
        <f t="shared" si="6"/>
        <v>0</v>
      </c>
      <c r="C256" s="14">
        <f t="shared" si="7"/>
        <v>1</v>
      </c>
    </row>
    <row r="257" spans="1:3" x14ac:dyDescent="0.25">
      <c r="A257">
        <v>37525</v>
      </c>
      <c r="B257" s="14">
        <f t="shared" ref="B257:B282" si="8">COUNTIF(H:H,A257)</f>
        <v>0</v>
      </c>
      <c r="C257" s="14">
        <f t="shared" ref="C257:C282" si="9">COUNTIF(G:G,A257)</f>
        <v>1</v>
      </c>
    </row>
    <row r="258" spans="1:3" x14ac:dyDescent="0.25">
      <c r="A258">
        <v>55014</v>
      </c>
      <c r="B258" s="14">
        <f t="shared" si="8"/>
        <v>0</v>
      </c>
      <c r="C258" s="14">
        <f t="shared" si="9"/>
        <v>1</v>
      </c>
    </row>
    <row r="259" spans="1:3" x14ac:dyDescent="0.25">
      <c r="A259">
        <v>55014</v>
      </c>
      <c r="B259" s="14">
        <f t="shared" si="8"/>
        <v>0</v>
      </c>
      <c r="C259" s="14">
        <f t="shared" si="9"/>
        <v>1</v>
      </c>
    </row>
    <row r="260" spans="1:3" x14ac:dyDescent="0.25">
      <c r="A260">
        <v>55015</v>
      </c>
      <c r="B260" s="14">
        <f t="shared" si="8"/>
        <v>0</v>
      </c>
      <c r="C260" s="14">
        <f t="shared" si="9"/>
        <v>1</v>
      </c>
    </row>
    <row r="261" spans="1:3" x14ac:dyDescent="0.25">
      <c r="A261">
        <v>55016</v>
      </c>
      <c r="B261" s="14">
        <f t="shared" si="8"/>
        <v>0</v>
      </c>
      <c r="C261" s="14">
        <f t="shared" si="9"/>
        <v>1</v>
      </c>
    </row>
    <row r="262" spans="1:3" x14ac:dyDescent="0.25">
      <c r="A262">
        <v>55016</v>
      </c>
      <c r="B262" s="14">
        <f t="shared" si="8"/>
        <v>0</v>
      </c>
      <c r="C262" s="14">
        <f t="shared" si="9"/>
        <v>1</v>
      </c>
    </row>
    <row r="263" spans="1:3" x14ac:dyDescent="0.25">
      <c r="A263">
        <v>55017</v>
      </c>
      <c r="B263" s="14">
        <f t="shared" si="8"/>
        <v>0</v>
      </c>
      <c r="C263" s="14">
        <f t="shared" si="9"/>
        <v>1</v>
      </c>
    </row>
    <row r="264" spans="1:3" x14ac:dyDescent="0.25">
      <c r="A264">
        <v>55017</v>
      </c>
      <c r="B264" s="14">
        <f t="shared" si="8"/>
        <v>0</v>
      </c>
      <c r="C264" s="14">
        <f t="shared" si="9"/>
        <v>1</v>
      </c>
    </row>
    <row r="265" spans="1:3" x14ac:dyDescent="0.25">
      <c r="A265">
        <v>55018</v>
      </c>
      <c r="B265" s="14">
        <f t="shared" si="8"/>
        <v>0</v>
      </c>
      <c r="C265" s="14">
        <f t="shared" si="9"/>
        <v>1</v>
      </c>
    </row>
    <row r="266" spans="1:3" x14ac:dyDescent="0.25">
      <c r="A266">
        <v>55020</v>
      </c>
      <c r="B266" s="14">
        <f t="shared" si="8"/>
        <v>0</v>
      </c>
      <c r="C266" s="14">
        <f t="shared" si="9"/>
        <v>1</v>
      </c>
    </row>
    <row r="267" spans="1:3" x14ac:dyDescent="0.25">
      <c r="A267">
        <v>55021</v>
      </c>
      <c r="B267" s="14">
        <f t="shared" si="8"/>
        <v>0</v>
      </c>
      <c r="C267" s="14">
        <f t="shared" si="9"/>
        <v>1</v>
      </c>
    </row>
    <row r="268" spans="1:3" x14ac:dyDescent="0.25">
      <c r="A268">
        <v>55022</v>
      </c>
      <c r="B268" s="14">
        <f t="shared" si="8"/>
        <v>0</v>
      </c>
      <c r="C268" s="14">
        <f t="shared" si="9"/>
        <v>1</v>
      </c>
    </row>
    <row r="269" spans="1:3" x14ac:dyDescent="0.25">
      <c r="A269">
        <v>55023</v>
      </c>
      <c r="B269" s="14">
        <f t="shared" si="8"/>
        <v>0</v>
      </c>
      <c r="C269" s="14">
        <f t="shared" si="9"/>
        <v>1</v>
      </c>
    </row>
    <row r="270" spans="1:3" x14ac:dyDescent="0.25">
      <c r="A270">
        <v>55023</v>
      </c>
      <c r="B270" s="14">
        <f t="shared" si="8"/>
        <v>0</v>
      </c>
      <c r="C270" s="14">
        <f t="shared" si="9"/>
        <v>1</v>
      </c>
    </row>
    <row r="271" spans="1:3" x14ac:dyDescent="0.25">
      <c r="A271">
        <v>55024</v>
      </c>
      <c r="B271" s="14">
        <f t="shared" si="8"/>
        <v>0</v>
      </c>
      <c r="C271" s="14">
        <f t="shared" si="9"/>
        <v>1</v>
      </c>
    </row>
    <row r="272" spans="1:3" x14ac:dyDescent="0.25">
      <c r="A272">
        <v>55025</v>
      </c>
      <c r="B272" s="14">
        <f t="shared" si="8"/>
        <v>0</v>
      </c>
      <c r="C272" s="14">
        <f t="shared" si="9"/>
        <v>1</v>
      </c>
    </row>
    <row r="273" spans="1:3" x14ac:dyDescent="0.25">
      <c r="A273">
        <v>55026</v>
      </c>
      <c r="B273" s="14">
        <f t="shared" si="8"/>
        <v>0</v>
      </c>
      <c r="C273" s="14">
        <f t="shared" si="9"/>
        <v>1</v>
      </c>
    </row>
    <row r="274" spans="1:3" x14ac:dyDescent="0.25">
      <c r="A274">
        <v>55027</v>
      </c>
      <c r="B274" s="14">
        <f t="shared" si="8"/>
        <v>0</v>
      </c>
      <c r="C274" s="14">
        <f t="shared" si="9"/>
        <v>1</v>
      </c>
    </row>
    <row r="275" spans="1:3" x14ac:dyDescent="0.25">
      <c r="A275">
        <v>55028</v>
      </c>
      <c r="B275" s="14">
        <f t="shared" si="8"/>
        <v>0</v>
      </c>
      <c r="C275" s="14">
        <f t="shared" si="9"/>
        <v>1</v>
      </c>
    </row>
    <row r="276" spans="1:3" x14ac:dyDescent="0.25">
      <c r="A276">
        <v>55030</v>
      </c>
      <c r="B276" s="14">
        <f t="shared" si="8"/>
        <v>0</v>
      </c>
      <c r="C276" s="14">
        <f t="shared" si="9"/>
        <v>1</v>
      </c>
    </row>
    <row r="277" spans="1:3" x14ac:dyDescent="0.25">
      <c r="A277">
        <v>55030</v>
      </c>
      <c r="B277" s="14">
        <f t="shared" si="8"/>
        <v>0</v>
      </c>
      <c r="C277" s="14">
        <f t="shared" si="9"/>
        <v>1</v>
      </c>
    </row>
    <row r="278" spans="1:3" x14ac:dyDescent="0.25">
      <c r="A278">
        <v>55030</v>
      </c>
      <c r="B278" s="14">
        <f t="shared" si="8"/>
        <v>0</v>
      </c>
      <c r="C278" s="14">
        <f t="shared" si="9"/>
        <v>1</v>
      </c>
    </row>
    <row r="279" spans="1:3" x14ac:dyDescent="0.25">
      <c r="A279">
        <v>55031</v>
      </c>
      <c r="B279" s="14">
        <f t="shared" si="8"/>
        <v>0</v>
      </c>
      <c r="C279" s="14">
        <f t="shared" si="9"/>
        <v>1</v>
      </c>
    </row>
    <row r="280" spans="1:3" x14ac:dyDescent="0.25">
      <c r="A280">
        <v>55031</v>
      </c>
      <c r="B280" s="14">
        <f t="shared" si="8"/>
        <v>0</v>
      </c>
      <c r="C280" s="14">
        <f t="shared" si="9"/>
        <v>1</v>
      </c>
    </row>
    <row r="281" spans="1:3" x14ac:dyDescent="0.25">
      <c r="A281">
        <v>55032</v>
      </c>
      <c r="B281" s="14">
        <f t="shared" si="8"/>
        <v>0</v>
      </c>
      <c r="C281" s="14">
        <f t="shared" si="9"/>
        <v>1</v>
      </c>
    </row>
    <row r="282" spans="1:3" x14ac:dyDescent="0.25">
      <c r="A282">
        <v>55038</v>
      </c>
      <c r="B282" s="14">
        <f t="shared" si="8"/>
        <v>0</v>
      </c>
      <c r="C282" s="14">
        <f t="shared" si="9"/>
        <v>1</v>
      </c>
    </row>
  </sheetData>
  <sortState ref="A1:C282">
    <sortCondition ref="C1:C282"/>
    <sortCondition ref="B1:B282"/>
  </sortState>
  <hyperlinks>
    <hyperlink ref="G1" r:id="rId1" display="http://flystocks.bio.indiana.edu/Reports/28122.html"/>
    <hyperlink ref="G2" r:id="rId2" display="http://flystocks.bio.indiana.edu/Reports/28123.html"/>
    <hyperlink ref="G3" r:id="rId3" display="http://flystocks.bio.indiana.edu/Reports/28124.html"/>
    <hyperlink ref="G4" r:id="rId4" display="http://flystocks.bio.indiana.edu/Reports/55014.html"/>
    <hyperlink ref="G5" r:id="rId5" display="http://flystocks.bio.indiana.edu/Reports/55015.html"/>
    <hyperlink ref="G6" r:id="rId6" display="http://flystocks.bio.indiana.edu/Reports/28125.html"/>
    <hyperlink ref="G7" r:id="rId7" display="http://flystocks.bio.indiana.edu/Reports/29651.html"/>
    <hyperlink ref="G8" r:id="rId8" display="http://flystocks.bio.indiana.edu/Reports/28126.html"/>
    <hyperlink ref="G9" r:id="rId9" display="http://flystocks.bio.indiana.edu/Reports/28127.html"/>
    <hyperlink ref="G10" r:id="rId10" display="http://flystocks.bio.indiana.edu/Reports/28128.html"/>
    <hyperlink ref="G11" r:id="rId11" display="http://flystocks.bio.indiana.edu/Reports/55016.html"/>
    <hyperlink ref="G12" r:id="rId12" display="http://flystocks.bio.indiana.edu/Reports/29652.html"/>
    <hyperlink ref="G13" r:id="rId13" display="http://flystocks.bio.indiana.edu/Reports/28129.html"/>
    <hyperlink ref="G14" r:id="rId14" display="http://flystocks.bio.indiana.edu/Reports/28130.html"/>
    <hyperlink ref="G15" r:id="rId15" display="http://flystocks.bio.indiana.edu/Reports/28131.html"/>
    <hyperlink ref="G16" r:id="rId16" display="http://flystocks.bio.indiana.edu/Reports/28132.html"/>
    <hyperlink ref="G17" r:id="rId17" display="http://flystocks.bio.indiana.edu/Reports/28134.html"/>
    <hyperlink ref="G18" r:id="rId18" display="http://flystocks.bio.indiana.edu/Reports/28274.html"/>
    <hyperlink ref="G19" r:id="rId19" display="http://flystocks.bio.indiana.edu/Reports/28135.html"/>
    <hyperlink ref="G20" r:id="rId20" display="http://flystocks.bio.indiana.edu/Reports/28136.html"/>
    <hyperlink ref="G21" r:id="rId21" display="http://flystocks.bio.indiana.edu/Reports/28137.html"/>
    <hyperlink ref="G22" r:id="rId22" display="http://flystocks.bio.indiana.edu/Reports/55017.html"/>
    <hyperlink ref="G23" r:id="rId23" display="http://flystocks.bio.indiana.edu/Reports/28138.html"/>
    <hyperlink ref="G24" r:id="rId24" display="http://flystocks.bio.indiana.edu/Reports/28139.html"/>
    <hyperlink ref="G25" r:id="rId25" display="http://flystocks.bio.indiana.edu/Reports/28140.html"/>
    <hyperlink ref="G26" r:id="rId26" display="http://flystocks.bio.indiana.edu/Reports/28141.html"/>
    <hyperlink ref="G27" r:id="rId27" display="http://flystocks.bio.indiana.edu/Reports/28142.html"/>
    <hyperlink ref="G28" r:id="rId28" display="http://flystocks.bio.indiana.edu/Reports/28143.html"/>
    <hyperlink ref="G29" r:id="rId29" display="http://flystocks.bio.indiana.edu/Reports/28144.html"/>
    <hyperlink ref="G30" r:id="rId30" display="http://flystocks.bio.indiana.edu/Reports/28145.html"/>
    <hyperlink ref="G31" r:id="rId31" display="http://flystocks.bio.indiana.edu/Reports/28146.html"/>
    <hyperlink ref="G32" r:id="rId32" display="http://flystocks.bio.indiana.edu/Reports/28147.html"/>
    <hyperlink ref="G33" r:id="rId33" display="http://flystocks.bio.indiana.edu/Reports/28148.html"/>
    <hyperlink ref="G34" r:id="rId34" display="http://flystocks.bio.indiana.edu/Reports/28149.html"/>
    <hyperlink ref="G35" r:id="rId35" display="http://flystocks.bio.indiana.edu/Reports/28150.html"/>
    <hyperlink ref="G36" r:id="rId36" display="http://flystocks.bio.indiana.edu/Reports/28151.html"/>
    <hyperlink ref="G37" r:id="rId37" display="http://flystocks.bio.indiana.edu/Reports/28152.html"/>
    <hyperlink ref="G38" r:id="rId38" display="http://flystocks.bio.indiana.edu/Reports/28153.html"/>
    <hyperlink ref="G39" r:id="rId39" display="http://flystocks.bio.indiana.edu/Reports/25174.html"/>
    <hyperlink ref="G40" r:id="rId40" display="http://flystocks.bio.indiana.edu/Reports/28154.html"/>
    <hyperlink ref="G41" r:id="rId41" display="http://flystocks.bio.indiana.edu/Reports/28155.html"/>
    <hyperlink ref="G42" r:id="rId42" display="http://flystocks.bio.indiana.edu/Reports/28156.html"/>
    <hyperlink ref="G43" r:id="rId43" display="http://flystocks.bio.indiana.edu/Reports/28157.html"/>
    <hyperlink ref="G44" r:id="rId44" display="http://flystocks.bio.indiana.edu/Reports/29653.html"/>
    <hyperlink ref="G45" r:id="rId45" display="http://flystocks.bio.indiana.edu/Reports/28159.html"/>
    <hyperlink ref="G46" r:id="rId46" display="http://flystocks.bio.indiana.edu/Reports/28275.html"/>
    <hyperlink ref="G47" r:id="rId47" display="http://flystocks.bio.indiana.edu/Reports/28160.html"/>
    <hyperlink ref="G48" r:id="rId48" display="http://flystocks.bio.indiana.edu/Reports/28161.html"/>
    <hyperlink ref="G49" r:id="rId49" display="http://flystocks.bio.indiana.edu/Reports/28162.html"/>
    <hyperlink ref="G50" r:id="rId50" display="http://flystocks.bio.indiana.edu/Reports/28164.html"/>
    <hyperlink ref="G51" r:id="rId51" display="http://flystocks.bio.indiana.edu/Reports/28165.html"/>
    <hyperlink ref="G52" r:id="rId52" display="http://flystocks.bio.indiana.edu/Reports/25175.html"/>
    <hyperlink ref="G53" r:id="rId53" display="http://flystocks.bio.indiana.edu/Reports/25176.html"/>
    <hyperlink ref="G54" r:id="rId54" display="http://flystocks.bio.indiana.edu/Reports/25177.html"/>
    <hyperlink ref="G55" r:id="rId55" display="http://flystocks.bio.indiana.edu/Reports/37525.html"/>
    <hyperlink ref="G56" r:id="rId56" display="http://flystocks.bio.indiana.edu/Reports/25179.html"/>
    <hyperlink ref="G57" r:id="rId57" display="http://flystocks.bio.indiana.edu/Reports/28166.html"/>
    <hyperlink ref="G58" r:id="rId58" display="http://flystocks.bio.indiana.edu/Reports/28276.html"/>
    <hyperlink ref="G59" r:id="rId59" display="http://flystocks.bio.indiana.edu/Reports/25180.html"/>
    <hyperlink ref="G60" r:id="rId60" display="http://flystocks.bio.indiana.edu/Reports/25181.html"/>
    <hyperlink ref="G61" r:id="rId61" display="http://flystocks.bio.indiana.edu/Reports/28167.html"/>
    <hyperlink ref="G62" r:id="rId62" display="http://flystocks.bio.indiana.edu/Reports/28168.html"/>
    <hyperlink ref="G63" r:id="rId63" display="http://flystocks.bio.indiana.edu/Reports/55018.html"/>
    <hyperlink ref="G64" r:id="rId64" display="http://flystocks.bio.indiana.edu/Reports/29654.html"/>
    <hyperlink ref="G65" r:id="rId65" display="http://flystocks.bio.indiana.edu/Reports/29655.html"/>
    <hyperlink ref="G66" r:id="rId66" display="http://flystocks.bio.indiana.edu/Reports/25182.html"/>
    <hyperlink ref="G67" r:id="rId67" display="http://flystocks.bio.indiana.edu/Reports/28171.html"/>
    <hyperlink ref="G68" r:id="rId68" display="http://flystocks.bio.indiana.edu/Reports/25183.html"/>
    <hyperlink ref="G69" r:id="rId69" display="http://flystocks.bio.indiana.edu/Reports/28172.html"/>
    <hyperlink ref="G70" r:id="rId70" display="http://flystocks.bio.indiana.edu/Reports/28173.html"/>
    <hyperlink ref="G71" r:id="rId71" display="http://flystocks.bio.indiana.edu/Reports/28174.html"/>
    <hyperlink ref="G72" r:id="rId72" display="http://flystocks.bio.indiana.edu/Reports/55019.html"/>
    <hyperlink ref="G73" r:id="rId73" display="http://flystocks.bio.indiana.edu/Reports/28176.html"/>
    <hyperlink ref="G74" r:id="rId74" display="http://flystocks.bio.indiana.edu/Reports/28177.html"/>
    <hyperlink ref="G75" r:id="rId75" display="http://flystocks.bio.indiana.edu/Reports/55020.html"/>
    <hyperlink ref="G76" r:id="rId76" display="http://flystocks.bio.indiana.edu/Reports/55038.html"/>
    <hyperlink ref="G77" r:id="rId77" display="http://flystocks.bio.indiana.edu/Reports/28178.html"/>
    <hyperlink ref="G78" r:id="rId78" display="http://flystocks.bio.indiana.edu/Reports/25184.html"/>
    <hyperlink ref="G79" r:id="rId79" display="http://flystocks.bio.indiana.edu/Reports/25185.html"/>
    <hyperlink ref="G80" r:id="rId80" display="http://flystocks.bio.indiana.edu/Reports/28179.html"/>
    <hyperlink ref="G81" r:id="rId81" display="http://flystocks.bio.indiana.edu/Reports/25186.html"/>
    <hyperlink ref="G82" r:id="rId82" display="http://flystocks.bio.indiana.edu/Reports/28180.html"/>
    <hyperlink ref="G83" r:id="rId83" display="http://flystocks.bio.indiana.edu/Reports/25187.html"/>
    <hyperlink ref="G84" r:id="rId84" display="http://flystocks.bio.indiana.edu/Reports/25445.html"/>
    <hyperlink ref="G85" r:id="rId85" display="http://flystocks.bio.indiana.edu/Reports/28181.html"/>
    <hyperlink ref="G86" r:id="rId86" display="http://flystocks.bio.indiana.edu/Reports/28182.html"/>
    <hyperlink ref="G87" r:id="rId87" display="http://flystocks.bio.indiana.edu/Reports/28183.html"/>
    <hyperlink ref="G88" r:id="rId88" display="http://flystocks.bio.indiana.edu/Reports/28184.html"/>
    <hyperlink ref="G89" r:id="rId89" display="http://flystocks.bio.indiana.edu/Reports/28185.html"/>
    <hyperlink ref="G90" r:id="rId90" display="http://flystocks.bio.indiana.edu/Reports/25188.html"/>
    <hyperlink ref="G91" r:id="rId91" display="http://flystocks.bio.indiana.edu/Reports/28186.html"/>
    <hyperlink ref="G92" r:id="rId92" display="http://flystocks.bio.indiana.edu/Reports/25189.html"/>
    <hyperlink ref="G93" r:id="rId93" display="http://flystocks.bio.indiana.edu/Reports/25190.html"/>
    <hyperlink ref="G94" r:id="rId94" display="http://flystocks.bio.indiana.edu/Reports/28188.html"/>
    <hyperlink ref="G95" r:id="rId95" display="http://flystocks.bio.indiana.edu/Reports/28189.html"/>
    <hyperlink ref="G96" r:id="rId96" display="http://flystocks.bio.indiana.edu/Reports/28190.html"/>
    <hyperlink ref="G97" r:id="rId97" display="http://flystocks.bio.indiana.edu/Reports/28191.html"/>
    <hyperlink ref="G98" r:id="rId98" display="http://flystocks.bio.indiana.edu/Reports/28192.html"/>
    <hyperlink ref="G99" r:id="rId99" display="http://flystocks.bio.indiana.edu/Reports/55021.html"/>
    <hyperlink ref="G100" r:id="rId100" display="http://flystocks.bio.indiana.edu/Reports/25191.html"/>
    <hyperlink ref="G101" r:id="rId101" display="http://flystocks.bio.indiana.edu/Reports/28194.html"/>
    <hyperlink ref="G102" r:id="rId102" display="http://flystocks.bio.indiana.edu/Reports/55022.html"/>
    <hyperlink ref="G103" r:id="rId103" display="http://flystocks.bio.indiana.edu/Reports/55023.html"/>
    <hyperlink ref="G104" r:id="rId104" display="http://flystocks.bio.indiana.edu/Reports/25192.html"/>
    <hyperlink ref="G105" r:id="rId105" display="http://flystocks.bio.indiana.edu/Reports/29656.html"/>
    <hyperlink ref="G106" r:id="rId106" display="http://flystocks.bio.indiana.edu/Reports/29657.html"/>
    <hyperlink ref="G107" r:id="rId107" display="http://flystocks.bio.indiana.edu/Reports/28278.html"/>
    <hyperlink ref="G108" r:id="rId108" display="http://flystocks.bio.indiana.edu/Reports/28196.html"/>
    <hyperlink ref="G109" r:id="rId109" display="http://flystocks.bio.indiana.edu/Reports/25193.html"/>
    <hyperlink ref="G110" r:id="rId110" display="http://flystocks.bio.indiana.edu/Reports/25194.html"/>
    <hyperlink ref="G111" r:id="rId111" display="http://flystocks.bio.indiana.edu/Reports/29658.html"/>
    <hyperlink ref="G112" r:id="rId112" display="http://flystocks.bio.indiana.edu/Reports/28197.html"/>
    <hyperlink ref="G113" r:id="rId113" display="http://flystocks.bio.indiana.edu/Reports/28198.html"/>
    <hyperlink ref="G114" r:id="rId114" display="http://flystocks.bio.indiana.edu/Reports/28199.html"/>
    <hyperlink ref="G115" r:id="rId115" display="http://flystocks.bio.indiana.edu/Reports/28200.html"/>
    <hyperlink ref="G116" r:id="rId116" display="http://flystocks.bio.indiana.edu/Reports/25195.html"/>
    <hyperlink ref="G117" r:id="rId117" display="http://flystocks.bio.indiana.edu/Reports/28202.html"/>
    <hyperlink ref="G118" r:id="rId118" display="http://flystocks.bio.indiana.edu/Reports/28203.html"/>
    <hyperlink ref="G119" r:id="rId119" display="http://flystocks.bio.indiana.edu/Reports/28204.html"/>
    <hyperlink ref="G120" r:id="rId120" display="http://flystocks.bio.indiana.edu/Reports/55024.html"/>
    <hyperlink ref="G121" r:id="rId121" display="http://flystocks.bio.indiana.edu/Reports/28205.html"/>
    <hyperlink ref="G122" r:id="rId122" display="http://flystocks.bio.indiana.edu/Reports/28206.html"/>
    <hyperlink ref="G123" r:id="rId123" display="http://flystocks.bio.indiana.edu/Reports/29659.html"/>
    <hyperlink ref="G124" r:id="rId124" display="http://flystocks.bio.indiana.edu/Reports/25197.html"/>
    <hyperlink ref="G125" r:id="rId125" display="http://flystocks.bio.indiana.edu/Reports/55025.html"/>
    <hyperlink ref="G126" r:id="rId126" display="http://flystocks.bio.indiana.edu/Reports/29660.html"/>
    <hyperlink ref="G127" r:id="rId127" display="http://flystocks.bio.indiana.edu/Reports/28207.html"/>
    <hyperlink ref="G128" r:id="rId128" display="http://flystocks.bio.indiana.edu/Reports/28208.html"/>
    <hyperlink ref="G129" r:id="rId129" display="http://flystocks.bio.indiana.edu/Reports/55026.html"/>
    <hyperlink ref="G130" r:id="rId130" display="http://flystocks.bio.indiana.edu/Reports/25198.html"/>
    <hyperlink ref="G131" r:id="rId131" display="http://flystocks.bio.indiana.edu/Reports/55027.html"/>
    <hyperlink ref="G132" r:id="rId132" display="http://flystocks.bio.indiana.edu/Reports/28211.html"/>
    <hyperlink ref="G133" r:id="rId133" display="http://flystocks.bio.indiana.edu/Reports/55028.html"/>
    <hyperlink ref="G134" r:id="rId134" display="http://flystocks.bio.indiana.edu/Reports/28212.html"/>
    <hyperlink ref="G135" r:id="rId135" display="http://flystocks.bio.indiana.edu/Reports/28213.html"/>
    <hyperlink ref="G136" r:id="rId136" display="http://flystocks.bio.indiana.edu/Reports/28215.html"/>
    <hyperlink ref="G137" r:id="rId137" display="http://flystocks.bio.indiana.edu/Reports/55029.html"/>
    <hyperlink ref="G138" r:id="rId138" display="http://flystocks.bio.indiana.edu/Reports/55030.html"/>
    <hyperlink ref="G139" r:id="rId139" display="http://flystocks.bio.indiana.edu/Reports/55031.html"/>
    <hyperlink ref="G140" r:id="rId140" display="http://flystocks.bio.indiana.edu/Reports/55032.html"/>
    <hyperlink ref="G141" r:id="rId141" display="http://flystocks.bio.indiana.edu/Reports/25199.html"/>
    <hyperlink ref="G142" r:id="rId142" display="http://flystocks.bio.indiana.edu/Reports/28217.html"/>
    <hyperlink ref="G143" r:id="rId143" display="http://flystocks.bio.indiana.edu/Reports/28218.html"/>
    <hyperlink ref="G144" r:id="rId144" display="http://flystocks.bio.indiana.edu/Reports/25744.html"/>
    <hyperlink ref="G145" r:id="rId145" display="http://flystocks.bio.indiana.edu/Reports/25200.html"/>
    <hyperlink ref="G146" r:id="rId146" display="http://flystocks.bio.indiana.edu/Reports/25201.html"/>
    <hyperlink ref="G147" r:id="rId147" display="http://flystocks.bio.indiana.edu/Reports/25745.html"/>
    <hyperlink ref="G148" r:id="rId148" display="http://flystocks.bio.indiana.edu/Reports/28219.html"/>
    <hyperlink ref="G149" r:id="rId149" display="http://flystocks.bio.indiana.edu/Reports/28220.html"/>
    <hyperlink ref="G150" r:id="rId150" display="http://flystocks.bio.indiana.edu/Reports/28221.html"/>
    <hyperlink ref="G151" r:id="rId151" display="http://flystocks.bio.indiana.edu/Reports/25202.html"/>
    <hyperlink ref="G152" r:id="rId152" display="http://flystocks.bio.indiana.edu/Reports/25203.html"/>
    <hyperlink ref="G153" r:id="rId153" display="http://flystocks.bio.indiana.edu/Reports/28222.html"/>
    <hyperlink ref="G154" r:id="rId154" display="http://flystocks.bio.indiana.edu/Reports/28223.html"/>
    <hyperlink ref="G155" r:id="rId155" display="http://flystocks.bio.indiana.edu/Reports/28224.html"/>
    <hyperlink ref="G156" r:id="rId156" display="http://flystocks.bio.indiana.edu/Reports/28226.html"/>
    <hyperlink ref="G157" r:id="rId157" display="http://flystocks.bio.indiana.edu/Reports/28227.html"/>
    <hyperlink ref="G158" r:id="rId158" display="http://flystocks.bio.indiana.edu/Reports/25204.html"/>
    <hyperlink ref="G159" r:id="rId159" display="http://flystocks.bio.indiana.edu/Reports/25205.html"/>
    <hyperlink ref="G160" r:id="rId160" display="http://flystocks.bio.indiana.edu/Reports/28229.html"/>
    <hyperlink ref="G161" r:id="rId161" display="http://flystocks.bio.indiana.edu/Reports/28230.html"/>
    <hyperlink ref="G162" r:id="rId162" display="http://flystocks.bio.indiana.edu/Reports/25206.html"/>
    <hyperlink ref="G163" r:id="rId163" display="http://flystocks.bio.indiana.edu/Reports/28231.html"/>
    <hyperlink ref="G164" r:id="rId164" display="http://flystocks.bio.indiana.edu/Reports/28232.html"/>
    <hyperlink ref="G165" r:id="rId165" display="http://flystocks.bio.indiana.edu/Reports/28233.html"/>
    <hyperlink ref="G166" r:id="rId166" display="http://flystocks.bio.indiana.edu/Reports/25207.html"/>
    <hyperlink ref="G167" r:id="rId167" display="http://flystocks.bio.indiana.edu/Reports/28234.html"/>
    <hyperlink ref="G168" r:id="rId168" display="http://flystocks.bio.indiana.edu/Reports/28235.html"/>
    <hyperlink ref="G169" r:id="rId169" display="http://flystocks.bio.indiana.edu/Reports/28236.html"/>
    <hyperlink ref="G170" r:id="rId170" display="http://flystocks.bio.indiana.edu/Reports/28237.html"/>
    <hyperlink ref="G171" r:id="rId171" display="http://flystocks.bio.indiana.edu/Reports/28238.html"/>
    <hyperlink ref="G172" r:id="rId172" display="http://flystocks.bio.indiana.edu/Reports/28239.html"/>
    <hyperlink ref="G173" r:id="rId173" display="http://flystocks.bio.indiana.edu/Reports/28240.html"/>
    <hyperlink ref="G174" r:id="rId174" display="http://flystocks.bio.indiana.edu/Reports/28241.html"/>
    <hyperlink ref="G175" r:id="rId175" display="http://flystocks.bio.indiana.edu/Reports/28242.html"/>
    <hyperlink ref="G176" r:id="rId176" display="http://flystocks.bio.indiana.edu/Reports/25208.html"/>
    <hyperlink ref="G177" r:id="rId177" display="http://flystocks.bio.indiana.edu/Reports/28243.html"/>
    <hyperlink ref="G178" r:id="rId178" display="http://flystocks.bio.indiana.edu/Reports/28244.html"/>
    <hyperlink ref="G179" r:id="rId179" display="http://flystocks.bio.indiana.edu/Reports/28245.html"/>
    <hyperlink ref="G180" r:id="rId180" display="http://flystocks.bio.indiana.edu/Reports/28246.html"/>
    <hyperlink ref="G181" r:id="rId181" display="http://flystocks.bio.indiana.edu/Reports/28247.html"/>
    <hyperlink ref="G182" r:id="rId182" display="http://flystocks.bio.indiana.edu/Reports/28248.html"/>
    <hyperlink ref="G183" r:id="rId183" display="http://flystocks.bio.indiana.edu/Reports/28249.html"/>
    <hyperlink ref="G184" r:id="rId184" display="http://flystocks.bio.indiana.edu/Reports/25209.html"/>
    <hyperlink ref="G185" r:id="rId185" display="http://flystocks.bio.indiana.edu/Reports/28250.html"/>
    <hyperlink ref="G186" r:id="rId186" display="http://flystocks.bio.indiana.edu/Reports/28251.html"/>
    <hyperlink ref="G187" r:id="rId187" display="http://flystocks.bio.indiana.edu/Reports/28252.html"/>
    <hyperlink ref="G188" r:id="rId188" display="http://flystocks.bio.indiana.edu/Reports/25210.html"/>
    <hyperlink ref="G189" r:id="rId189" display="http://flystocks.bio.indiana.edu/Reports/28253.html"/>
    <hyperlink ref="G190" r:id="rId190" display="http://flystocks.bio.indiana.edu/Reports/28254.html"/>
    <hyperlink ref="G191" r:id="rId191" display="http://flystocks.bio.indiana.edu/Reports/28255.html"/>
    <hyperlink ref="G192" r:id="rId192" display="http://flystocks.bio.indiana.edu/Reports/28256.html"/>
    <hyperlink ref="G193" r:id="rId193" display="http://flystocks.bio.indiana.edu/Reports/28279.html"/>
    <hyperlink ref="G194" r:id="rId194" display="http://flystocks.bio.indiana.edu/Reports/28257.html"/>
    <hyperlink ref="G195" r:id="rId195" display="http://flystocks.bio.indiana.edu/Reports/28258.html"/>
    <hyperlink ref="G196" r:id="rId196" display="http://flystocks.bio.indiana.edu/Reports/28259.html"/>
    <hyperlink ref="G197" r:id="rId197" display="http://flystocks.bio.indiana.edu/Reports/28260.html"/>
    <hyperlink ref="G198" r:id="rId198" display="http://flystocks.bio.indiana.edu/Reports/28261.html"/>
    <hyperlink ref="G199" r:id="rId199" display="http://flystocks.bio.indiana.edu/Reports/28262.html"/>
    <hyperlink ref="G200" r:id="rId200" display="http://flystocks.bio.indiana.edu/Reports/28263.html"/>
    <hyperlink ref="G201" r:id="rId201" display="http://flystocks.bio.indiana.edu/Reports/28264.html"/>
    <hyperlink ref="G202" r:id="rId202" display="http://flystocks.bio.indiana.edu/Reports/28265.html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5"/>
  <sheetViews>
    <sheetView workbookViewId="0">
      <selection activeCell="N1" sqref="N1:N47"/>
    </sheetView>
  </sheetViews>
  <sheetFormatPr defaultColWidth="12.28515625" defaultRowHeight="15" x14ac:dyDescent="0.25"/>
  <cols>
    <col min="1" max="3" width="9.140625" style="14"/>
    <col min="4" max="5" width="12.28515625" style="42"/>
    <col min="6" max="6" width="16.42578125" style="42" bestFit="1" customWidth="1"/>
    <col min="7" max="8" width="12.28515625" style="42"/>
    <col min="9" max="10" width="16.42578125" style="42" bestFit="1" customWidth="1"/>
    <col min="11" max="13" width="12.28515625" style="42"/>
    <col min="14" max="14" width="12.42578125" style="42" customWidth="1"/>
    <col min="15" max="15" width="12.28515625" style="14"/>
    <col min="16" max="16384" width="12.28515625" style="42"/>
  </cols>
  <sheetData>
    <row r="1" spans="1:14" x14ac:dyDescent="0.25">
      <c r="A1" s="21">
        <v>730</v>
      </c>
      <c r="B1" s="25">
        <v>0.1877603748271455</v>
      </c>
      <c r="C1" s="25">
        <v>0.1039381921656387</v>
      </c>
      <c r="D1" s="42">
        <f>IF(COUNTIF(N:N,#REF!),2,IF(COUNTIF(O:O,#REF!),1,0))</f>
        <v>0</v>
      </c>
      <c r="F1" s="42">
        <f>IF(D1=0,B1,0)</f>
        <v>0.1877603748271455</v>
      </c>
      <c r="G1" s="42">
        <f>IF(D1=1,B1,0)</f>
        <v>0</v>
      </c>
      <c r="H1" s="42">
        <f>IF(D1=2,B1,0)</f>
        <v>0</v>
      </c>
      <c r="I1" s="42">
        <f>IF(D1=0,C1,0)</f>
        <v>0.1039381921656387</v>
      </c>
      <c r="J1" s="42">
        <f>IF(D1=1,C1,0)</f>
        <v>0</v>
      </c>
      <c r="K1" s="42">
        <f>IF(D1=2,C1,0)</f>
        <v>0</v>
      </c>
      <c r="N1" s="14">
        <v>21</v>
      </c>
    </row>
    <row r="2" spans="1:14" x14ac:dyDescent="0.25">
      <c r="A2" s="29">
        <v>303</v>
      </c>
      <c r="B2" s="25">
        <v>0.31060779677775502</v>
      </c>
      <c r="C2" s="25">
        <v>4.3123053843080961E-2</v>
      </c>
      <c r="D2" s="42">
        <f t="shared" ref="D2:D33" si="0">IF(COUNTIF(N:N,A1),2,IF(COUNTIF(O:O,A1),1,0))</f>
        <v>0</v>
      </c>
      <c r="F2" s="42">
        <f t="shared" ref="F2:F65" si="1">IF(D2=0,B2,0)</f>
        <v>0.31060779677775502</v>
      </c>
      <c r="G2" s="42">
        <f t="shared" ref="G2:G65" si="2">IF(D2=1,B2,0)</f>
        <v>0</v>
      </c>
      <c r="H2" s="42">
        <f t="shared" ref="H2:H65" si="3">IF(D2=2,B2,0)</f>
        <v>0</v>
      </c>
      <c r="I2" s="42">
        <f t="shared" ref="I2:I65" si="4">IF(D2=0,C2,0)</f>
        <v>4.3123053843080961E-2</v>
      </c>
      <c r="J2" s="42">
        <f t="shared" ref="J2:J65" si="5">IF(D2=1,C2,0)</f>
        <v>0</v>
      </c>
      <c r="K2" s="42">
        <f t="shared" ref="K2:K65" si="6">IF(D2=2,C2,0)</f>
        <v>0</v>
      </c>
      <c r="N2" s="14">
        <v>28</v>
      </c>
    </row>
    <row r="3" spans="1:14" x14ac:dyDescent="0.25">
      <c r="A3" s="21">
        <v>528</v>
      </c>
      <c r="B3" s="25">
        <v>0.33294242843270988</v>
      </c>
      <c r="C3" s="25">
        <v>6.6454542887607868E-2</v>
      </c>
      <c r="D3" s="42">
        <f t="shared" si="0"/>
        <v>0</v>
      </c>
      <c r="F3" s="42">
        <f t="shared" si="1"/>
        <v>0.33294242843270988</v>
      </c>
      <c r="G3" s="42">
        <f t="shared" si="2"/>
        <v>0</v>
      </c>
      <c r="H3" s="42">
        <f t="shared" si="3"/>
        <v>0</v>
      </c>
      <c r="I3" s="42">
        <f t="shared" si="4"/>
        <v>6.6454542887607868E-2</v>
      </c>
      <c r="J3" s="42">
        <f t="shared" si="5"/>
        <v>0</v>
      </c>
      <c r="K3" s="42">
        <f t="shared" si="6"/>
        <v>0</v>
      </c>
      <c r="N3" s="14">
        <v>40</v>
      </c>
    </row>
    <row r="4" spans="1:14" x14ac:dyDescent="0.25">
      <c r="A4" s="21">
        <v>379</v>
      </c>
      <c r="B4" s="25">
        <v>0.33341764578370747</v>
      </c>
      <c r="C4" s="25">
        <v>5.0859339934522692E-2</v>
      </c>
      <c r="D4" s="42">
        <f t="shared" si="0"/>
        <v>1</v>
      </c>
      <c r="F4" s="42">
        <f t="shared" si="1"/>
        <v>0</v>
      </c>
      <c r="G4" s="42">
        <f t="shared" si="2"/>
        <v>0.33341764578370747</v>
      </c>
      <c r="H4" s="42">
        <f t="shared" si="3"/>
        <v>0</v>
      </c>
      <c r="I4" s="42">
        <f t="shared" si="4"/>
        <v>0</v>
      </c>
      <c r="J4" s="42">
        <f t="shared" si="5"/>
        <v>5.0859339934522692E-2</v>
      </c>
      <c r="K4" s="42">
        <f t="shared" si="6"/>
        <v>0</v>
      </c>
      <c r="N4" s="14">
        <v>42</v>
      </c>
    </row>
    <row r="5" spans="1:14" x14ac:dyDescent="0.25">
      <c r="A5" s="23">
        <v>177</v>
      </c>
      <c r="B5" s="24">
        <v>0.34354242857142853</v>
      </c>
      <c r="C5" s="24">
        <v>3.284668535716169E-2</v>
      </c>
      <c r="D5" s="42">
        <f t="shared" si="0"/>
        <v>0</v>
      </c>
      <c r="F5" s="42">
        <f t="shared" si="1"/>
        <v>0.34354242857142853</v>
      </c>
      <c r="G5" s="42">
        <f t="shared" si="2"/>
        <v>0</v>
      </c>
      <c r="H5" s="42">
        <f t="shared" si="3"/>
        <v>0</v>
      </c>
      <c r="I5" s="42">
        <f t="shared" si="4"/>
        <v>3.284668535716169E-2</v>
      </c>
      <c r="J5" s="42">
        <f t="shared" si="5"/>
        <v>0</v>
      </c>
      <c r="K5" s="42">
        <f t="shared" si="6"/>
        <v>0</v>
      </c>
      <c r="N5" s="14">
        <v>45</v>
      </c>
    </row>
    <row r="6" spans="1:14" x14ac:dyDescent="0.25">
      <c r="A6" s="23">
        <v>158</v>
      </c>
      <c r="B6" s="24">
        <v>0.34385203602449338</v>
      </c>
      <c r="C6" s="24">
        <v>4.4831626096382519E-2</v>
      </c>
      <c r="D6" s="42">
        <f t="shared" si="0"/>
        <v>1</v>
      </c>
      <c r="F6" s="42">
        <f t="shared" si="1"/>
        <v>0</v>
      </c>
      <c r="G6" s="42">
        <f t="shared" si="2"/>
        <v>0.34385203602449338</v>
      </c>
      <c r="H6" s="42">
        <f t="shared" si="3"/>
        <v>0</v>
      </c>
      <c r="I6" s="42">
        <f t="shared" si="4"/>
        <v>0</v>
      </c>
      <c r="J6" s="42">
        <f t="shared" si="5"/>
        <v>4.4831626096382519E-2</v>
      </c>
      <c r="K6" s="42">
        <f t="shared" si="6"/>
        <v>0</v>
      </c>
      <c r="N6" s="14">
        <v>49</v>
      </c>
    </row>
    <row r="7" spans="1:14" x14ac:dyDescent="0.25">
      <c r="A7" s="23">
        <v>894</v>
      </c>
      <c r="B7" s="24">
        <v>0.35194382780214845</v>
      </c>
      <c r="C7" s="24">
        <v>7.0169675693342703E-2</v>
      </c>
      <c r="D7" s="42">
        <f t="shared" si="0"/>
        <v>0</v>
      </c>
      <c r="F7" s="42">
        <f t="shared" si="1"/>
        <v>0.35194382780214845</v>
      </c>
      <c r="G7" s="42">
        <f t="shared" si="2"/>
        <v>0</v>
      </c>
      <c r="H7" s="42">
        <f t="shared" si="3"/>
        <v>0</v>
      </c>
      <c r="I7" s="42">
        <f t="shared" si="4"/>
        <v>7.0169675693342703E-2</v>
      </c>
      <c r="J7" s="42">
        <f t="shared" si="5"/>
        <v>0</v>
      </c>
      <c r="K7" s="42">
        <f t="shared" si="6"/>
        <v>0</v>
      </c>
      <c r="N7" s="14">
        <v>57</v>
      </c>
    </row>
    <row r="8" spans="1:14" x14ac:dyDescent="0.25">
      <c r="A8" s="21">
        <v>397</v>
      </c>
      <c r="B8" s="25">
        <v>0.39745601572479916</v>
      </c>
      <c r="C8" s="25">
        <v>0.10283928971447147</v>
      </c>
      <c r="D8" s="42">
        <f t="shared" si="0"/>
        <v>0</v>
      </c>
      <c r="F8" s="42">
        <f t="shared" si="1"/>
        <v>0.39745601572479916</v>
      </c>
      <c r="G8" s="42">
        <f t="shared" si="2"/>
        <v>0</v>
      </c>
      <c r="H8" s="42">
        <f t="shared" si="3"/>
        <v>0</v>
      </c>
      <c r="I8" s="42">
        <f t="shared" si="4"/>
        <v>0.10283928971447147</v>
      </c>
      <c r="J8" s="42">
        <f t="shared" si="5"/>
        <v>0</v>
      </c>
      <c r="K8" s="42">
        <f t="shared" si="6"/>
        <v>0</v>
      </c>
      <c r="N8" s="14">
        <v>75</v>
      </c>
    </row>
    <row r="9" spans="1:14" x14ac:dyDescent="0.25">
      <c r="A9" s="21">
        <v>395</v>
      </c>
      <c r="B9" s="25">
        <v>0.39867268422569108</v>
      </c>
      <c r="C9" s="25">
        <v>6.3821935737652769E-2</v>
      </c>
      <c r="D9" s="42">
        <f t="shared" si="0"/>
        <v>1</v>
      </c>
      <c r="F9" s="42">
        <f t="shared" si="1"/>
        <v>0</v>
      </c>
      <c r="G9" s="42">
        <f t="shared" si="2"/>
        <v>0.39867268422569108</v>
      </c>
      <c r="H9" s="42">
        <f t="shared" si="3"/>
        <v>0</v>
      </c>
      <c r="I9" s="42">
        <f t="shared" si="4"/>
        <v>0</v>
      </c>
      <c r="J9" s="42">
        <f t="shared" si="5"/>
        <v>6.3821935737652769E-2</v>
      </c>
      <c r="K9" s="42">
        <f t="shared" si="6"/>
        <v>0</v>
      </c>
      <c r="N9" s="14">
        <v>83</v>
      </c>
    </row>
    <row r="10" spans="1:14" x14ac:dyDescent="0.25">
      <c r="A10" s="23">
        <v>642</v>
      </c>
      <c r="B10" s="24">
        <v>0.40449639863129888</v>
      </c>
      <c r="C10" s="24">
        <v>5.5784470760834357E-2</v>
      </c>
      <c r="D10" s="42">
        <f t="shared" si="0"/>
        <v>2</v>
      </c>
      <c r="F10" s="42">
        <f t="shared" si="1"/>
        <v>0</v>
      </c>
      <c r="G10" s="42">
        <f t="shared" si="2"/>
        <v>0</v>
      </c>
      <c r="H10" s="42">
        <f t="shared" si="3"/>
        <v>0.40449639863129888</v>
      </c>
      <c r="I10" s="42">
        <f t="shared" si="4"/>
        <v>0</v>
      </c>
      <c r="J10" s="42">
        <f t="shared" si="5"/>
        <v>0</v>
      </c>
      <c r="K10" s="42">
        <f t="shared" si="6"/>
        <v>5.5784470760834357E-2</v>
      </c>
      <c r="N10" s="14">
        <v>91</v>
      </c>
    </row>
    <row r="11" spans="1:14" x14ac:dyDescent="0.25">
      <c r="A11" s="21">
        <v>109</v>
      </c>
      <c r="B11" s="25">
        <v>0.40555976863225535</v>
      </c>
      <c r="C11" s="25">
        <v>2.6210904091653293E-2</v>
      </c>
      <c r="D11" s="42">
        <f t="shared" si="0"/>
        <v>2</v>
      </c>
      <c r="F11" s="42">
        <f t="shared" si="1"/>
        <v>0</v>
      </c>
      <c r="G11" s="42">
        <f t="shared" si="2"/>
        <v>0</v>
      </c>
      <c r="H11" s="42">
        <f t="shared" si="3"/>
        <v>0.40555976863225535</v>
      </c>
      <c r="I11" s="42">
        <f t="shared" si="4"/>
        <v>0</v>
      </c>
      <c r="J11" s="42">
        <f t="shared" si="5"/>
        <v>0</v>
      </c>
      <c r="K11" s="42">
        <f t="shared" si="6"/>
        <v>2.6210904091653293E-2</v>
      </c>
      <c r="N11" s="14">
        <v>93</v>
      </c>
    </row>
    <row r="12" spans="1:14" x14ac:dyDescent="0.25">
      <c r="A12" s="21">
        <v>437</v>
      </c>
      <c r="B12" s="25">
        <v>0.41572045391973594</v>
      </c>
      <c r="C12" s="25">
        <v>3.3303354680011922E-2</v>
      </c>
      <c r="D12" s="42">
        <f t="shared" si="0"/>
        <v>2</v>
      </c>
      <c r="F12" s="42">
        <f t="shared" si="1"/>
        <v>0</v>
      </c>
      <c r="G12" s="42">
        <f t="shared" si="2"/>
        <v>0</v>
      </c>
      <c r="H12" s="42">
        <f t="shared" si="3"/>
        <v>0.41572045391973594</v>
      </c>
      <c r="I12" s="42">
        <f t="shared" si="4"/>
        <v>0</v>
      </c>
      <c r="J12" s="42">
        <f t="shared" si="5"/>
        <v>0</v>
      </c>
      <c r="K12" s="42">
        <f t="shared" si="6"/>
        <v>3.3303354680011922E-2</v>
      </c>
      <c r="N12" s="14">
        <v>105</v>
      </c>
    </row>
    <row r="13" spans="1:14" x14ac:dyDescent="0.25">
      <c r="A13" s="21">
        <v>566</v>
      </c>
      <c r="B13" s="25">
        <v>0.42259007897640749</v>
      </c>
      <c r="C13" s="25">
        <v>4.3326302495357329E-2</v>
      </c>
      <c r="D13" s="42">
        <f t="shared" si="0"/>
        <v>2</v>
      </c>
      <c r="F13" s="42">
        <f t="shared" si="1"/>
        <v>0</v>
      </c>
      <c r="G13" s="42">
        <f t="shared" si="2"/>
        <v>0</v>
      </c>
      <c r="H13" s="42">
        <f t="shared" si="3"/>
        <v>0.42259007897640749</v>
      </c>
      <c r="I13" s="42">
        <f t="shared" si="4"/>
        <v>0</v>
      </c>
      <c r="J13" s="42">
        <f t="shared" si="5"/>
        <v>0</v>
      </c>
      <c r="K13" s="42">
        <f t="shared" si="6"/>
        <v>4.3326302495357329E-2</v>
      </c>
      <c r="N13" s="14">
        <v>109</v>
      </c>
    </row>
    <row r="14" spans="1:14" x14ac:dyDescent="0.25">
      <c r="A14" s="21">
        <v>105</v>
      </c>
      <c r="B14" s="25">
        <v>0.42471700548873964</v>
      </c>
      <c r="C14" s="25">
        <v>2.3449779307701459E-2</v>
      </c>
      <c r="D14" s="42">
        <f t="shared" si="0"/>
        <v>0</v>
      </c>
      <c r="F14" s="42">
        <f t="shared" si="1"/>
        <v>0.42471700548873964</v>
      </c>
      <c r="G14" s="42">
        <f t="shared" si="2"/>
        <v>0</v>
      </c>
      <c r="H14" s="42">
        <f t="shared" si="3"/>
        <v>0</v>
      </c>
      <c r="I14" s="42">
        <f t="shared" si="4"/>
        <v>2.3449779307701459E-2</v>
      </c>
      <c r="J14" s="42">
        <f t="shared" si="5"/>
        <v>0</v>
      </c>
      <c r="K14" s="42">
        <f t="shared" si="6"/>
        <v>0</v>
      </c>
      <c r="N14" s="14">
        <v>129</v>
      </c>
    </row>
    <row r="15" spans="1:14" x14ac:dyDescent="0.25">
      <c r="A15" s="21">
        <v>57</v>
      </c>
      <c r="B15" s="25">
        <v>0.42543392744682551</v>
      </c>
      <c r="C15" s="25">
        <v>5.8153048952149955E-2</v>
      </c>
      <c r="D15" s="42">
        <f t="shared" si="0"/>
        <v>2</v>
      </c>
      <c r="F15" s="42">
        <f t="shared" si="1"/>
        <v>0</v>
      </c>
      <c r="G15" s="42">
        <f t="shared" si="2"/>
        <v>0</v>
      </c>
      <c r="H15" s="42">
        <f t="shared" si="3"/>
        <v>0.42543392744682551</v>
      </c>
      <c r="I15" s="42">
        <f t="shared" si="4"/>
        <v>0</v>
      </c>
      <c r="J15" s="42">
        <f t="shared" si="5"/>
        <v>0</v>
      </c>
      <c r="K15" s="42">
        <f t="shared" si="6"/>
        <v>5.8153048952149955E-2</v>
      </c>
      <c r="N15" s="14">
        <v>142</v>
      </c>
    </row>
    <row r="16" spans="1:14" x14ac:dyDescent="0.25">
      <c r="A16" s="23">
        <v>392</v>
      </c>
      <c r="B16" s="24">
        <v>0.43391083846914535</v>
      </c>
      <c r="C16" s="24">
        <v>6.381858981661595E-2</v>
      </c>
      <c r="D16" s="42">
        <f t="shared" si="0"/>
        <v>2</v>
      </c>
      <c r="F16" s="42">
        <f t="shared" si="1"/>
        <v>0</v>
      </c>
      <c r="G16" s="42">
        <f t="shared" si="2"/>
        <v>0</v>
      </c>
      <c r="H16" s="42">
        <f t="shared" si="3"/>
        <v>0.43391083846914535</v>
      </c>
      <c r="I16" s="42">
        <f t="shared" si="4"/>
        <v>0</v>
      </c>
      <c r="J16" s="42">
        <f t="shared" si="5"/>
        <v>0</v>
      </c>
      <c r="K16" s="42">
        <f t="shared" si="6"/>
        <v>6.381858981661595E-2</v>
      </c>
      <c r="N16" s="14">
        <v>153</v>
      </c>
    </row>
    <row r="17" spans="1:14" x14ac:dyDescent="0.25">
      <c r="A17" s="23">
        <v>374</v>
      </c>
      <c r="B17" s="24">
        <v>0.43413585100510527</v>
      </c>
      <c r="C17" s="24">
        <v>5.3317958304346241E-2</v>
      </c>
      <c r="D17" s="42">
        <f t="shared" si="0"/>
        <v>2</v>
      </c>
      <c r="F17" s="42">
        <f t="shared" si="1"/>
        <v>0</v>
      </c>
      <c r="G17" s="42">
        <f t="shared" si="2"/>
        <v>0</v>
      </c>
      <c r="H17" s="42">
        <f t="shared" si="3"/>
        <v>0.43413585100510527</v>
      </c>
      <c r="I17" s="42">
        <f t="shared" si="4"/>
        <v>0</v>
      </c>
      <c r="J17" s="42">
        <f t="shared" si="5"/>
        <v>0</v>
      </c>
      <c r="K17" s="42">
        <f t="shared" si="6"/>
        <v>5.3317958304346241E-2</v>
      </c>
      <c r="N17" s="14">
        <v>161</v>
      </c>
    </row>
    <row r="18" spans="1:14" x14ac:dyDescent="0.25">
      <c r="A18" s="21">
        <v>40</v>
      </c>
      <c r="B18" s="25">
        <v>0.43558831842920476</v>
      </c>
      <c r="C18" s="25">
        <v>3.1896351234514224E-2</v>
      </c>
      <c r="D18" s="42">
        <f t="shared" si="0"/>
        <v>2</v>
      </c>
      <c r="F18" s="42">
        <f t="shared" si="1"/>
        <v>0</v>
      </c>
      <c r="G18" s="42">
        <f t="shared" si="2"/>
        <v>0</v>
      </c>
      <c r="H18" s="42">
        <f t="shared" si="3"/>
        <v>0.43558831842920476</v>
      </c>
      <c r="I18" s="42">
        <f t="shared" si="4"/>
        <v>0</v>
      </c>
      <c r="J18" s="42">
        <f t="shared" si="5"/>
        <v>0</v>
      </c>
      <c r="K18" s="42">
        <f t="shared" si="6"/>
        <v>3.1896351234514224E-2</v>
      </c>
      <c r="N18" s="14">
        <v>223</v>
      </c>
    </row>
    <row r="19" spans="1:14" x14ac:dyDescent="0.25">
      <c r="A19" s="31">
        <v>360</v>
      </c>
      <c r="B19" s="24">
        <v>0.43779305914148631</v>
      </c>
      <c r="C19" s="24">
        <v>9.996459202397065E-2</v>
      </c>
      <c r="D19" s="42">
        <f t="shared" si="0"/>
        <v>2</v>
      </c>
      <c r="F19" s="42">
        <f t="shared" si="1"/>
        <v>0</v>
      </c>
      <c r="G19" s="42">
        <f t="shared" si="2"/>
        <v>0</v>
      </c>
      <c r="H19" s="42">
        <f t="shared" si="3"/>
        <v>0.43779305914148631</v>
      </c>
      <c r="I19" s="42">
        <f t="shared" si="4"/>
        <v>0</v>
      </c>
      <c r="J19" s="42">
        <f t="shared" si="5"/>
        <v>0</v>
      </c>
      <c r="K19" s="42">
        <f t="shared" si="6"/>
        <v>9.996459202397065E-2</v>
      </c>
      <c r="N19" s="14">
        <v>233</v>
      </c>
    </row>
    <row r="20" spans="1:14" x14ac:dyDescent="0.25">
      <c r="A20" s="23">
        <v>332</v>
      </c>
      <c r="B20" s="24">
        <v>0.43942284217692618</v>
      </c>
      <c r="C20" s="24">
        <v>6.1790645015533087E-2</v>
      </c>
      <c r="D20" s="42">
        <f t="shared" si="0"/>
        <v>1</v>
      </c>
      <c r="F20" s="42">
        <f t="shared" si="1"/>
        <v>0</v>
      </c>
      <c r="G20" s="42">
        <f t="shared" si="2"/>
        <v>0.43942284217692618</v>
      </c>
      <c r="H20" s="42">
        <f t="shared" si="3"/>
        <v>0</v>
      </c>
      <c r="I20" s="42">
        <f t="shared" si="4"/>
        <v>0</v>
      </c>
      <c r="J20" s="42">
        <f t="shared" si="5"/>
        <v>6.1790645015533087E-2</v>
      </c>
      <c r="K20" s="42">
        <f t="shared" si="6"/>
        <v>0</v>
      </c>
      <c r="N20" s="14">
        <v>315</v>
      </c>
    </row>
    <row r="21" spans="1:14" x14ac:dyDescent="0.25">
      <c r="A21" s="21">
        <v>705</v>
      </c>
      <c r="B21" s="25">
        <v>0.44090220229763938</v>
      </c>
      <c r="C21" s="25">
        <v>1.8449396384907852E-2</v>
      </c>
      <c r="D21" s="42">
        <f t="shared" si="0"/>
        <v>1</v>
      </c>
      <c r="F21" s="42">
        <f t="shared" si="1"/>
        <v>0</v>
      </c>
      <c r="G21" s="42">
        <f t="shared" si="2"/>
        <v>0.44090220229763938</v>
      </c>
      <c r="H21" s="42">
        <f t="shared" si="3"/>
        <v>0</v>
      </c>
      <c r="I21" s="42">
        <f t="shared" si="4"/>
        <v>0</v>
      </c>
      <c r="J21" s="42">
        <f t="shared" si="5"/>
        <v>1.8449396384907852E-2</v>
      </c>
      <c r="K21" s="42">
        <f t="shared" si="6"/>
        <v>0</v>
      </c>
      <c r="N21" s="14">
        <v>318</v>
      </c>
    </row>
    <row r="22" spans="1:14" x14ac:dyDescent="0.25">
      <c r="A22" s="29">
        <v>42</v>
      </c>
      <c r="B22" s="25">
        <v>0.44614798012564644</v>
      </c>
      <c r="C22" s="25">
        <v>5.0227468367711449E-2</v>
      </c>
      <c r="D22" s="42">
        <f t="shared" si="0"/>
        <v>2</v>
      </c>
      <c r="F22" s="42">
        <f t="shared" si="1"/>
        <v>0</v>
      </c>
      <c r="G22" s="42">
        <f t="shared" si="2"/>
        <v>0</v>
      </c>
      <c r="H22" s="42">
        <f t="shared" si="3"/>
        <v>0.44614798012564644</v>
      </c>
      <c r="I22" s="42">
        <f t="shared" si="4"/>
        <v>0</v>
      </c>
      <c r="J22" s="42">
        <f t="shared" si="5"/>
        <v>0</v>
      </c>
      <c r="K22" s="42">
        <f t="shared" si="6"/>
        <v>5.0227468367711449E-2</v>
      </c>
      <c r="N22" s="14">
        <v>362</v>
      </c>
    </row>
    <row r="23" spans="1:14" x14ac:dyDescent="0.25">
      <c r="A23" s="21">
        <v>765</v>
      </c>
      <c r="B23" s="25">
        <v>0.44824018628159684</v>
      </c>
      <c r="C23" s="25">
        <v>9.4271558467325822E-2</v>
      </c>
      <c r="D23" s="42">
        <f t="shared" si="0"/>
        <v>2</v>
      </c>
      <c r="F23" s="42">
        <f t="shared" si="1"/>
        <v>0</v>
      </c>
      <c r="G23" s="42">
        <f t="shared" si="2"/>
        <v>0</v>
      </c>
      <c r="H23" s="42">
        <f t="shared" si="3"/>
        <v>0.44824018628159684</v>
      </c>
      <c r="I23" s="42">
        <f t="shared" si="4"/>
        <v>0</v>
      </c>
      <c r="J23" s="42">
        <f t="shared" si="5"/>
        <v>0</v>
      </c>
      <c r="K23" s="42">
        <f t="shared" si="6"/>
        <v>9.4271558467325822E-2</v>
      </c>
      <c r="N23" s="14">
        <v>371</v>
      </c>
    </row>
    <row r="24" spans="1:14" x14ac:dyDescent="0.25">
      <c r="A24" s="23">
        <v>385</v>
      </c>
      <c r="B24" s="24">
        <v>0.45507819783895431</v>
      </c>
      <c r="C24" s="24">
        <v>8.1798217633058584E-2</v>
      </c>
      <c r="D24" s="42">
        <f t="shared" si="0"/>
        <v>2</v>
      </c>
      <c r="F24" s="42">
        <f t="shared" si="1"/>
        <v>0</v>
      </c>
      <c r="G24" s="42">
        <f t="shared" si="2"/>
        <v>0</v>
      </c>
      <c r="H24" s="42">
        <f t="shared" si="3"/>
        <v>0.45507819783895431</v>
      </c>
      <c r="I24" s="42">
        <f t="shared" si="4"/>
        <v>0</v>
      </c>
      <c r="J24" s="42">
        <f t="shared" si="5"/>
        <v>0</v>
      </c>
      <c r="K24" s="42">
        <f t="shared" si="6"/>
        <v>8.1798217633058584E-2</v>
      </c>
      <c r="N24" s="14">
        <v>374</v>
      </c>
    </row>
    <row r="25" spans="1:14" x14ac:dyDescent="0.25">
      <c r="A25" s="23">
        <v>161</v>
      </c>
      <c r="B25" s="24">
        <v>0.45579427866281241</v>
      </c>
      <c r="C25" s="24">
        <v>5.70545627360622E-2</v>
      </c>
      <c r="D25" s="42">
        <f t="shared" si="0"/>
        <v>2</v>
      </c>
      <c r="F25" s="42">
        <f t="shared" si="1"/>
        <v>0</v>
      </c>
      <c r="G25" s="42">
        <f t="shared" si="2"/>
        <v>0</v>
      </c>
      <c r="H25" s="42">
        <f t="shared" si="3"/>
        <v>0.45579427866281241</v>
      </c>
      <c r="I25" s="42">
        <f t="shared" si="4"/>
        <v>0</v>
      </c>
      <c r="J25" s="42">
        <f t="shared" si="5"/>
        <v>0</v>
      </c>
      <c r="K25" s="42">
        <f t="shared" si="6"/>
        <v>5.70545627360622E-2</v>
      </c>
      <c r="N25" s="14">
        <v>377</v>
      </c>
    </row>
    <row r="26" spans="1:14" x14ac:dyDescent="0.25">
      <c r="A26" s="21">
        <v>21</v>
      </c>
      <c r="B26" s="25">
        <v>0.46040105487641914</v>
      </c>
      <c r="C26" s="25">
        <v>4.3645973089615729E-2</v>
      </c>
      <c r="D26" s="42">
        <f t="shared" si="0"/>
        <v>2</v>
      </c>
      <c r="F26" s="42">
        <f t="shared" si="1"/>
        <v>0</v>
      </c>
      <c r="G26" s="42">
        <f t="shared" si="2"/>
        <v>0</v>
      </c>
      <c r="H26" s="42">
        <f t="shared" si="3"/>
        <v>0.46040105487641914</v>
      </c>
      <c r="I26" s="42">
        <f t="shared" si="4"/>
        <v>0</v>
      </c>
      <c r="J26" s="42">
        <f t="shared" si="5"/>
        <v>0</v>
      </c>
      <c r="K26" s="42">
        <f t="shared" si="6"/>
        <v>4.3645973089615729E-2</v>
      </c>
      <c r="N26" s="14">
        <v>385</v>
      </c>
    </row>
    <row r="27" spans="1:14" x14ac:dyDescent="0.25">
      <c r="A27" s="21">
        <v>362</v>
      </c>
      <c r="B27" s="25">
        <v>0.46169555723475586</v>
      </c>
      <c r="C27" s="25">
        <v>5.6980535126520064E-2</v>
      </c>
      <c r="D27" s="42">
        <f t="shared" si="0"/>
        <v>2</v>
      </c>
      <c r="F27" s="42">
        <f t="shared" si="1"/>
        <v>0</v>
      </c>
      <c r="G27" s="42">
        <f t="shared" si="2"/>
        <v>0</v>
      </c>
      <c r="H27" s="42">
        <f t="shared" si="3"/>
        <v>0.46169555723475586</v>
      </c>
      <c r="I27" s="42">
        <f t="shared" si="4"/>
        <v>0</v>
      </c>
      <c r="J27" s="42">
        <f t="shared" si="5"/>
        <v>0</v>
      </c>
      <c r="K27" s="42">
        <f t="shared" si="6"/>
        <v>5.6980535126520064E-2</v>
      </c>
      <c r="N27" s="14">
        <v>392</v>
      </c>
    </row>
    <row r="28" spans="1:14" x14ac:dyDescent="0.25">
      <c r="A28" s="21">
        <v>399</v>
      </c>
      <c r="B28" s="25">
        <v>0.47247277310836588</v>
      </c>
      <c r="C28" s="25">
        <v>3.5513213678555769E-2</v>
      </c>
      <c r="D28" s="42">
        <f t="shared" si="0"/>
        <v>2</v>
      </c>
      <c r="F28" s="42">
        <f t="shared" si="1"/>
        <v>0</v>
      </c>
      <c r="G28" s="42">
        <f t="shared" si="2"/>
        <v>0</v>
      </c>
      <c r="H28" s="42">
        <f t="shared" si="3"/>
        <v>0.47247277310836588</v>
      </c>
      <c r="I28" s="42">
        <f t="shared" si="4"/>
        <v>0</v>
      </c>
      <c r="J28" s="42">
        <f t="shared" si="5"/>
        <v>0</v>
      </c>
      <c r="K28" s="42">
        <f t="shared" si="6"/>
        <v>3.5513213678555769E-2</v>
      </c>
      <c r="N28" s="14">
        <v>395</v>
      </c>
    </row>
    <row r="29" spans="1:14" x14ac:dyDescent="0.25">
      <c r="A29" s="21">
        <v>406</v>
      </c>
      <c r="B29" s="25">
        <v>0.47785648071647402</v>
      </c>
      <c r="C29" s="25">
        <v>1.7496252713995547E-2</v>
      </c>
      <c r="D29" s="42">
        <f t="shared" si="0"/>
        <v>2</v>
      </c>
      <c r="F29" s="42">
        <f t="shared" si="1"/>
        <v>0</v>
      </c>
      <c r="G29" s="42">
        <f t="shared" si="2"/>
        <v>0</v>
      </c>
      <c r="H29" s="42">
        <f t="shared" si="3"/>
        <v>0.47785648071647402</v>
      </c>
      <c r="I29" s="42">
        <f t="shared" si="4"/>
        <v>0</v>
      </c>
      <c r="J29" s="42">
        <f t="shared" si="5"/>
        <v>0</v>
      </c>
      <c r="K29" s="42">
        <f t="shared" si="6"/>
        <v>1.7496252713995547E-2</v>
      </c>
      <c r="N29" s="14">
        <v>399</v>
      </c>
    </row>
    <row r="30" spans="1:14" x14ac:dyDescent="0.25">
      <c r="A30" s="23">
        <v>153</v>
      </c>
      <c r="B30" s="24">
        <v>0.47951632401682437</v>
      </c>
      <c r="C30" s="24">
        <v>5.4949574091860541E-2</v>
      </c>
      <c r="D30" s="42">
        <f t="shared" si="0"/>
        <v>2</v>
      </c>
      <c r="F30" s="42">
        <f t="shared" si="1"/>
        <v>0</v>
      </c>
      <c r="G30" s="42">
        <f t="shared" si="2"/>
        <v>0</v>
      </c>
      <c r="H30" s="42">
        <f t="shared" si="3"/>
        <v>0.47951632401682437</v>
      </c>
      <c r="I30" s="42">
        <f t="shared" si="4"/>
        <v>0</v>
      </c>
      <c r="J30" s="42">
        <f t="shared" si="5"/>
        <v>0</v>
      </c>
      <c r="K30" s="42">
        <f t="shared" si="6"/>
        <v>5.4949574091860541E-2</v>
      </c>
      <c r="N30" s="14">
        <v>406</v>
      </c>
    </row>
    <row r="31" spans="1:14" x14ac:dyDescent="0.25">
      <c r="A31" s="21">
        <v>820</v>
      </c>
      <c r="B31" s="25">
        <v>0.4812538810641771</v>
      </c>
      <c r="C31" s="25">
        <v>8.3102856502195024E-2</v>
      </c>
      <c r="D31" s="42">
        <f t="shared" si="0"/>
        <v>2</v>
      </c>
      <c r="F31" s="42">
        <f t="shared" si="1"/>
        <v>0</v>
      </c>
      <c r="G31" s="42">
        <f t="shared" si="2"/>
        <v>0</v>
      </c>
      <c r="H31" s="42">
        <f t="shared" si="3"/>
        <v>0.4812538810641771</v>
      </c>
      <c r="I31" s="42">
        <f t="shared" si="4"/>
        <v>0</v>
      </c>
      <c r="J31" s="42">
        <f t="shared" si="5"/>
        <v>0</v>
      </c>
      <c r="K31" s="42">
        <f t="shared" si="6"/>
        <v>8.3102856502195024E-2</v>
      </c>
      <c r="N31" s="14">
        <v>437</v>
      </c>
    </row>
    <row r="32" spans="1:14" x14ac:dyDescent="0.25">
      <c r="A32" s="29">
        <v>714</v>
      </c>
      <c r="B32" s="24">
        <v>0.4902529988342495</v>
      </c>
      <c r="C32" s="24">
        <v>4.6996607370448654E-2</v>
      </c>
      <c r="D32" s="42">
        <f t="shared" si="0"/>
        <v>2</v>
      </c>
      <c r="F32" s="42">
        <f t="shared" si="1"/>
        <v>0</v>
      </c>
      <c r="G32" s="42">
        <f t="shared" si="2"/>
        <v>0</v>
      </c>
      <c r="H32" s="42">
        <f t="shared" si="3"/>
        <v>0.4902529988342495</v>
      </c>
      <c r="I32" s="42">
        <f t="shared" si="4"/>
        <v>0</v>
      </c>
      <c r="J32" s="42">
        <f t="shared" si="5"/>
        <v>0</v>
      </c>
      <c r="K32" s="42">
        <f t="shared" si="6"/>
        <v>4.6996607370448654E-2</v>
      </c>
      <c r="N32" s="14">
        <v>461</v>
      </c>
    </row>
    <row r="33" spans="1:14" x14ac:dyDescent="0.25">
      <c r="A33" s="21">
        <v>530</v>
      </c>
      <c r="B33" s="25">
        <v>0.49072972697706979</v>
      </c>
      <c r="C33" s="25">
        <v>2.7886770953489778E-2</v>
      </c>
      <c r="D33" s="42">
        <f t="shared" si="0"/>
        <v>2</v>
      </c>
      <c r="F33" s="42">
        <f t="shared" si="1"/>
        <v>0</v>
      </c>
      <c r="G33" s="42">
        <f t="shared" si="2"/>
        <v>0</v>
      </c>
      <c r="H33" s="42">
        <f t="shared" si="3"/>
        <v>0.49072972697706979</v>
      </c>
      <c r="I33" s="42">
        <f t="shared" si="4"/>
        <v>0</v>
      </c>
      <c r="J33" s="42">
        <f t="shared" si="5"/>
        <v>0</v>
      </c>
      <c r="K33" s="42">
        <f t="shared" si="6"/>
        <v>2.7886770953489778E-2</v>
      </c>
      <c r="N33" s="14">
        <v>486</v>
      </c>
    </row>
    <row r="34" spans="1:14" x14ac:dyDescent="0.25">
      <c r="A34" s="21">
        <v>28</v>
      </c>
      <c r="B34" s="25">
        <v>0.49469059195789827</v>
      </c>
      <c r="C34" s="25">
        <v>5.0922110628391637E-2</v>
      </c>
      <c r="D34" s="42">
        <f t="shared" ref="D34:D65" si="7">IF(COUNTIF(N:N,A33),2,IF(COUNTIF(O:O,A33),1,0))</f>
        <v>2</v>
      </c>
      <c r="F34" s="42">
        <f t="shared" si="1"/>
        <v>0</v>
      </c>
      <c r="G34" s="42">
        <f t="shared" si="2"/>
        <v>0</v>
      </c>
      <c r="H34" s="42">
        <f t="shared" si="3"/>
        <v>0.49469059195789827</v>
      </c>
      <c r="I34" s="42">
        <f t="shared" si="4"/>
        <v>0</v>
      </c>
      <c r="J34" s="42">
        <f t="shared" si="5"/>
        <v>0</v>
      </c>
      <c r="K34" s="42">
        <f t="shared" si="6"/>
        <v>5.0922110628391637E-2</v>
      </c>
      <c r="N34" s="14">
        <v>530</v>
      </c>
    </row>
    <row r="35" spans="1:14" x14ac:dyDescent="0.25">
      <c r="A35" s="21">
        <v>712</v>
      </c>
      <c r="B35" s="25">
        <v>0.49780727974138639</v>
      </c>
      <c r="C35" s="25">
        <v>3.6132299444487315E-2</v>
      </c>
      <c r="D35" s="42">
        <f t="shared" si="7"/>
        <v>2</v>
      </c>
      <c r="F35" s="42">
        <f t="shared" si="1"/>
        <v>0</v>
      </c>
      <c r="G35" s="42">
        <f t="shared" si="2"/>
        <v>0</v>
      </c>
      <c r="H35" s="42">
        <f t="shared" si="3"/>
        <v>0.49780727974138639</v>
      </c>
      <c r="I35" s="42">
        <f t="shared" si="4"/>
        <v>0</v>
      </c>
      <c r="J35" s="42">
        <f t="shared" si="5"/>
        <v>0</v>
      </c>
      <c r="K35" s="42">
        <f t="shared" si="6"/>
        <v>3.6132299444487315E-2</v>
      </c>
      <c r="N35" s="14">
        <v>535</v>
      </c>
    </row>
    <row r="36" spans="1:14" x14ac:dyDescent="0.25">
      <c r="A36" s="23">
        <v>721</v>
      </c>
      <c r="B36" s="24">
        <v>0.49956075452483828</v>
      </c>
      <c r="C36" s="24">
        <v>4.8833073143037531E-2</v>
      </c>
      <c r="D36" s="42">
        <f t="shared" si="7"/>
        <v>0</v>
      </c>
      <c r="F36" s="42">
        <f t="shared" si="1"/>
        <v>0.49956075452483828</v>
      </c>
      <c r="G36" s="42">
        <f t="shared" si="2"/>
        <v>0</v>
      </c>
      <c r="H36" s="42">
        <f t="shared" si="3"/>
        <v>0</v>
      </c>
      <c r="I36" s="42">
        <f t="shared" si="4"/>
        <v>4.8833073143037531E-2</v>
      </c>
      <c r="J36" s="42">
        <f t="shared" si="5"/>
        <v>0</v>
      </c>
      <c r="K36" s="42">
        <f t="shared" si="6"/>
        <v>0</v>
      </c>
      <c r="N36" s="14">
        <v>642</v>
      </c>
    </row>
    <row r="37" spans="1:14" x14ac:dyDescent="0.25">
      <c r="A37" s="23">
        <v>716</v>
      </c>
      <c r="B37" s="24">
        <v>0.49977071992602817</v>
      </c>
      <c r="C37" s="24">
        <v>8.9631873501968051E-2</v>
      </c>
      <c r="D37" s="42">
        <f t="shared" si="7"/>
        <v>2</v>
      </c>
      <c r="F37" s="42">
        <f t="shared" si="1"/>
        <v>0</v>
      </c>
      <c r="G37" s="42">
        <f t="shared" si="2"/>
        <v>0</v>
      </c>
      <c r="H37" s="42">
        <f t="shared" si="3"/>
        <v>0.49977071992602817</v>
      </c>
      <c r="I37" s="42">
        <f t="shared" si="4"/>
        <v>0</v>
      </c>
      <c r="J37" s="42">
        <f t="shared" si="5"/>
        <v>0</v>
      </c>
      <c r="K37" s="42">
        <f t="shared" si="6"/>
        <v>8.9631873501968051E-2</v>
      </c>
      <c r="N37" s="14">
        <v>703</v>
      </c>
    </row>
    <row r="38" spans="1:14" x14ac:dyDescent="0.25">
      <c r="A38" s="21">
        <v>75</v>
      </c>
      <c r="B38" s="25">
        <v>0.50077239289589515</v>
      </c>
      <c r="C38" s="25">
        <v>0.12698315511733649</v>
      </c>
      <c r="D38" s="42">
        <f t="shared" si="7"/>
        <v>2</v>
      </c>
      <c r="F38" s="42">
        <f t="shared" si="1"/>
        <v>0</v>
      </c>
      <c r="G38" s="42">
        <f t="shared" si="2"/>
        <v>0</v>
      </c>
      <c r="H38" s="42">
        <f t="shared" si="3"/>
        <v>0.50077239289589515</v>
      </c>
      <c r="I38" s="42">
        <f t="shared" si="4"/>
        <v>0</v>
      </c>
      <c r="J38" s="42">
        <f t="shared" si="5"/>
        <v>0</v>
      </c>
      <c r="K38" s="42">
        <f t="shared" si="6"/>
        <v>0.12698315511733649</v>
      </c>
      <c r="N38" s="14">
        <v>705</v>
      </c>
    </row>
    <row r="39" spans="1:14" x14ac:dyDescent="0.25">
      <c r="A39" s="23">
        <v>233</v>
      </c>
      <c r="B39" s="24">
        <v>0.50094441832603254</v>
      </c>
      <c r="C39" s="24">
        <v>6.0000781759670607E-2</v>
      </c>
      <c r="D39" s="42">
        <f t="shared" si="7"/>
        <v>2</v>
      </c>
      <c r="F39" s="42">
        <f t="shared" si="1"/>
        <v>0</v>
      </c>
      <c r="G39" s="42">
        <f t="shared" si="2"/>
        <v>0</v>
      </c>
      <c r="H39" s="42">
        <f t="shared" si="3"/>
        <v>0.50094441832603254</v>
      </c>
      <c r="I39" s="42">
        <f t="shared" si="4"/>
        <v>0</v>
      </c>
      <c r="J39" s="42">
        <f t="shared" si="5"/>
        <v>0</v>
      </c>
      <c r="K39" s="42">
        <f t="shared" si="6"/>
        <v>6.0000781759670607E-2</v>
      </c>
      <c r="N39" s="14">
        <v>707</v>
      </c>
    </row>
    <row r="40" spans="1:14" x14ac:dyDescent="0.25">
      <c r="A40" s="21">
        <v>83</v>
      </c>
      <c r="B40" s="25">
        <v>0.50370069361239189</v>
      </c>
      <c r="C40" s="25">
        <v>4.0308826446773208E-2</v>
      </c>
      <c r="D40" s="42">
        <f t="shared" si="7"/>
        <v>2</v>
      </c>
      <c r="F40" s="42">
        <f t="shared" si="1"/>
        <v>0</v>
      </c>
      <c r="G40" s="42">
        <f t="shared" si="2"/>
        <v>0</v>
      </c>
      <c r="H40" s="42">
        <f t="shared" si="3"/>
        <v>0.50370069361239189</v>
      </c>
      <c r="I40" s="42">
        <f t="shared" si="4"/>
        <v>0</v>
      </c>
      <c r="J40" s="42">
        <f t="shared" si="5"/>
        <v>0</v>
      </c>
      <c r="K40" s="42">
        <f t="shared" si="6"/>
        <v>4.0308826446773208E-2</v>
      </c>
      <c r="N40" s="14">
        <v>714</v>
      </c>
    </row>
    <row r="41" spans="1:14" x14ac:dyDescent="0.25">
      <c r="A41" s="21">
        <v>45</v>
      </c>
      <c r="B41" s="25">
        <v>0.50708830442763497</v>
      </c>
      <c r="C41" s="25">
        <v>4.5215245041687072E-2</v>
      </c>
      <c r="D41" s="42">
        <f t="shared" si="7"/>
        <v>2</v>
      </c>
      <c r="F41" s="42">
        <f t="shared" si="1"/>
        <v>0</v>
      </c>
      <c r="G41" s="42">
        <f t="shared" si="2"/>
        <v>0</v>
      </c>
      <c r="H41" s="42">
        <f t="shared" si="3"/>
        <v>0.50708830442763497</v>
      </c>
      <c r="I41" s="42">
        <f t="shared" si="4"/>
        <v>0</v>
      </c>
      <c r="J41" s="42">
        <f t="shared" si="5"/>
        <v>0</v>
      </c>
      <c r="K41" s="42">
        <f t="shared" si="6"/>
        <v>4.5215245041687072E-2</v>
      </c>
      <c r="N41" s="14">
        <v>716</v>
      </c>
    </row>
    <row r="42" spans="1:14" x14ac:dyDescent="0.25">
      <c r="A42" s="21">
        <v>91</v>
      </c>
      <c r="B42" s="25">
        <v>0.51381911680358139</v>
      </c>
      <c r="C42" s="25">
        <v>3.403469201864532E-2</v>
      </c>
      <c r="D42" s="42">
        <f t="shared" si="7"/>
        <v>2</v>
      </c>
      <c r="F42" s="42">
        <f t="shared" si="1"/>
        <v>0</v>
      </c>
      <c r="G42" s="42">
        <f t="shared" si="2"/>
        <v>0</v>
      </c>
      <c r="H42" s="42">
        <f t="shared" si="3"/>
        <v>0.51381911680358139</v>
      </c>
      <c r="I42" s="42">
        <f t="shared" si="4"/>
        <v>0</v>
      </c>
      <c r="J42" s="42">
        <f t="shared" si="5"/>
        <v>0</v>
      </c>
      <c r="K42" s="42">
        <f t="shared" si="6"/>
        <v>3.403469201864532E-2</v>
      </c>
      <c r="N42" s="14">
        <v>721</v>
      </c>
    </row>
    <row r="43" spans="1:14" x14ac:dyDescent="0.25">
      <c r="A43" s="23">
        <v>377</v>
      </c>
      <c r="B43" s="24">
        <v>0.51434456823036723</v>
      </c>
      <c r="C43" s="24">
        <v>5.4923219718209848E-2</v>
      </c>
      <c r="D43" s="42">
        <f t="shared" si="7"/>
        <v>2</v>
      </c>
      <c r="F43" s="42">
        <f t="shared" si="1"/>
        <v>0</v>
      </c>
      <c r="G43" s="42">
        <f t="shared" si="2"/>
        <v>0</v>
      </c>
      <c r="H43" s="42">
        <f t="shared" si="3"/>
        <v>0.51434456823036723</v>
      </c>
      <c r="I43" s="42">
        <f t="shared" si="4"/>
        <v>0</v>
      </c>
      <c r="J43" s="42">
        <f t="shared" si="5"/>
        <v>0</v>
      </c>
      <c r="K43" s="42">
        <f t="shared" si="6"/>
        <v>5.4923219718209848E-2</v>
      </c>
      <c r="N43" s="14">
        <v>757</v>
      </c>
    </row>
    <row r="44" spans="1:14" x14ac:dyDescent="0.25">
      <c r="A44" s="31">
        <v>596</v>
      </c>
      <c r="B44" s="24">
        <v>0.52476631396541573</v>
      </c>
      <c r="C44" s="24">
        <v>4.5784690008889378E-2</v>
      </c>
      <c r="D44" s="42">
        <f t="shared" si="7"/>
        <v>2</v>
      </c>
      <c r="F44" s="42">
        <f t="shared" si="1"/>
        <v>0</v>
      </c>
      <c r="G44" s="42">
        <f t="shared" si="2"/>
        <v>0</v>
      </c>
      <c r="H44" s="42">
        <f t="shared" si="3"/>
        <v>0.52476631396541573</v>
      </c>
      <c r="I44" s="42">
        <f t="shared" si="4"/>
        <v>0</v>
      </c>
      <c r="J44" s="42">
        <f t="shared" si="5"/>
        <v>0</v>
      </c>
      <c r="K44" s="42">
        <f t="shared" si="6"/>
        <v>4.5784690008889378E-2</v>
      </c>
      <c r="N44" s="14">
        <v>765</v>
      </c>
    </row>
    <row r="45" spans="1:14" x14ac:dyDescent="0.25">
      <c r="A45" s="23">
        <v>819</v>
      </c>
      <c r="B45" s="24">
        <v>0.52664818325239338</v>
      </c>
      <c r="C45" s="24">
        <v>0.15919289227527694</v>
      </c>
      <c r="D45" s="42">
        <f t="shared" si="7"/>
        <v>0</v>
      </c>
      <c r="F45" s="42">
        <f t="shared" si="1"/>
        <v>0.52664818325239338</v>
      </c>
      <c r="G45" s="42">
        <f t="shared" si="2"/>
        <v>0</v>
      </c>
      <c r="H45" s="42">
        <f t="shared" si="3"/>
        <v>0</v>
      </c>
      <c r="I45" s="42">
        <f t="shared" si="4"/>
        <v>0.15919289227527694</v>
      </c>
      <c r="J45" s="42">
        <f t="shared" si="5"/>
        <v>0</v>
      </c>
      <c r="K45" s="42">
        <f t="shared" si="6"/>
        <v>0</v>
      </c>
      <c r="N45" s="14">
        <v>774</v>
      </c>
    </row>
    <row r="46" spans="1:14" x14ac:dyDescent="0.25">
      <c r="A46" s="21">
        <v>486</v>
      </c>
      <c r="B46" s="25">
        <v>0.5285231033413601</v>
      </c>
      <c r="C46" s="25">
        <v>2.2318805514153054E-2</v>
      </c>
      <c r="D46" s="42">
        <f t="shared" si="7"/>
        <v>0</v>
      </c>
      <c r="F46" s="42">
        <f t="shared" si="1"/>
        <v>0.5285231033413601</v>
      </c>
      <c r="G46" s="42">
        <f t="shared" si="2"/>
        <v>0</v>
      </c>
      <c r="H46" s="42">
        <f t="shared" si="3"/>
        <v>0</v>
      </c>
      <c r="I46" s="42">
        <f t="shared" si="4"/>
        <v>2.2318805514153054E-2</v>
      </c>
      <c r="J46" s="42">
        <f t="shared" si="5"/>
        <v>0</v>
      </c>
      <c r="K46" s="42">
        <f t="shared" si="6"/>
        <v>0</v>
      </c>
      <c r="N46" s="14">
        <v>820</v>
      </c>
    </row>
    <row r="47" spans="1:14" x14ac:dyDescent="0.25">
      <c r="A47" s="23">
        <v>359</v>
      </c>
      <c r="B47" s="24">
        <v>0.52873051092852463</v>
      </c>
      <c r="C47" s="24">
        <v>5.2366619420201807E-2</v>
      </c>
      <c r="D47" s="42">
        <f t="shared" si="7"/>
        <v>2</v>
      </c>
      <c r="F47" s="42">
        <f t="shared" si="1"/>
        <v>0</v>
      </c>
      <c r="G47" s="42">
        <f t="shared" si="2"/>
        <v>0</v>
      </c>
      <c r="H47" s="42">
        <f t="shared" si="3"/>
        <v>0.52873051092852463</v>
      </c>
      <c r="I47" s="42">
        <f t="shared" si="4"/>
        <v>0</v>
      </c>
      <c r="J47" s="42">
        <f t="shared" si="5"/>
        <v>0</v>
      </c>
      <c r="K47" s="42">
        <f t="shared" si="6"/>
        <v>5.2366619420201807E-2</v>
      </c>
      <c r="N47" s="14">
        <v>857</v>
      </c>
    </row>
    <row r="48" spans="1:14" x14ac:dyDescent="0.25">
      <c r="A48" s="23">
        <v>535</v>
      </c>
      <c r="B48" s="24">
        <v>0.52903912204320158</v>
      </c>
      <c r="C48" s="24">
        <v>3.4094499124836017E-2</v>
      </c>
      <c r="D48" s="42">
        <f t="shared" si="7"/>
        <v>0</v>
      </c>
      <c r="F48" s="42">
        <f t="shared" si="1"/>
        <v>0.52903912204320158</v>
      </c>
      <c r="G48" s="42">
        <f t="shared" si="2"/>
        <v>0</v>
      </c>
      <c r="H48" s="42">
        <f t="shared" si="3"/>
        <v>0</v>
      </c>
      <c r="I48" s="42">
        <f t="shared" si="4"/>
        <v>3.4094499124836017E-2</v>
      </c>
      <c r="J48" s="42">
        <f t="shared" si="5"/>
        <v>0</v>
      </c>
      <c r="K48" s="42">
        <f t="shared" si="6"/>
        <v>0</v>
      </c>
      <c r="N48" s="14"/>
    </row>
    <row r="49" spans="1:14" x14ac:dyDescent="0.25">
      <c r="A49" s="23">
        <v>461</v>
      </c>
      <c r="B49" s="24">
        <v>0.52955481275160055</v>
      </c>
      <c r="C49" s="24">
        <v>5.249920501674013E-2</v>
      </c>
      <c r="D49" s="42">
        <f t="shared" si="7"/>
        <v>2</v>
      </c>
      <c r="F49" s="42">
        <f t="shared" si="1"/>
        <v>0</v>
      </c>
      <c r="G49" s="42">
        <f t="shared" si="2"/>
        <v>0</v>
      </c>
      <c r="H49" s="42">
        <f t="shared" si="3"/>
        <v>0.52955481275160055</v>
      </c>
      <c r="I49" s="42">
        <f t="shared" si="4"/>
        <v>0</v>
      </c>
      <c r="J49" s="42">
        <f t="shared" si="5"/>
        <v>0</v>
      </c>
      <c r="K49" s="42">
        <f t="shared" si="6"/>
        <v>5.249920501674013E-2</v>
      </c>
      <c r="N49" s="14"/>
    </row>
    <row r="50" spans="1:14" x14ac:dyDescent="0.25">
      <c r="A50" s="23">
        <v>757</v>
      </c>
      <c r="B50" s="24">
        <v>0.53038390699211901</v>
      </c>
      <c r="C50" s="24">
        <v>1.229729483097306E-2</v>
      </c>
      <c r="D50" s="42">
        <f t="shared" si="7"/>
        <v>2</v>
      </c>
      <c r="F50" s="42">
        <f t="shared" si="1"/>
        <v>0</v>
      </c>
      <c r="G50" s="42">
        <f t="shared" si="2"/>
        <v>0</v>
      </c>
      <c r="H50" s="42">
        <f t="shared" si="3"/>
        <v>0.53038390699211901</v>
      </c>
      <c r="I50" s="42">
        <f t="shared" si="4"/>
        <v>0</v>
      </c>
      <c r="J50" s="42">
        <f t="shared" si="5"/>
        <v>0</v>
      </c>
      <c r="K50" s="42">
        <f t="shared" si="6"/>
        <v>1.229729483097306E-2</v>
      </c>
      <c r="N50" s="14"/>
    </row>
    <row r="51" spans="1:14" x14ac:dyDescent="0.25">
      <c r="A51" s="29">
        <v>335</v>
      </c>
      <c r="B51" s="25">
        <v>0.5325364131503133</v>
      </c>
      <c r="C51" s="25">
        <v>4.1432829252008245E-2</v>
      </c>
      <c r="D51" s="42">
        <f t="shared" si="7"/>
        <v>2</v>
      </c>
      <c r="F51" s="42">
        <f t="shared" si="1"/>
        <v>0</v>
      </c>
      <c r="G51" s="42">
        <f t="shared" si="2"/>
        <v>0</v>
      </c>
      <c r="H51" s="42">
        <f t="shared" si="3"/>
        <v>0.5325364131503133</v>
      </c>
      <c r="I51" s="42">
        <f t="shared" si="4"/>
        <v>0</v>
      </c>
      <c r="J51" s="42">
        <f t="shared" si="5"/>
        <v>0</v>
      </c>
      <c r="K51" s="42">
        <f t="shared" si="6"/>
        <v>4.1432829252008245E-2</v>
      </c>
      <c r="N51" s="14"/>
    </row>
    <row r="52" spans="1:14" x14ac:dyDescent="0.25">
      <c r="A52" s="21">
        <v>375</v>
      </c>
      <c r="B52" s="25">
        <v>0.53574941279775379</v>
      </c>
      <c r="C52" s="25">
        <v>9.9222488533906986E-2</v>
      </c>
      <c r="D52" s="42">
        <f t="shared" si="7"/>
        <v>1</v>
      </c>
      <c r="F52" s="42">
        <f t="shared" si="1"/>
        <v>0</v>
      </c>
      <c r="G52" s="42">
        <f t="shared" si="2"/>
        <v>0.53574941279775379</v>
      </c>
      <c r="H52" s="42">
        <f t="shared" si="3"/>
        <v>0</v>
      </c>
      <c r="I52" s="42">
        <f t="shared" si="4"/>
        <v>0</v>
      </c>
      <c r="J52" s="42">
        <f t="shared" si="5"/>
        <v>9.9222488533906986E-2</v>
      </c>
      <c r="K52" s="42">
        <f t="shared" si="6"/>
        <v>0</v>
      </c>
      <c r="N52" s="14"/>
    </row>
    <row r="53" spans="1:14" x14ac:dyDescent="0.25">
      <c r="A53" s="23">
        <v>239</v>
      </c>
      <c r="B53" s="24">
        <v>0.53759643046535699</v>
      </c>
      <c r="C53" s="24">
        <v>7.499965357466637E-2</v>
      </c>
      <c r="D53" s="42">
        <f t="shared" si="7"/>
        <v>0</v>
      </c>
      <c r="F53" s="42">
        <f t="shared" si="1"/>
        <v>0.53759643046535699</v>
      </c>
      <c r="G53" s="42">
        <f t="shared" si="2"/>
        <v>0</v>
      </c>
      <c r="H53" s="42">
        <f t="shared" si="3"/>
        <v>0</v>
      </c>
      <c r="I53" s="42">
        <f t="shared" si="4"/>
        <v>7.499965357466637E-2</v>
      </c>
      <c r="J53" s="42">
        <f t="shared" si="5"/>
        <v>0</v>
      </c>
      <c r="K53" s="42">
        <f t="shared" si="6"/>
        <v>0</v>
      </c>
      <c r="N53" s="14"/>
    </row>
    <row r="54" spans="1:14" x14ac:dyDescent="0.25">
      <c r="A54" s="23">
        <v>897</v>
      </c>
      <c r="B54" s="24">
        <v>0.53814399678970959</v>
      </c>
      <c r="C54" s="24">
        <v>0.11745496934376892</v>
      </c>
      <c r="D54" s="42">
        <f t="shared" si="7"/>
        <v>0</v>
      </c>
      <c r="F54" s="42">
        <f t="shared" si="1"/>
        <v>0.53814399678970959</v>
      </c>
      <c r="G54" s="42">
        <f t="shared" si="2"/>
        <v>0</v>
      </c>
      <c r="H54" s="42">
        <f t="shared" si="3"/>
        <v>0</v>
      </c>
      <c r="I54" s="42">
        <f t="shared" si="4"/>
        <v>0.11745496934376892</v>
      </c>
      <c r="J54" s="42">
        <f t="shared" si="5"/>
        <v>0</v>
      </c>
      <c r="K54" s="42">
        <f t="shared" si="6"/>
        <v>0</v>
      </c>
      <c r="N54" s="14"/>
    </row>
    <row r="55" spans="1:14" x14ac:dyDescent="0.25">
      <c r="A55" s="21">
        <v>409</v>
      </c>
      <c r="B55" s="25">
        <v>0.54107292807605478</v>
      </c>
      <c r="C55" s="25">
        <v>2.8859350766384188E-2</v>
      </c>
      <c r="D55" s="42">
        <f t="shared" si="7"/>
        <v>0</v>
      </c>
      <c r="F55" s="42">
        <f t="shared" si="1"/>
        <v>0.54107292807605478</v>
      </c>
      <c r="G55" s="42">
        <f t="shared" si="2"/>
        <v>0</v>
      </c>
      <c r="H55" s="42">
        <f t="shared" si="3"/>
        <v>0</v>
      </c>
      <c r="I55" s="42">
        <f t="shared" si="4"/>
        <v>2.8859350766384188E-2</v>
      </c>
      <c r="J55" s="42">
        <f t="shared" si="5"/>
        <v>0</v>
      </c>
      <c r="K55" s="42">
        <f t="shared" si="6"/>
        <v>0</v>
      </c>
      <c r="N55" s="14"/>
    </row>
    <row r="56" spans="1:14" x14ac:dyDescent="0.25">
      <c r="A56" s="29">
        <v>551</v>
      </c>
      <c r="B56" s="25">
        <v>0.54495266617345994</v>
      </c>
      <c r="C56" s="25">
        <v>1.6738973060463038E-2</v>
      </c>
      <c r="D56" s="42">
        <f t="shared" si="7"/>
        <v>0</v>
      </c>
      <c r="F56" s="42">
        <f t="shared" si="1"/>
        <v>0.54495266617345994</v>
      </c>
      <c r="G56" s="42">
        <f t="shared" si="2"/>
        <v>0</v>
      </c>
      <c r="H56" s="42">
        <f t="shared" si="3"/>
        <v>0</v>
      </c>
      <c r="I56" s="42">
        <f t="shared" si="4"/>
        <v>1.6738973060463038E-2</v>
      </c>
      <c r="J56" s="42">
        <f t="shared" si="5"/>
        <v>0</v>
      </c>
      <c r="K56" s="42">
        <f t="shared" si="6"/>
        <v>0</v>
      </c>
      <c r="N56" s="14"/>
    </row>
    <row r="57" spans="1:14" x14ac:dyDescent="0.25">
      <c r="A57" s="21">
        <v>315</v>
      </c>
      <c r="B57" s="25">
        <v>0.55789830096731596</v>
      </c>
      <c r="C57" s="25">
        <v>6.6382968601500822E-2</v>
      </c>
      <c r="D57" s="42">
        <f t="shared" si="7"/>
        <v>1</v>
      </c>
      <c r="F57" s="42">
        <f t="shared" si="1"/>
        <v>0</v>
      </c>
      <c r="G57" s="42">
        <f t="shared" si="2"/>
        <v>0.55789830096731596</v>
      </c>
      <c r="H57" s="42">
        <f t="shared" si="3"/>
        <v>0</v>
      </c>
      <c r="I57" s="42">
        <f t="shared" si="4"/>
        <v>0</v>
      </c>
      <c r="J57" s="42">
        <f t="shared" si="5"/>
        <v>6.6382968601500822E-2</v>
      </c>
      <c r="K57" s="42">
        <f t="shared" si="6"/>
        <v>0</v>
      </c>
      <c r="N57" s="14"/>
    </row>
    <row r="58" spans="1:14" x14ac:dyDescent="0.25">
      <c r="A58" s="21">
        <v>93</v>
      </c>
      <c r="B58" s="25">
        <v>0.55841692789567998</v>
      </c>
      <c r="C58" s="25">
        <v>9.3225356189042222E-2</v>
      </c>
      <c r="D58" s="42">
        <f t="shared" si="7"/>
        <v>2</v>
      </c>
      <c r="F58" s="42">
        <f t="shared" si="1"/>
        <v>0</v>
      </c>
      <c r="G58" s="42">
        <f t="shared" si="2"/>
        <v>0</v>
      </c>
      <c r="H58" s="42">
        <f t="shared" si="3"/>
        <v>0.55841692789567998</v>
      </c>
      <c r="I58" s="42">
        <f t="shared" si="4"/>
        <v>0</v>
      </c>
      <c r="J58" s="42">
        <f t="shared" si="5"/>
        <v>0</v>
      </c>
      <c r="K58" s="42">
        <f t="shared" si="6"/>
        <v>9.3225356189042222E-2</v>
      </c>
      <c r="N58" s="14"/>
    </row>
    <row r="59" spans="1:14" x14ac:dyDescent="0.25">
      <c r="A59" s="21">
        <v>887</v>
      </c>
      <c r="B59" s="25">
        <v>0.56097773892672798</v>
      </c>
      <c r="C59" s="25">
        <v>5.8523488527059346E-2</v>
      </c>
      <c r="D59" s="42">
        <f t="shared" si="7"/>
        <v>2</v>
      </c>
      <c r="F59" s="42">
        <f t="shared" si="1"/>
        <v>0</v>
      </c>
      <c r="G59" s="42">
        <f t="shared" si="2"/>
        <v>0</v>
      </c>
      <c r="H59" s="42">
        <f t="shared" si="3"/>
        <v>0.56097773892672798</v>
      </c>
      <c r="I59" s="42">
        <f t="shared" si="4"/>
        <v>0</v>
      </c>
      <c r="J59" s="42">
        <f t="shared" si="5"/>
        <v>0</v>
      </c>
      <c r="K59" s="42">
        <f t="shared" si="6"/>
        <v>5.8523488527059346E-2</v>
      </c>
      <c r="N59" s="14"/>
    </row>
    <row r="60" spans="1:14" x14ac:dyDescent="0.25">
      <c r="A60" s="21">
        <v>310</v>
      </c>
      <c r="B60" s="25">
        <v>0.56098387974149622</v>
      </c>
      <c r="C60" s="25">
        <v>4.6087824828635077E-2</v>
      </c>
      <c r="D60" s="42">
        <f t="shared" si="7"/>
        <v>1</v>
      </c>
      <c r="F60" s="42">
        <f t="shared" si="1"/>
        <v>0</v>
      </c>
      <c r="G60" s="42">
        <f t="shared" si="2"/>
        <v>0.56098387974149622</v>
      </c>
      <c r="H60" s="42">
        <f t="shared" si="3"/>
        <v>0</v>
      </c>
      <c r="I60" s="42">
        <f t="shared" si="4"/>
        <v>0</v>
      </c>
      <c r="J60" s="42">
        <f t="shared" si="5"/>
        <v>4.6087824828635077E-2</v>
      </c>
      <c r="K60" s="42">
        <f t="shared" si="6"/>
        <v>0</v>
      </c>
      <c r="N60" s="14"/>
    </row>
    <row r="61" spans="1:14" x14ac:dyDescent="0.25">
      <c r="A61" s="23">
        <v>352</v>
      </c>
      <c r="B61" s="24">
        <v>0.56295515783731043</v>
      </c>
      <c r="C61" s="24">
        <v>5.5907951149068748E-2</v>
      </c>
      <c r="D61" s="42">
        <f t="shared" si="7"/>
        <v>0</v>
      </c>
      <c r="F61" s="42">
        <f t="shared" si="1"/>
        <v>0.56295515783731043</v>
      </c>
      <c r="G61" s="42">
        <f t="shared" si="2"/>
        <v>0</v>
      </c>
      <c r="H61" s="42">
        <f t="shared" si="3"/>
        <v>0</v>
      </c>
      <c r="I61" s="42">
        <f t="shared" si="4"/>
        <v>5.5907951149068748E-2</v>
      </c>
      <c r="J61" s="42">
        <f t="shared" si="5"/>
        <v>0</v>
      </c>
      <c r="K61" s="42">
        <f t="shared" si="6"/>
        <v>0</v>
      </c>
      <c r="N61" s="14"/>
    </row>
    <row r="62" spans="1:14" x14ac:dyDescent="0.25">
      <c r="A62" s="21">
        <v>859</v>
      </c>
      <c r="B62" s="25">
        <v>0.56362959056114159</v>
      </c>
      <c r="C62" s="25">
        <v>2.3108950176012645E-2</v>
      </c>
      <c r="D62" s="42">
        <f t="shared" si="7"/>
        <v>0</v>
      </c>
      <c r="F62" s="42">
        <f t="shared" si="1"/>
        <v>0.56362959056114159</v>
      </c>
      <c r="G62" s="42">
        <f t="shared" si="2"/>
        <v>0</v>
      </c>
      <c r="H62" s="42">
        <f t="shared" si="3"/>
        <v>0</v>
      </c>
      <c r="I62" s="42">
        <f t="shared" si="4"/>
        <v>2.3108950176012645E-2</v>
      </c>
      <c r="J62" s="42">
        <f t="shared" si="5"/>
        <v>0</v>
      </c>
      <c r="K62" s="42">
        <f t="shared" si="6"/>
        <v>0</v>
      </c>
      <c r="N62" s="14"/>
    </row>
    <row r="63" spans="1:14" x14ac:dyDescent="0.25">
      <c r="A63" s="23">
        <v>142</v>
      </c>
      <c r="B63" s="24">
        <v>0.5669160109020086</v>
      </c>
      <c r="C63" s="24">
        <v>3.3591026827031661E-2</v>
      </c>
      <c r="D63" s="42">
        <f t="shared" si="7"/>
        <v>0</v>
      </c>
      <c r="F63" s="42">
        <f t="shared" si="1"/>
        <v>0.5669160109020086</v>
      </c>
      <c r="G63" s="42">
        <f t="shared" si="2"/>
        <v>0</v>
      </c>
      <c r="H63" s="42">
        <f t="shared" si="3"/>
        <v>0</v>
      </c>
      <c r="I63" s="42">
        <f t="shared" si="4"/>
        <v>3.3591026827031661E-2</v>
      </c>
      <c r="J63" s="42">
        <f t="shared" si="5"/>
        <v>0</v>
      </c>
      <c r="K63" s="42">
        <f t="shared" si="6"/>
        <v>0</v>
      </c>
      <c r="N63" s="14"/>
    </row>
    <row r="64" spans="1:14" x14ac:dyDescent="0.25">
      <c r="A64" s="21">
        <v>48</v>
      </c>
      <c r="B64" s="25">
        <v>0.57036212374376527</v>
      </c>
      <c r="C64" s="25">
        <v>8.2013988531291521E-2</v>
      </c>
      <c r="D64" s="42">
        <f t="shared" si="7"/>
        <v>2</v>
      </c>
      <c r="F64" s="42">
        <f t="shared" si="1"/>
        <v>0</v>
      </c>
      <c r="G64" s="42">
        <f t="shared" si="2"/>
        <v>0</v>
      </c>
      <c r="H64" s="42">
        <f t="shared" si="3"/>
        <v>0.57036212374376527</v>
      </c>
      <c r="I64" s="42">
        <f t="shared" si="4"/>
        <v>0</v>
      </c>
      <c r="J64" s="42">
        <f t="shared" si="5"/>
        <v>0</v>
      </c>
      <c r="K64" s="42">
        <f t="shared" si="6"/>
        <v>8.2013988531291521E-2</v>
      </c>
      <c r="N64" s="14"/>
    </row>
    <row r="65" spans="1:14" x14ac:dyDescent="0.25">
      <c r="A65" s="23">
        <v>861</v>
      </c>
      <c r="B65" s="24">
        <v>0.57522538560735814</v>
      </c>
      <c r="C65" s="24">
        <v>5.270768486000655E-2</v>
      </c>
      <c r="D65" s="42">
        <f t="shared" si="7"/>
        <v>1</v>
      </c>
      <c r="F65" s="42">
        <f t="shared" si="1"/>
        <v>0</v>
      </c>
      <c r="G65" s="42">
        <f t="shared" si="2"/>
        <v>0.57522538560735814</v>
      </c>
      <c r="H65" s="42">
        <f t="shared" si="3"/>
        <v>0</v>
      </c>
      <c r="I65" s="42">
        <f t="shared" si="4"/>
        <v>0</v>
      </c>
      <c r="J65" s="42">
        <f t="shared" si="5"/>
        <v>5.270768486000655E-2</v>
      </c>
      <c r="K65" s="42">
        <f t="shared" si="6"/>
        <v>0</v>
      </c>
      <c r="N65" s="14"/>
    </row>
    <row r="66" spans="1:14" x14ac:dyDescent="0.25">
      <c r="A66" s="23">
        <v>857</v>
      </c>
      <c r="B66" s="24">
        <v>0.57672375833333334</v>
      </c>
      <c r="C66" s="24">
        <v>1.9239679210154636E-2</v>
      </c>
      <c r="D66" s="42">
        <f t="shared" ref="D66:D97" si="8">IF(COUNTIF(N:N,A65),2,IF(COUNTIF(O:O,A65),1,0))</f>
        <v>1</v>
      </c>
      <c r="F66" s="42">
        <f t="shared" ref="F66:F129" si="9">IF(D66=0,B66,0)</f>
        <v>0</v>
      </c>
      <c r="G66" s="42">
        <f t="shared" ref="G66:G129" si="10">IF(D66=1,B66,0)</f>
        <v>0.57672375833333334</v>
      </c>
      <c r="H66" s="42">
        <f t="shared" ref="H66:H129" si="11">IF(D66=2,B66,0)</f>
        <v>0</v>
      </c>
      <c r="I66" s="42">
        <f t="shared" ref="I66:I129" si="12">IF(D66=0,C66,0)</f>
        <v>0</v>
      </c>
      <c r="J66" s="42">
        <f t="shared" ref="J66:J129" si="13">IF(D66=1,C66,0)</f>
        <v>1.9239679210154636E-2</v>
      </c>
      <c r="K66" s="42">
        <f t="shared" ref="K66:K129" si="14">IF(D66=2,C66,0)</f>
        <v>0</v>
      </c>
      <c r="N66" s="14"/>
    </row>
    <row r="67" spans="1:14" x14ac:dyDescent="0.25">
      <c r="A67" s="23">
        <v>508</v>
      </c>
      <c r="B67" s="24">
        <v>0.57712522683804879</v>
      </c>
      <c r="C67" s="24">
        <v>3.8418598128375364E-2</v>
      </c>
      <c r="D67" s="42">
        <f t="shared" si="8"/>
        <v>2</v>
      </c>
      <c r="F67" s="42">
        <f t="shared" si="9"/>
        <v>0</v>
      </c>
      <c r="G67" s="42">
        <f t="shared" si="10"/>
        <v>0</v>
      </c>
      <c r="H67" s="42">
        <f t="shared" si="11"/>
        <v>0.57712522683804879</v>
      </c>
      <c r="I67" s="42">
        <f t="shared" si="12"/>
        <v>0</v>
      </c>
      <c r="J67" s="42">
        <f t="shared" si="13"/>
        <v>0</v>
      </c>
      <c r="K67" s="42">
        <f t="shared" si="14"/>
        <v>3.8418598128375364E-2</v>
      </c>
      <c r="N67" s="14"/>
    </row>
    <row r="68" spans="1:14" x14ac:dyDescent="0.25">
      <c r="A68" s="21">
        <v>235</v>
      </c>
      <c r="B68" s="25">
        <v>0.57829034026975701</v>
      </c>
      <c r="C68" s="25">
        <v>6.108167551372843E-2</v>
      </c>
      <c r="D68" s="42">
        <f t="shared" si="8"/>
        <v>0</v>
      </c>
      <c r="F68" s="42">
        <f t="shared" si="9"/>
        <v>0.57829034026975701</v>
      </c>
      <c r="G68" s="42">
        <f t="shared" si="10"/>
        <v>0</v>
      </c>
      <c r="H68" s="42">
        <f t="shared" si="11"/>
        <v>0</v>
      </c>
      <c r="I68" s="42">
        <f t="shared" si="12"/>
        <v>6.108167551372843E-2</v>
      </c>
      <c r="J68" s="42">
        <f t="shared" si="13"/>
        <v>0</v>
      </c>
      <c r="K68" s="42">
        <f t="shared" si="14"/>
        <v>0</v>
      </c>
      <c r="N68" s="14"/>
    </row>
    <row r="69" spans="1:14" x14ac:dyDescent="0.25">
      <c r="A69" s="23">
        <v>371</v>
      </c>
      <c r="B69" s="24">
        <v>0.57955456930944793</v>
      </c>
      <c r="C69" s="24">
        <v>6.6696053675396605E-2</v>
      </c>
      <c r="D69" s="42">
        <f t="shared" si="8"/>
        <v>0</v>
      </c>
      <c r="F69" s="42">
        <f t="shared" si="9"/>
        <v>0.57955456930944793</v>
      </c>
      <c r="G69" s="42">
        <f t="shared" si="10"/>
        <v>0</v>
      </c>
      <c r="H69" s="42">
        <f t="shared" si="11"/>
        <v>0</v>
      </c>
      <c r="I69" s="42">
        <f t="shared" si="12"/>
        <v>6.6696053675396605E-2</v>
      </c>
      <c r="J69" s="42">
        <f t="shared" si="13"/>
        <v>0</v>
      </c>
      <c r="K69" s="42">
        <f t="shared" si="14"/>
        <v>0</v>
      </c>
      <c r="N69" s="14"/>
    </row>
    <row r="70" spans="1:14" x14ac:dyDescent="0.25">
      <c r="A70" s="23">
        <v>855</v>
      </c>
      <c r="B70" s="24">
        <v>0.58028083892727922</v>
      </c>
      <c r="C70" s="24">
        <v>9.9315919616177695E-2</v>
      </c>
      <c r="D70" s="42">
        <f t="shared" si="8"/>
        <v>2</v>
      </c>
      <c r="F70" s="42">
        <f t="shared" si="9"/>
        <v>0</v>
      </c>
      <c r="G70" s="42">
        <f t="shared" si="10"/>
        <v>0</v>
      </c>
      <c r="H70" s="42">
        <f t="shared" si="11"/>
        <v>0.58028083892727922</v>
      </c>
      <c r="I70" s="42">
        <f t="shared" si="12"/>
        <v>0</v>
      </c>
      <c r="J70" s="42">
        <f t="shared" si="13"/>
        <v>0</v>
      </c>
      <c r="K70" s="42">
        <f t="shared" si="14"/>
        <v>9.9315919616177695E-2</v>
      </c>
      <c r="N70" s="14"/>
    </row>
    <row r="71" spans="1:14" x14ac:dyDescent="0.25">
      <c r="A71" s="21">
        <v>391</v>
      </c>
      <c r="B71" s="25">
        <v>0.58049086687545437</v>
      </c>
      <c r="C71" s="25">
        <v>2.8408247394306276E-2</v>
      </c>
      <c r="D71" s="42">
        <f t="shared" si="8"/>
        <v>0</v>
      </c>
      <c r="F71" s="42">
        <f t="shared" si="9"/>
        <v>0.58049086687545437</v>
      </c>
      <c r="G71" s="42">
        <f t="shared" si="10"/>
        <v>0</v>
      </c>
      <c r="H71" s="42">
        <f t="shared" si="11"/>
        <v>0</v>
      </c>
      <c r="I71" s="42">
        <f t="shared" si="12"/>
        <v>2.8408247394306276E-2</v>
      </c>
      <c r="J71" s="42">
        <f t="shared" si="13"/>
        <v>0</v>
      </c>
      <c r="K71" s="42">
        <f t="shared" si="14"/>
        <v>0</v>
      </c>
      <c r="N71" s="43"/>
    </row>
    <row r="72" spans="1:14" x14ac:dyDescent="0.25">
      <c r="A72" s="21">
        <v>390</v>
      </c>
      <c r="B72" s="25">
        <v>0.584359235356531</v>
      </c>
      <c r="C72" s="25">
        <v>0.13132061343744211</v>
      </c>
      <c r="D72" s="42">
        <f t="shared" si="8"/>
        <v>0</v>
      </c>
      <c r="F72" s="42">
        <f t="shared" si="9"/>
        <v>0.584359235356531</v>
      </c>
      <c r="G72" s="42">
        <f t="shared" si="10"/>
        <v>0</v>
      </c>
      <c r="H72" s="42">
        <f t="shared" si="11"/>
        <v>0</v>
      </c>
      <c r="I72" s="42">
        <f t="shared" si="12"/>
        <v>0.13132061343744211</v>
      </c>
      <c r="J72" s="42">
        <f t="shared" si="13"/>
        <v>0</v>
      </c>
      <c r="K72" s="42">
        <f t="shared" si="14"/>
        <v>0</v>
      </c>
      <c r="N72" s="43"/>
    </row>
    <row r="73" spans="1:14" x14ac:dyDescent="0.25">
      <c r="A73" s="23">
        <v>129</v>
      </c>
      <c r="B73" s="24">
        <v>0.58677582346190282</v>
      </c>
      <c r="C73" s="24">
        <v>3.0954430024731777E-2</v>
      </c>
      <c r="D73" s="42">
        <f t="shared" si="8"/>
        <v>1</v>
      </c>
      <c r="F73" s="42">
        <f t="shared" si="9"/>
        <v>0</v>
      </c>
      <c r="G73" s="42">
        <f t="shared" si="10"/>
        <v>0.58677582346190282</v>
      </c>
      <c r="H73" s="42">
        <f t="shared" si="11"/>
        <v>0</v>
      </c>
      <c r="I73" s="42">
        <f t="shared" si="12"/>
        <v>0</v>
      </c>
      <c r="J73" s="42">
        <f t="shared" si="13"/>
        <v>3.0954430024731777E-2</v>
      </c>
      <c r="K73" s="42">
        <f t="shared" si="14"/>
        <v>0</v>
      </c>
      <c r="N73" s="43"/>
    </row>
    <row r="74" spans="1:14" x14ac:dyDescent="0.25">
      <c r="A74" s="23">
        <v>703</v>
      </c>
      <c r="B74" s="24">
        <v>0.58963115742328853</v>
      </c>
      <c r="C74" s="24">
        <v>7.11351843939593E-2</v>
      </c>
      <c r="D74" s="42">
        <f t="shared" si="8"/>
        <v>2</v>
      </c>
      <c r="F74" s="42">
        <f t="shared" si="9"/>
        <v>0</v>
      </c>
      <c r="G74" s="42">
        <f t="shared" si="10"/>
        <v>0</v>
      </c>
      <c r="H74" s="42">
        <f t="shared" si="11"/>
        <v>0.58963115742328853</v>
      </c>
      <c r="I74" s="42">
        <f t="shared" si="12"/>
        <v>0</v>
      </c>
      <c r="J74" s="42">
        <f t="shared" si="13"/>
        <v>0</v>
      </c>
      <c r="K74" s="42">
        <f t="shared" si="14"/>
        <v>7.11351843939593E-2</v>
      </c>
      <c r="N74" s="43"/>
    </row>
    <row r="75" spans="1:14" x14ac:dyDescent="0.25">
      <c r="A75" s="23">
        <v>318</v>
      </c>
      <c r="B75" s="24">
        <v>0.59161783769986498</v>
      </c>
      <c r="C75" s="24">
        <v>5.5362318842109064E-2</v>
      </c>
      <c r="D75" s="42">
        <f t="shared" si="8"/>
        <v>2</v>
      </c>
      <c r="F75" s="42">
        <f t="shared" si="9"/>
        <v>0</v>
      </c>
      <c r="G75" s="42">
        <f t="shared" si="10"/>
        <v>0</v>
      </c>
      <c r="H75" s="42">
        <f t="shared" si="11"/>
        <v>0.59161783769986498</v>
      </c>
      <c r="I75" s="42">
        <f t="shared" si="12"/>
        <v>0</v>
      </c>
      <c r="J75" s="42">
        <f t="shared" si="13"/>
        <v>0</v>
      </c>
      <c r="K75" s="42">
        <f t="shared" si="14"/>
        <v>5.5362318842109064E-2</v>
      </c>
      <c r="N75" s="43"/>
    </row>
    <row r="76" spans="1:14" x14ac:dyDescent="0.25">
      <c r="A76" s="23">
        <v>805</v>
      </c>
      <c r="B76" s="24">
        <v>0.59285559031833834</v>
      </c>
      <c r="C76" s="24">
        <v>5.0320764981525608E-2</v>
      </c>
      <c r="D76" s="42">
        <f t="shared" si="8"/>
        <v>2</v>
      </c>
      <c r="F76" s="42">
        <f t="shared" si="9"/>
        <v>0</v>
      </c>
      <c r="G76" s="42">
        <f t="shared" si="10"/>
        <v>0</v>
      </c>
      <c r="H76" s="42">
        <f t="shared" si="11"/>
        <v>0.59285559031833834</v>
      </c>
      <c r="I76" s="42">
        <f t="shared" si="12"/>
        <v>0</v>
      </c>
      <c r="J76" s="42">
        <f t="shared" si="13"/>
        <v>0</v>
      </c>
      <c r="K76" s="42">
        <f t="shared" si="14"/>
        <v>5.0320764981525608E-2</v>
      </c>
      <c r="N76" s="43"/>
    </row>
    <row r="77" spans="1:14" x14ac:dyDescent="0.25">
      <c r="A77" s="21">
        <v>513</v>
      </c>
      <c r="B77" s="25">
        <v>0.59360737970184907</v>
      </c>
      <c r="C77" s="25">
        <v>2.7333861460841945E-2</v>
      </c>
      <c r="D77" s="42">
        <f t="shared" si="8"/>
        <v>0</v>
      </c>
      <c r="F77" s="42">
        <f t="shared" si="9"/>
        <v>0.59360737970184907</v>
      </c>
      <c r="G77" s="42">
        <f t="shared" si="10"/>
        <v>0</v>
      </c>
      <c r="H77" s="42">
        <f t="shared" si="11"/>
        <v>0</v>
      </c>
      <c r="I77" s="42">
        <f t="shared" si="12"/>
        <v>2.7333861460841945E-2</v>
      </c>
      <c r="J77" s="42">
        <f t="shared" si="13"/>
        <v>0</v>
      </c>
      <c r="K77" s="42">
        <f t="shared" si="14"/>
        <v>0</v>
      </c>
      <c r="N77" s="43"/>
    </row>
    <row r="78" spans="1:14" x14ac:dyDescent="0.25">
      <c r="A78" s="23">
        <v>350</v>
      </c>
      <c r="B78" s="24">
        <v>0.59443852274788556</v>
      </c>
      <c r="C78" s="24">
        <v>6.3728458696705917E-2</v>
      </c>
      <c r="D78" s="42">
        <f t="shared" si="8"/>
        <v>0</v>
      </c>
      <c r="F78" s="42">
        <f t="shared" si="9"/>
        <v>0.59443852274788556</v>
      </c>
      <c r="G78" s="42">
        <f t="shared" si="10"/>
        <v>0</v>
      </c>
      <c r="H78" s="42">
        <f t="shared" si="11"/>
        <v>0</v>
      </c>
      <c r="I78" s="42">
        <f t="shared" si="12"/>
        <v>6.3728458696705917E-2</v>
      </c>
      <c r="J78" s="42">
        <f t="shared" si="13"/>
        <v>0</v>
      </c>
      <c r="K78" s="42">
        <f t="shared" si="14"/>
        <v>0</v>
      </c>
      <c r="N78" s="43"/>
    </row>
    <row r="79" spans="1:14" x14ac:dyDescent="0.25">
      <c r="A79" s="21">
        <v>59</v>
      </c>
      <c r="B79" s="25">
        <v>0.59534214791666662</v>
      </c>
      <c r="C79" s="25">
        <v>4.0130816621213081E-2</v>
      </c>
      <c r="D79" s="42">
        <f t="shared" si="8"/>
        <v>0</v>
      </c>
      <c r="F79" s="42">
        <f t="shared" si="9"/>
        <v>0.59534214791666662</v>
      </c>
      <c r="G79" s="42">
        <f t="shared" si="10"/>
        <v>0</v>
      </c>
      <c r="H79" s="42">
        <f t="shared" si="11"/>
        <v>0</v>
      </c>
      <c r="I79" s="42">
        <f t="shared" si="12"/>
        <v>4.0130816621213081E-2</v>
      </c>
      <c r="J79" s="42">
        <f t="shared" si="13"/>
        <v>0</v>
      </c>
      <c r="K79" s="42">
        <f t="shared" si="14"/>
        <v>0</v>
      </c>
      <c r="N79" s="43"/>
    </row>
    <row r="80" spans="1:14" x14ac:dyDescent="0.25">
      <c r="A80" s="21">
        <v>32</v>
      </c>
      <c r="B80" s="25">
        <v>0.59913571025082424</v>
      </c>
      <c r="C80" s="25">
        <v>4.0617119794639292E-2</v>
      </c>
      <c r="D80" s="42">
        <f t="shared" si="8"/>
        <v>0</v>
      </c>
      <c r="F80" s="42">
        <f t="shared" si="9"/>
        <v>0.59913571025082424</v>
      </c>
      <c r="G80" s="42">
        <f t="shared" si="10"/>
        <v>0</v>
      </c>
      <c r="H80" s="42">
        <f t="shared" si="11"/>
        <v>0</v>
      </c>
      <c r="I80" s="42">
        <f t="shared" si="12"/>
        <v>4.0617119794639292E-2</v>
      </c>
      <c r="J80" s="42">
        <f t="shared" si="13"/>
        <v>0</v>
      </c>
      <c r="K80" s="42">
        <f t="shared" si="14"/>
        <v>0</v>
      </c>
      <c r="N80" s="43"/>
    </row>
    <row r="81" spans="1:14" x14ac:dyDescent="0.25">
      <c r="A81" s="29">
        <v>324</v>
      </c>
      <c r="B81" s="25">
        <v>0.60120559638464022</v>
      </c>
      <c r="C81" s="25">
        <v>4.575323357019017E-2</v>
      </c>
      <c r="D81" s="42">
        <f t="shared" si="8"/>
        <v>0</v>
      </c>
      <c r="F81" s="42">
        <f t="shared" si="9"/>
        <v>0.60120559638464022</v>
      </c>
      <c r="G81" s="42">
        <f t="shared" si="10"/>
        <v>0</v>
      </c>
      <c r="H81" s="42">
        <f t="shared" si="11"/>
        <v>0</v>
      </c>
      <c r="I81" s="42">
        <f t="shared" si="12"/>
        <v>4.575323357019017E-2</v>
      </c>
      <c r="J81" s="42">
        <f t="shared" si="13"/>
        <v>0</v>
      </c>
      <c r="K81" s="42">
        <f t="shared" si="14"/>
        <v>0</v>
      </c>
      <c r="N81" s="43"/>
    </row>
    <row r="82" spans="1:14" x14ac:dyDescent="0.25">
      <c r="A82" s="29">
        <v>559</v>
      </c>
      <c r="B82" s="25">
        <v>0.60122657024148607</v>
      </c>
      <c r="C82" s="25">
        <v>7.9074775378651693E-2</v>
      </c>
      <c r="D82" s="42">
        <f t="shared" si="8"/>
        <v>0</v>
      </c>
      <c r="F82" s="42">
        <f t="shared" si="9"/>
        <v>0.60122657024148607</v>
      </c>
      <c r="G82" s="42">
        <f t="shared" si="10"/>
        <v>0</v>
      </c>
      <c r="H82" s="42">
        <f t="shared" si="11"/>
        <v>0</v>
      </c>
      <c r="I82" s="42">
        <f t="shared" si="12"/>
        <v>7.9074775378651693E-2</v>
      </c>
      <c r="J82" s="42">
        <f t="shared" si="13"/>
        <v>0</v>
      </c>
      <c r="K82" s="42">
        <f t="shared" si="14"/>
        <v>0</v>
      </c>
      <c r="N82" s="43"/>
    </row>
    <row r="83" spans="1:14" x14ac:dyDescent="0.25">
      <c r="A83" s="21">
        <v>908</v>
      </c>
      <c r="B83" s="25">
        <v>0.60313389340573831</v>
      </c>
      <c r="C83" s="25">
        <v>2.0356971978869556E-2</v>
      </c>
      <c r="D83" s="42">
        <f t="shared" si="8"/>
        <v>0</v>
      </c>
      <c r="F83" s="42">
        <f t="shared" si="9"/>
        <v>0.60313389340573831</v>
      </c>
      <c r="G83" s="42">
        <f t="shared" si="10"/>
        <v>0</v>
      </c>
      <c r="H83" s="42">
        <f t="shared" si="11"/>
        <v>0</v>
      </c>
      <c r="I83" s="42">
        <f t="shared" si="12"/>
        <v>2.0356971978869556E-2</v>
      </c>
      <c r="J83" s="42">
        <f t="shared" si="13"/>
        <v>0</v>
      </c>
      <c r="K83" s="42">
        <f t="shared" si="14"/>
        <v>0</v>
      </c>
      <c r="N83" s="43"/>
    </row>
    <row r="84" spans="1:14" x14ac:dyDescent="0.25">
      <c r="A84" s="29">
        <v>88</v>
      </c>
      <c r="B84" s="25">
        <v>0.60440036436980915</v>
      </c>
      <c r="C84" s="25">
        <v>4.8935489795014421E-2</v>
      </c>
      <c r="D84" s="42">
        <f t="shared" si="8"/>
        <v>0</v>
      </c>
      <c r="F84" s="42">
        <f t="shared" si="9"/>
        <v>0.60440036436980915</v>
      </c>
      <c r="G84" s="42">
        <f t="shared" si="10"/>
        <v>0</v>
      </c>
      <c r="H84" s="42">
        <f t="shared" si="11"/>
        <v>0</v>
      </c>
      <c r="I84" s="42">
        <f t="shared" si="12"/>
        <v>4.8935489795014421E-2</v>
      </c>
      <c r="J84" s="42">
        <f t="shared" si="13"/>
        <v>0</v>
      </c>
      <c r="K84" s="42">
        <f t="shared" si="14"/>
        <v>0</v>
      </c>
      <c r="N84" s="43"/>
    </row>
    <row r="85" spans="1:14" x14ac:dyDescent="0.25">
      <c r="A85" s="29">
        <v>774</v>
      </c>
      <c r="B85" s="25">
        <v>0.60760794957041586</v>
      </c>
      <c r="C85" s="25">
        <v>6.5194949623401735E-2</v>
      </c>
      <c r="D85" s="42">
        <f t="shared" si="8"/>
        <v>0</v>
      </c>
      <c r="F85" s="42">
        <f t="shared" si="9"/>
        <v>0.60760794957041586</v>
      </c>
      <c r="G85" s="42">
        <f t="shared" si="10"/>
        <v>0</v>
      </c>
      <c r="H85" s="42">
        <f t="shared" si="11"/>
        <v>0</v>
      </c>
      <c r="I85" s="42">
        <f t="shared" si="12"/>
        <v>6.5194949623401735E-2</v>
      </c>
      <c r="J85" s="42">
        <f t="shared" si="13"/>
        <v>0</v>
      </c>
      <c r="K85" s="42">
        <f t="shared" si="14"/>
        <v>0</v>
      </c>
    </row>
    <row r="86" spans="1:14" x14ac:dyDescent="0.25">
      <c r="A86" s="21">
        <v>852</v>
      </c>
      <c r="B86" s="25">
        <v>0.61061849654624722</v>
      </c>
      <c r="C86" s="25">
        <v>4.2950442930063282E-2</v>
      </c>
      <c r="D86" s="42">
        <f t="shared" si="8"/>
        <v>2</v>
      </c>
      <c r="F86" s="42">
        <f t="shared" si="9"/>
        <v>0</v>
      </c>
      <c r="G86" s="42">
        <f t="shared" si="10"/>
        <v>0</v>
      </c>
      <c r="H86" s="42">
        <f t="shared" si="11"/>
        <v>0.61061849654624722</v>
      </c>
      <c r="I86" s="42">
        <f t="shared" si="12"/>
        <v>0</v>
      </c>
      <c r="J86" s="42">
        <f t="shared" si="13"/>
        <v>0</v>
      </c>
      <c r="K86" s="42">
        <f t="shared" si="14"/>
        <v>4.2950442930063282E-2</v>
      </c>
    </row>
    <row r="87" spans="1:14" x14ac:dyDescent="0.25">
      <c r="A87" s="23">
        <v>849</v>
      </c>
      <c r="B87" s="24">
        <v>0.61102434627589663</v>
      </c>
      <c r="C87" s="24">
        <v>2.6420053346111992E-2</v>
      </c>
      <c r="D87" s="42">
        <f t="shared" si="8"/>
        <v>0</v>
      </c>
      <c r="F87" s="42">
        <f t="shared" si="9"/>
        <v>0.61102434627589663</v>
      </c>
      <c r="G87" s="42">
        <f t="shared" si="10"/>
        <v>0</v>
      </c>
      <c r="H87" s="42">
        <f t="shared" si="11"/>
        <v>0</v>
      </c>
      <c r="I87" s="42">
        <f t="shared" si="12"/>
        <v>2.6420053346111992E-2</v>
      </c>
      <c r="J87" s="42">
        <f t="shared" si="13"/>
        <v>0</v>
      </c>
      <c r="K87" s="42">
        <f t="shared" si="14"/>
        <v>0</v>
      </c>
    </row>
    <row r="88" spans="1:14" x14ac:dyDescent="0.25">
      <c r="A88" s="21">
        <v>913</v>
      </c>
      <c r="B88" s="25">
        <v>0.61176040525555964</v>
      </c>
      <c r="C88" s="25">
        <v>3.4722428065943903E-2</v>
      </c>
      <c r="D88" s="42">
        <f t="shared" si="8"/>
        <v>0</v>
      </c>
      <c r="F88" s="42">
        <f t="shared" si="9"/>
        <v>0.61176040525555964</v>
      </c>
      <c r="G88" s="42">
        <f t="shared" si="10"/>
        <v>0</v>
      </c>
      <c r="H88" s="42">
        <f t="shared" si="11"/>
        <v>0</v>
      </c>
      <c r="I88" s="42">
        <f t="shared" si="12"/>
        <v>3.4722428065943903E-2</v>
      </c>
      <c r="J88" s="42">
        <f t="shared" si="13"/>
        <v>0</v>
      </c>
      <c r="K88" s="42">
        <f t="shared" si="14"/>
        <v>0</v>
      </c>
    </row>
    <row r="89" spans="1:14" x14ac:dyDescent="0.25">
      <c r="A89" s="21">
        <v>405</v>
      </c>
      <c r="B89" s="25">
        <v>0.61570921322949212</v>
      </c>
      <c r="C89" s="25">
        <v>6.3696953005547188E-2</v>
      </c>
      <c r="D89" s="42">
        <f t="shared" si="8"/>
        <v>0</v>
      </c>
      <c r="F89" s="42">
        <f t="shared" si="9"/>
        <v>0.61570921322949212</v>
      </c>
      <c r="G89" s="42">
        <f t="shared" si="10"/>
        <v>0</v>
      </c>
      <c r="H89" s="42">
        <f t="shared" si="11"/>
        <v>0</v>
      </c>
      <c r="I89" s="42">
        <f t="shared" si="12"/>
        <v>6.3696953005547188E-2</v>
      </c>
      <c r="J89" s="42">
        <f t="shared" si="13"/>
        <v>0</v>
      </c>
      <c r="K89" s="42">
        <f t="shared" si="14"/>
        <v>0</v>
      </c>
    </row>
    <row r="90" spans="1:14" x14ac:dyDescent="0.25">
      <c r="A90" s="23">
        <v>853</v>
      </c>
      <c r="B90" s="24">
        <v>0.61614098574933052</v>
      </c>
      <c r="C90" s="24">
        <v>4.2970101161726865E-2</v>
      </c>
      <c r="D90" s="42">
        <f t="shared" si="8"/>
        <v>0</v>
      </c>
      <c r="F90" s="42">
        <f t="shared" si="9"/>
        <v>0.61614098574933052</v>
      </c>
      <c r="G90" s="42">
        <f t="shared" si="10"/>
        <v>0</v>
      </c>
      <c r="H90" s="42">
        <f t="shared" si="11"/>
        <v>0</v>
      </c>
      <c r="I90" s="42">
        <f t="shared" si="12"/>
        <v>4.2970101161726865E-2</v>
      </c>
      <c r="J90" s="42">
        <f t="shared" si="13"/>
        <v>0</v>
      </c>
      <c r="K90" s="42">
        <f t="shared" si="14"/>
        <v>0</v>
      </c>
    </row>
    <row r="91" spans="1:14" x14ac:dyDescent="0.25">
      <c r="A91" s="21">
        <v>900</v>
      </c>
      <c r="B91" s="25">
        <v>0.61682784604466456</v>
      </c>
      <c r="C91" s="25">
        <v>4.4501180511845109E-2</v>
      </c>
      <c r="D91" s="42">
        <f t="shared" si="8"/>
        <v>0</v>
      </c>
      <c r="F91" s="42">
        <f t="shared" si="9"/>
        <v>0.61682784604466456</v>
      </c>
      <c r="G91" s="42">
        <f t="shared" si="10"/>
        <v>0</v>
      </c>
      <c r="H91" s="42">
        <f t="shared" si="11"/>
        <v>0</v>
      </c>
      <c r="I91" s="42">
        <f t="shared" si="12"/>
        <v>4.4501180511845109E-2</v>
      </c>
      <c r="J91" s="42">
        <f t="shared" si="13"/>
        <v>0</v>
      </c>
      <c r="K91" s="42">
        <f t="shared" si="14"/>
        <v>0</v>
      </c>
    </row>
    <row r="92" spans="1:14" x14ac:dyDescent="0.25">
      <c r="A92" s="23">
        <v>383</v>
      </c>
      <c r="B92" s="24">
        <v>0.61873933646215007</v>
      </c>
      <c r="C92" s="24">
        <v>6.4515182730068427E-2</v>
      </c>
      <c r="D92" s="42">
        <f t="shared" si="8"/>
        <v>0</v>
      </c>
      <c r="F92" s="42">
        <f t="shared" si="9"/>
        <v>0.61873933646215007</v>
      </c>
      <c r="G92" s="42">
        <f t="shared" si="10"/>
        <v>0</v>
      </c>
      <c r="H92" s="42">
        <f t="shared" si="11"/>
        <v>0</v>
      </c>
      <c r="I92" s="42">
        <f t="shared" si="12"/>
        <v>6.4515182730068427E-2</v>
      </c>
      <c r="J92" s="42">
        <f t="shared" si="13"/>
        <v>0</v>
      </c>
      <c r="K92" s="42">
        <f t="shared" si="14"/>
        <v>0</v>
      </c>
    </row>
    <row r="93" spans="1:14" x14ac:dyDescent="0.25">
      <c r="A93" s="23">
        <v>822</v>
      </c>
      <c r="B93" s="24">
        <v>0.61891590310541611</v>
      </c>
      <c r="C93" s="24">
        <v>4.9133653214946463E-2</v>
      </c>
      <c r="D93" s="42">
        <f t="shared" si="8"/>
        <v>0</v>
      </c>
      <c r="F93" s="42">
        <f t="shared" si="9"/>
        <v>0.61891590310541611</v>
      </c>
      <c r="G93" s="42">
        <f t="shared" si="10"/>
        <v>0</v>
      </c>
      <c r="H93" s="42">
        <f t="shared" si="11"/>
        <v>0</v>
      </c>
      <c r="I93" s="42">
        <f t="shared" si="12"/>
        <v>4.9133653214946463E-2</v>
      </c>
      <c r="J93" s="42">
        <f t="shared" si="13"/>
        <v>0</v>
      </c>
      <c r="K93" s="42">
        <f t="shared" si="14"/>
        <v>0</v>
      </c>
    </row>
    <row r="94" spans="1:14" x14ac:dyDescent="0.25">
      <c r="A94" s="21">
        <v>100</v>
      </c>
      <c r="B94" s="25">
        <v>0.62015943653651107</v>
      </c>
      <c r="C94" s="25">
        <v>3.4366363488614847E-2</v>
      </c>
      <c r="D94" s="42">
        <f t="shared" si="8"/>
        <v>0</v>
      </c>
      <c r="F94" s="42">
        <f t="shared" si="9"/>
        <v>0.62015943653651107</v>
      </c>
      <c r="G94" s="42">
        <f t="shared" si="10"/>
        <v>0</v>
      </c>
      <c r="H94" s="42">
        <f t="shared" si="11"/>
        <v>0</v>
      </c>
      <c r="I94" s="42">
        <f t="shared" si="12"/>
        <v>3.4366363488614847E-2</v>
      </c>
      <c r="J94" s="42">
        <f t="shared" si="13"/>
        <v>0</v>
      </c>
      <c r="K94" s="42">
        <f t="shared" si="14"/>
        <v>0</v>
      </c>
    </row>
    <row r="95" spans="1:14" x14ac:dyDescent="0.25">
      <c r="A95" s="21">
        <v>627</v>
      </c>
      <c r="B95" s="25">
        <v>0.62229701203084631</v>
      </c>
      <c r="C95" s="25">
        <v>7.5726185809148902E-2</v>
      </c>
      <c r="D95" s="42">
        <f t="shared" si="8"/>
        <v>0</v>
      </c>
      <c r="F95" s="42">
        <f t="shared" si="9"/>
        <v>0.62229701203084631</v>
      </c>
      <c r="G95" s="42">
        <f t="shared" si="10"/>
        <v>0</v>
      </c>
      <c r="H95" s="42">
        <f t="shared" si="11"/>
        <v>0</v>
      </c>
      <c r="I95" s="42">
        <f t="shared" si="12"/>
        <v>7.5726185809148902E-2</v>
      </c>
      <c r="J95" s="42">
        <f t="shared" si="13"/>
        <v>0</v>
      </c>
      <c r="K95" s="42">
        <f t="shared" si="14"/>
        <v>0</v>
      </c>
    </row>
    <row r="96" spans="1:14" x14ac:dyDescent="0.25">
      <c r="A96" s="21">
        <v>73</v>
      </c>
      <c r="B96" s="25">
        <v>0.6253009603590669</v>
      </c>
      <c r="C96" s="25">
        <v>6.056904674241257E-2</v>
      </c>
      <c r="D96" s="42">
        <f t="shared" si="8"/>
        <v>0</v>
      </c>
      <c r="F96" s="42">
        <f t="shared" si="9"/>
        <v>0.6253009603590669</v>
      </c>
      <c r="G96" s="42">
        <f t="shared" si="10"/>
        <v>0</v>
      </c>
      <c r="H96" s="42">
        <f t="shared" si="11"/>
        <v>0</v>
      </c>
      <c r="I96" s="42">
        <f t="shared" si="12"/>
        <v>6.056904674241257E-2</v>
      </c>
      <c r="J96" s="42">
        <f t="shared" si="13"/>
        <v>0</v>
      </c>
      <c r="K96" s="42">
        <f t="shared" si="14"/>
        <v>0</v>
      </c>
    </row>
    <row r="97" spans="1:11" x14ac:dyDescent="0.25">
      <c r="A97" s="23">
        <v>892</v>
      </c>
      <c r="B97" s="24">
        <v>0.62734219652698198</v>
      </c>
      <c r="C97" s="24">
        <v>4.9679457969016468E-2</v>
      </c>
      <c r="D97" s="42">
        <f t="shared" si="8"/>
        <v>0</v>
      </c>
      <c r="F97" s="42">
        <f t="shared" si="9"/>
        <v>0.62734219652698198</v>
      </c>
      <c r="G97" s="42">
        <f t="shared" si="10"/>
        <v>0</v>
      </c>
      <c r="H97" s="42">
        <f t="shared" si="11"/>
        <v>0</v>
      </c>
      <c r="I97" s="42">
        <f t="shared" si="12"/>
        <v>4.9679457969016468E-2</v>
      </c>
      <c r="J97" s="42">
        <f t="shared" si="13"/>
        <v>0</v>
      </c>
      <c r="K97" s="42">
        <f t="shared" si="14"/>
        <v>0</v>
      </c>
    </row>
    <row r="98" spans="1:11" x14ac:dyDescent="0.25">
      <c r="A98" s="21">
        <v>208</v>
      </c>
      <c r="B98" s="25">
        <v>0.62827023905379498</v>
      </c>
      <c r="C98" s="25">
        <v>6.8485569723598705E-2</v>
      </c>
      <c r="D98" s="42">
        <f t="shared" ref="D98:D129" si="15">IF(COUNTIF(N:N,A97),2,IF(COUNTIF(O:O,A97),1,0))</f>
        <v>0</v>
      </c>
      <c r="F98" s="42">
        <f t="shared" si="9"/>
        <v>0.62827023905379498</v>
      </c>
      <c r="G98" s="42">
        <f t="shared" si="10"/>
        <v>0</v>
      </c>
      <c r="H98" s="42">
        <f t="shared" si="11"/>
        <v>0</v>
      </c>
      <c r="I98" s="42">
        <f t="shared" si="12"/>
        <v>6.8485569723598705E-2</v>
      </c>
      <c r="J98" s="42">
        <f t="shared" si="13"/>
        <v>0</v>
      </c>
      <c r="K98" s="42">
        <f t="shared" si="14"/>
        <v>0</v>
      </c>
    </row>
    <row r="99" spans="1:11" x14ac:dyDescent="0.25">
      <c r="A99" s="21">
        <v>26</v>
      </c>
      <c r="B99" s="25">
        <v>0.62834125542692398</v>
      </c>
      <c r="C99" s="25">
        <v>5.1609375092880501E-2</v>
      </c>
      <c r="D99" s="42">
        <f t="shared" si="15"/>
        <v>0</v>
      </c>
      <c r="F99" s="42">
        <f t="shared" si="9"/>
        <v>0.62834125542692398</v>
      </c>
      <c r="G99" s="42">
        <f t="shared" si="10"/>
        <v>0</v>
      </c>
      <c r="H99" s="42">
        <f t="shared" si="11"/>
        <v>0</v>
      </c>
      <c r="I99" s="42">
        <f t="shared" si="12"/>
        <v>5.1609375092880501E-2</v>
      </c>
      <c r="J99" s="42">
        <f t="shared" si="13"/>
        <v>0</v>
      </c>
      <c r="K99" s="42">
        <f t="shared" si="14"/>
        <v>0</v>
      </c>
    </row>
    <row r="100" spans="1:11" x14ac:dyDescent="0.25">
      <c r="A100" s="21">
        <v>304</v>
      </c>
      <c r="B100" s="25">
        <v>0.62910828497057658</v>
      </c>
      <c r="C100" s="25">
        <v>4.0998523665742533E-2</v>
      </c>
      <c r="D100" s="42">
        <f t="shared" si="15"/>
        <v>0</v>
      </c>
      <c r="F100" s="42">
        <f t="shared" si="9"/>
        <v>0.62910828497057658</v>
      </c>
      <c r="G100" s="42">
        <f t="shared" si="10"/>
        <v>0</v>
      </c>
      <c r="H100" s="42">
        <f t="shared" si="11"/>
        <v>0</v>
      </c>
      <c r="I100" s="42">
        <f t="shared" si="12"/>
        <v>4.0998523665742533E-2</v>
      </c>
      <c r="J100" s="42">
        <f t="shared" si="13"/>
        <v>0</v>
      </c>
      <c r="K100" s="42">
        <f t="shared" si="14"/>
        <v>0</v>
      </c>
    </row>
    <row r="101" spans="1:11" x14ac:dyDescent="0.25">
      <c r="A101" s="21">
        <v>439</v>
      </c>
      <c r="B101" s="25">
        <v>0.63049659025991023</v>
      </c>
      <c r="C101" s="25">
        <v>2.8002143720748E-2</v>
      </c>
      <c r="D101" s="42">
        <f t="shared" si="15"/>
        <v>0</v>
      </c>
      <c r="F101" s="42">
        <f t="shared" si="9"/>
        <v>0.63049659025991023</v>
      </c>
      <c r="G101" s="42">
        <f t="shared" si="10"/>
        <v>0</v>
      </c>
      <c r="H101" s="42">
        <f t="shared" si="11"/>
        <v>0</v>
      </c>
      <c r="I101" s="42">
        <f t="shared" si="12"/>
        <v>2.8002143720748E-2</v>
      </c>
      <c r="J101" s="42">
        <f t="shared" si="13"/>
        <v>0</v>
      </c>
      <c r="K101" s="42">
        <f t="shared" si="14"/>
        <v>0</v>
      </c>
    </row>
    <row r="102" spans="1:11" x14ac:dyDescent="0.25">
      <c r="A102" s="23">
        <v>595</v>
      </c>
      <c r="B102" s="24">
        <v>0.63437828260372897</v>
      </c>
      <c r="C102" s="24">
        <v>4.3871704250502852E-2</v>
      </c>
      <c r="D102" s="42">
        <f t="shared" si="15"/>
        <v>0</v>
      </c>
      <c r="F102" s="42">
        <f t="shared" si="9"/>
        <v>0.63437828260372897</v>
      </c>
      <c r="G102" s="42">
        <f t="shared" si="10"/>
        <v>0</v>
      </c>
      <c r="H102" s="42">
        <f t="shared" si="11"/>
        <v>0</v>
      </c>
      <c r="I102" s="42">
        <f t="shared" si="12"/>
        <v>4.3871704250502852E-2</v>
      </c>
      <c r="J102" s="42">
        <f t="shared" si="13"/>
        <v>0</v>
      </c>
      <c r="K102" s="42">
        <f t="shared" si="14"/>
        <v>0</v>
      </c>
    </row>
    <row r="103" spans="1:11" x14ac:dyDescent="0.25">
      <c r="A103" s="23">
        <v>890</v>
      </c>
      <c r="B103" s="24">
        <v>0.63469329456990187</v>
      </c>
      <c r="C103" s="24">
        <v>7.0269779883969027E-2</v>
      </c>
      <c r="D103" s="42">
        <f t="shared" si="15"/>
        <v>0</v>
      </c>
      <c r="F103" s="42">
        <f t="shared" si="9"/>
        <v>0.63469329456990187</v>
      </c>
      <c r="G103" s="42">
        <f t="shared" si="10"/>
        <v>0</v>
      </c>
      <c r="H103" s="42">
        <f t="shared" si="11"/>
        <v>0</v>
      </c>
      <c r="I103" s="42">
        <f t="shared" si="12"/>
        <v>7.0269779883969027E-2</v>
      </c>
      <c r="J103" s="42">
        <f t="shared" si="13"/>
        <v>0</v>
      </c>
      <c r="K103" s="42">
        <f t="shared" si="14"/>
        <v>0</v>
      </c>
    </row>
    <row r="104" spans="1:11" x14ac:dyDescent="0.25">
      <c r="A104" s="29">
        <v>227</v>
      </c>
      <c r="B104" s="25">
        <v>0.6364051975103473</v>
      </c>
      <c r="C104" s="25">
        <v>3.8303506631011938E-2</v>
      </c>
      <c r="D104" s="42">
        <f t="shared" si="15"/>
        <v>0</v>
      </c>
      <c r="F104" s="42">
        <f t="shared" si="9"/>
        <v>0.6364051975103473</v>
      </c>
      <c r="G104" s="42">
        <f t="shared" si="10"/>
        <v>0</v>
      </c>
      <c r="H104" s="42">
        <f t="shared" si="11"/>
        <v>0</v>
      </c>
      <c r="I104" s="42">
        <f t="shared" si="12"/>
        <v>3.8303506631011938E-2</v>
      </c>
      <c r="J104" s="42">
        <f t="shared" si="13"/>
        <v>0</v>
      </c>
      <c r="K104" s="42">
        <f t="shared" si="14"/>
        <v>0</v>
      </c>
    </row>
    <row r="105" spans="1:11" x14ac:dyDescent="0.25">
      <c r="A105" s="23">
        <v>149</v>
      </c>
      <c r="B105" s="24">
        <v>0.63835386728684529</v>
      </c>
      <c r="C105" s="24">
        <v>3.8041098137680508E-2</v>
      </c>
      <c r="D105" s="42">
        <f t="shared" si="15"/>
        <v>0</v>
      </c>
      <c r="F105" s="42">
        <f t="shared" si="9"/>
        <v>0.63835386728684529</v>
      </c>
      <c r="G105" s="42">
        <f t="shared" si="10"/>
        <v>0</v>
      </c>
      <c r="H105" s="42">
        <f t="shared" si="11"/>
        <v>0</v>
      </c>
      <c r="I105" s="42">
        <f t="shared" si="12"/>
        <v>3.8041098137680508E-2</v>
      </c>
      <c r="J105" s="42">
        <f t="shared" si="13"/>
        <v>0</v>
      </c>
      <c r="K105" s="42">
        <f t="shared" si="14"/>
        <v>0</v>
      </c>
    </row>
    <row r="106" spans="1:11" x14ac:dyDescent="0.25">
      <c r="A106" s="23">
        <v>136</v>
      </c>
      <c r="B106" s="24">
        <v>0.6391115308571429</v>
      </c>
      <c r="C106" s="24">
        <v>4.3414183553639692E-2</v>
      </c>
      <c r="D106" s="42">
        <f t="shared" si="15"/>
        <v>0</v>
      </c>
      <c r="F106" s="42">
        <f t="shared" si="9"/>
        <v>0.6391115308571429</v>
      </c>
      <c r="G106" s="42">
        <f t="shared" si="10"/>
        <v>0</v>
      </c>
      <c r="H106" s="42">
        <f t="shared" si="11"/>
        <v>0</v>
      </c>
      <c r="I106" s="42">
        <f t="shared" si="12"/>
        <v>4.3414183553639692E-2</v>
      </c>
      <c r="J106" s="42">
        <f t="shared" si="13"/>
        <v>0</v>
      </c>
      <c r="K106" s="42">
        <f t="shared" si="14"/>
        <v>0</v>
      </c>
    </row>
    <row r="107" spans="1:11" x14ac:dyDescent="0.25">
      <c r="A107" s="23">
        <v>502</v>
      </c>
      <c r="B107" s="24">
        <v>0.64069102729295457</v>
      </c>
      <c r="C107" s="24">
        <v>7.0786444257099165E-2</v>
      </c>
      <c r="D107" s="42">
        <f t="shared" si="15"/>
        <v>0</v>
      </c>
      <c r="F107" s="42">
        <f t="shared" si="9"/>
        <v>0.64069102729295457</v>
      </c>
      <c r="G107" s="42">
        <f t="shared" si="10"/>
        <v>0</v>
      </c>
      <c r="H107" s="42">
        <f t="shared" si="11"/>
        <v>0</v>
      </c>
      <c r="I107" s="42">
        <f t="shared" si="12"/>
        <v>7.0786444257099165E-2</v>
      </c>
      <c r="J107" s="42">
        <f t="shared" si="13"/>
        <v>0</v>
      </c>
      <c r="K107" s="42">
        <f t="shared" si="14"/>
        <v>0</v>
      </c>
    </row>
    <row r="108" spans="1:11" x14ac:dyDescent="0.25">
      <c r="A108" s="29">
        <v>319</v>
      </c>
      <c r="B108" s="25">
        <v>0.64236520486318016</v>
      </c>
      <c r="C108" s="25">
        <v>3.6598132344399945E-2</v>
      </c>
      <c r="D108" s="42">
        <f t="shared" si="15"/>
        <v>0</v>
      </c>
      <c r="F108" s="42">
        <f t="shared" si="9"/>
        <v>0.64236520486318016</v>
      </c>
      <c r="G108" s="42">
        <f t="shared" si="10"/>
        <v>0</v>
      </c>
      <c r="H108" s="42">
        <f t="shared" si="11"/>
        <v>0</v>
      </c>
      <c r="I108" s="42">
        <f t="shared" si="12"/>
        <v>3.6598132344399945E-2</v>
      </c>
      <c r="J108" s="42">
        <f t="shared" si="13"/>
        <v>0</v>
      </c>
      <c r="K108" s="42">
        <f t="shared" si="14"/>
        <v>0</v>
      </c>
    </row>
    <row r="109" spans="1:11" x14ac:dyDescent="0.25">
      <c r="A109" s="23">
        <v>491</v>
      </c>
      <c r="B109" s="24">
        <v>0.64567517857068302</v>
      </c>
      <c r="C109" s="24">
        <v>2.4477772162217869E-2</v>
      </c>
      <c r="D109" s="42">
        <f t="shared" si="15"/>
        <v>0</v>
      </c>
      <c r="F109" s="42">
        <f t="shared" si="9"/>
        <v>0.64567517857068302</v>
      </c>
      <c r="G109" s="42">
        <f t="shared" si="10"/>
        <v>0</v>
      </c>
      <c r="H109" s="42">
        <f t="shared" si="11"/>
        <v>0</v>
      </c>
      <c r="I109" s="42">
        <f t="shared" si="12"/>
        <v>2.4477772162217869E-2</v>
      </c>
      <c r="J109" s="42">
        <f t="shared" si="13"/>
        <v>0</v>
      </c>
      <c r="K109" s="42">
        <f t="shared" si="14"/>
        <v>0</v>
      </c>
    </row>
    <row r="110" spans="1:11" x14ac:dyDescent="0.25">
      <c r="A110" s="21">
        <v>31</v>
      </c>
      <c r="B110" s="25">
        <v>0.64570811282779128</v>
      </c>
      <c r="C110" s="25">
        <v>8.2605133899042144E-2</v>
      </c>
      <c r="D110" s="42">
        <f t="shared" si="15"/>
        <v>0</v>
      </c>
      <c r="F110" s="42">
        <f t="shared" si="9"/>
        <v>0.64570811282779128</v>
      </c>
      <c r="G110" s="42">
        <f t="shared" si="10"/>
        <v>0</v>
      </c>
      <c r="H110" s="42">
        <f t="shared" si="11"/>
        <v>0</v>
      </c>
      <c r="I110" s="42">
        <f t="shared" si="12"/>
        <v>8.2605133899042144E-2</v>
      </c>
      <c r="J110" s="42">
        <f t="shared" si="13"/>
        <v>0</v>
      </c>
      <c r="K110" s="42">
        <f t="shared" si="14"/>
        <v>0</v>
      </c>
    </row>
    <row r="111" spans="1:11" x14ac:dyDescent="0.25">
      <c r="A111" s="23">
        <v>790</v>
      </c>
      <c r="B111" s="24">
        <v>0.64593188831621273</v>
      </c>
      <c r="C111" s="24">
        <v>2.389422949223825E-2</v>
      </c>
      <c r="D111" s="42">
        <f t="shared" si="15"/>
        <v>1</v>
      </c>
      <c r="F111" s="42">
        <f t="shared" si="9"/>
        <v>0</v>
      </c>
      <c r="G111" s="42">
        <f t="shared" si="10"/>
        <v>0.64593188831621273</v>
      </c>
      <c r="H111" s="42">
        <f t="shared" si="11"/>
        <v>0</v>
      </c>
      <c r="I111" s="42">
        <f t="shared" si="12"/>
        <v>0</v>
      </c>
      <c r="J111" s="42">
        <f t="shared" si="13"/>
        <v>2.389422949223825E-2</v>
      </c>
      <c r="K111" s="42">
        <f t="shared" si="14"/>
        <v>0</v>
      </c>
    </row>
    <row r="112" spans="1:11" x14ac:dyDescent="0.25">
      <c r="A112" s="21">
        <v>799</v>
      </c>
      <c r="B112" s="25">
        <v>0.64681208718712757</v>
      </c>
      <c r="C112" s="25">
        <v>2.792015047257802E-2</v>
      </c>
      <c r="D112" s="42">
        <f t="shared" si="15"/>
        <v>0</v>
      </c>
      <c r="F112" s="42">
        <f t="shared" si="9"/>
        <v>0.64681208718712757</v>
      </c>
      <c r="G112" s="42">
        <f t="shared" si="10"/>
        <v>0</v>
      </c>
      <c r="H112" s="42">
        <f t="shared" si="11"/>
        <v>0</v>
      </c>
      <c r="I112" s="42">
        <f t="shared" si="12"/>
        <v>2.792015047257802E-2</v>
      </c>
      <c r="J112" s="42">
        <f t="shared" si="13"/>
        <v>0</v>
      </c>
      <c r="K112" s="42">
        <f t="shared" si="14"/>
        <v>0</v>
      </c>
    </row>
    <row r="113" spans="1:11" x14ac:dyDescent="0.25">
      <c r="A113" s="21">
        <v>69</v>
      </c>
      <c r="B113" s="25">
        <v>0.64803930212912142</v>
      </c>
      <c r="C113" s="25">
        <v>6.432970130422247E-2</v>
      </c>
      <c r="D113" s="42">
        <f t="shared" si="15"/>
        <v>0</v>
      </c>
      <c r="F113" s="42">
        <f t="shared" si="9"/>
        <v>0.64803930212912142</v>
      </c>
      <c r="G113" s="42">
        <f t="shared" si="10"/>
        <v>0</v>
      </c>
      <c r="H113" s="42">
        <f t="shared" si="11"/>
        <v>0</v>
      </c>
      <c r="I113" s="42">
        <f t="shared" si="12"/>
        <v>6.432970130422247E-2</v>
      </c>
      <c r="J113" s="42">
        <f t="shared" si="13"/>
        <v>0</v>
      </c>
      <c r="K113" s="42">
        <f t="shared" si="14"/>
        <v>0</v>
      </c>
    </row>
    <row r="114" spans="1:11" x14ac:dyDescent="0.25">
      <c r="A114" s="23">
        <v>748</v>
      </c>
      <c r="B114" s="24">
        <v>0.64876289396432607</v>
      </c>
      <c r="C114" s="24">
        <v>9.408552806071438E-2</v>
      </c>
      <c r="D114" s="42">
        <f t="shared" si="15"/>
        <v>0</v>
      </c>
      <c r="F114" s="42">
        <f t="shared" si="9"/>
        <v>0.64876289396432607</v>
      </c>
      <c r="G114" s="42">
        <f t="shared" si="10"/>
        <v>0</v>
      </c>
      <c r="H114" s="42">
        <f t="shared" si="11"/>
        <v>0</v>
      </c>
      <c r="I114" s="42">
        <f t="shared" si="12"/>
        <v>9.408552806071438E-2</v>
      </c>
      <c r="J114" s="42">
        <f t="shared" si="13"/>
        <v>0</v>
      </c>
      <c r="K114" s="42">
        <f t="shared" si="14"/>
        <v>0</v>
      </c>
    </row>
    <row r="115" spans="1:11" x14ac:dyDescent="0.25">
      <c r="A115" s="23">
        <v>237</v>
      </c>
      <c r="B115" s="24">
        <v>0.64900989402028386</v>
      </c>
      <c r="C115" s="24">
        <v>5.5509829173683245E-2</v>
      </c>
      <c r="D115" s="42">
        <f t="shared" si="15"/>
        <v>0</v>
      </c>
      <c r="F115" s="42">
        <f t="shared" si="9"/>
        <v>0.64900989402028386</v>
      </c>
      <c r="G115" s="42">
        <f t="shared" si="10"/>
        <v>0</v>
      </c>
      <c r="H115" s="42">
        <f t="shared" si="11"/>
        <v>0</v>
      </c>
      <c r="I115" s="42">
        <f t="shared" si="12"/>
        <v>5.5509829173683245E-2</v>
      </c>
      <c r="J115" s="42">
        <f t="shared" si="13"/>
        <v>0</v>
      </c>
      <c r="K115" s="42">
        <f t="shared" si="14"/>
        <v>0</v>
      </c>
    </row>
    <row r="116" spans="1:11" x14ac:dyDescent="0.25">
      <c r="A116" s="23">
        <v>738</v>
      </c>
      <c r="B116" s="24">
        <v>0.64931277297263024</v>
      </c>
      <c r="C116" s="24">
        <v>8.9975186841237634E-2</v>
      </c>
      <c r="D116" s="42">
        <f t="shared" si="15"/>
        <v>0</v>
      </c>
      <c r="F116" s="42">
        <f t="shared" si="9"/>
        <v>0.64931277297263024</v>
      </c>
      <c r="G116" s="42">
        <f t="shared" si="10"/>
        <v>0</v>
      </c>
      <c r="H116" s="42">
        <f t="shared" si="11"/>
        <v>0</v>
      </c>
      <c r="I116" s="42">
        <f t="shared" si="12"/>
        <v>8.9975186841237634E-2</v>
      </c>
      <c r="J116" s="42">
        <f t="shared" si="13"/>
        <v>0</v>
      </c>
      <c r="K116" s="42">
        <f t="shared" si="14"/>
        <v>0</v>
      </c>
    </row>
    <row r="117" spans="1:11" x14ac:dyDescent="0.25">
      <c r="A117" s="31">
        <v>348</v>
      </c>
      <c r="B117" s="24">
        <v>0.64967608787076747</v>
      </c>
      <c r="C117" s="24">
        <v>5.9588044598636203E-2</v>
      </c>
      <c r="D117" s="42">
        <f t="shared" si="15"/>
        <v>0</v>
      </c>
      <c r="F117" s="42">
        <f t="shared" si="9"/>
        <v>0.64967608787076747</v>
      </c>
      <c r="G117" s="42">
        <f t="shared" si="10"/>
        <v>0</v>
      </c>
      <c r="H117" s="42">
        <f t="shared" si="11"/>
        <v>0</v>
      </c>
      <c r="I117" s="42">
        <f t="shared" si="12"/>
        <v>5.9588044598636203E-2</v>
      </c>
      <c r="J117" s="42">
        <f t="shared" si="13"/>
        <v>0</v>
      </c>
      <c r="K117" s="42">
        <f t="shared" si="14"/>
        <v>0</v>
      </c>
    </row>
    <row r="118" spans="1:11" x14ac:dyDescent="0.25">
      <c r="A118" s="23">
        <v>441</v>
      </c>
      <c r="B118" s="24">
        <v>0.65306138286476001</v>
      </c>
      <c r="C118" s="24">
        <v>5.8093125085338343E-2</v>
      </c>
      <c r="D118" s="42">
        <f t="shared" si="15"/>
        <v>0</v>
      </c>
      <c r="F118" s="42">
        <f t="shared" si="9"/>
        <v>0.65306138286476001</v>
      </c>
      <c r="G118" s="42">
        <f t="shared" si="10"/>
        <v>0</v>
      </c>
      <c r="H118" s="42">
        <f t="shared" si="11"/>
        <v>0</v>
      </c>
      <c r="I118" s="42">
        <f t="shared" si="12"/>
        <v>5.8093125085338343E-2</v>
      </c>
      <c r="J118" s="42">
        <f t="shared" si="13"/>
        <v>0</v>
      </c>
      <c r="K118" s="42">
        <f t="shared" si="14"/>
        <v>0</v>
      </c>
    </row>
    <row r="119" spans="1:11" x14ac:dyDescent="0.25">
      <c r="A119" s="23">
        <v>850</v>
      </c>
      <c r="B119" s="24">
        <v>0.65312290921682037</v>
      </c>
      <c r="C119" s="24">
        <v>0.12423053243317314</v>
      </c>
      <c r="D119" s="42">
        <f t="shared" si="15"/>
        <v>0</v>
      </c>
      <c r="F119" s="42">
        <f t="shared" si="9"/>
        <v>0.65312290921682037</v>
      </c>
      <c r="G119" s="42">
        <f t="shared" si="10"/>
        <v>0</v>
      </c>
      <c r="H119" s="42">
        <f t="shared" si="11"/>
        <v>0</v>
      </c>
      <c r="I119" s="42">
        <f t="shared" si="12"/>
        <v>0.12423053243317314</v>
      </c>
      <c r="J119" s="42">
        <f t="shared" si="13"/>
        <v>0</v>
      </c>
      <c r="K119" s="42">
        <f t="shared" si="14"/>
        <v>0</v>
      </c>
    </row>
    <row r="120" spans="1:11" x14ac:dyDescent="0.25">
      <c r="A120" s="23">
        <v>808</v>
      </c>
      <c r="B120" s="24">
        <v>0.65335293249603354</v>
      </c>
      <c r="C120" s="24">
        <v>4.4687578372144827E-2</v>
      </c>
      <c r="D120" s="42">
        <f t="shared" si="15"/>
        <v>0</v>
      </c>
      <c r="F120" s="42">
        <f t="shared" si="9"/>
        <v>0.65335293249603354</v>
      </c>
      <c r="G120" s="42">
        <f t="shared" si="10"/>
        <v>0</v>
      </c>
      <c r="H120" s="42">
        <f t="shared" si="11"/>
        <v>0</v>
      </c>
      <c r="I120" s="42">
        <f t="shared" si="12"/>
        <v>4.4687578372144827E-2</v>
      </c>
      <c r="J120" s="42">
        <f t="shared" si="13"/>
        <v>0</v>
      </c>
      <c r="K120" s="42">
        <f t="shared" si="14"/>
        <v>0</v>
      </c>
    </row>
    <row r="121" spans="1:11" x14ac:dyDescent="0.25">
      <c r="A121" s="23">
        <v>370</v>
      </c>
      <c r="B121" s="24">
        <v>0.65430771596246806</v>
      </c>
      <c r="C121" s="24">
        <v>3.5295485476309202E-2</v>
      </c>
      <c r="D121" s="42">
        <f t="shared" si="15"/>
        <v>0</v>
      </c>
      <c r="F121" s="42">
        <f t="shared" si="9"/>
        <v>0.65430771596246806</v>
      </c>
      <c r="G121" s="42">
        <f t="shared" si="10"/>
        <v>0</v>
      </c>
      <c r="H121" s="42">
        <f t="shared" si="11"/>
        <v>0</v>
      </c>
      <c r="I121" s="42">
        <f t="shared" si="12"/>
        <v>3.5295485476309202E-2</v>
      </c>
      <c r="J121" s="42">
        <f t="shared" si="13"/>
        <v>0</v>
      </c>
      <c r="K121" s="42">
        <f t="shared" si="14"/>
        <v>0</v>
      </c>
    </row>
    <row r="122" spans="1:11" x14ac:dyDescent="0.25">
      <c r="A122" s="23">
        <v>373</v>
      </c>
      <c r="B122" s="24">
        <v>0.65487168568400944</v>
      </c>
      <c r="C122" s="24">
        <v>4.9726154129117961E-2</v>
      </c>
      <c r="D122" s="42">
        <f t="shared" si="15"/>
        <v>0</v>
      </c>
      <c r="F122" s="42">
        <f t="shared" si="9"/>
        <v>0.65487168568400944</v>
      </c>
      <c r="G122" s="42">
        <f t="shared" si="10"/>
        <v>0</v>
      </c>
      <c r="H122" s="42">
        <f t="shared" si="11"/>
        <v>0</v>
      </c>
      <c r="I122" s="42">
        <f t="shared" si="12"/>
        <v>4.9726154129117961E-2</v>
      </c>
      <c r="J122" s="42">
        <f t="shared" si="13"/>
        <v>0</v>
      </c>
      <c r="K122" s="42">
        <f t="shared" si="14"/>
        <v>0</v>
      </c>
    </row>
    <row r="123" spans="1:11" x14ac:dyDescent="0.25">
      <c r="A123" s="21">
        <v>321</v>
      </c>
      <c r="B123" s="25">
        <v>0.65605339579524968</v>
      </c>
      <c r="C123" s="25">
        <v>4.0057388486043274E-2</v>
      </c>
      <c r="D123" s="42">
        <f t="shared" si="15"/>
        <v>0</v>
      </c>
      <c r="F123" s="42">
        <f t="shared" si="9"/>
        <v>0.65605339579524968</v>
      </c>
      <c r="G123" s="42">
        <f t="shared" si="10"/>
        <v>0</v>
      </c>
      <c r="H123" s="42">
        <f t="shared" si="11"/>
        <v>0</v>
      </c>
      <c r="I123" s="42">
        <f t="shared" si="12"/>
        <v>4.0057388486043274E-2</v>
      </c>
      <c r="J123" s="42">
        <f t="shared" si="13"/>
        <v>0</v>
      </c>
      <c r="K123" s="42">
        <f t="shared" si="14"/>
        <v>0</v>
      </c>
    </row>
    <row r="124" spans="1:11" x14ac:dyDescent="0.25">
      <c r="A124" s="23">
        <v>727</v>
      </c>
      <c r="B124" s="24">
        <v>0.65719381658630693</v>
      </c>
      <c r="C124" s="24">
        <v>4.2981677916649953E-2</v>
      </c>
      <c r="D124" s="42">
        <f t="shared" si="15"/>
        <v>1</v>
      </c>
      <c r="F124" s="42">
        <f t="shared" si="9"/>
        <v>0</v>
      </c>
      <c r="G124" s="42">
        <f t="shared" si="10"/>
        <v>0.65719381658630693</v>
      </c>
      <c r="H124" s="42">
        <f t="shared" si="11"/>
        <v>0</v>
      </c>
      <c r="I124" s="42">
        <f t="shared" si="12"/>
        <v>0</v>
      </c>
      <c r="J124" s="42">
        <f t="shared" si="13"/>
        <v>4.2981677916649953E-2</v>
      </c>
      <c r="K124" s="42">
        <f t="shared" si="14"/>
        <v>0</v>
      </c>
    </row>
    <row r="125" spans="1:11" x14ac:dyDescent="0.25">
      <c r="A125" s="21">
        <v>707</v>
      </c>
      <c r="B125" s="25">
        <v>0.65770766521721324</v>
      </c>
      <c r="C125" s="25">
        <v>3.9621362800233317E-2</v>
      </c>
      <c r="D125" s="42">
        <f t="shared" si="15"/>
        <v>0</v>
      </c>
      <c r="F125" s="42">
        <f t="shared" si="9"/>
        <v>0.65770766521721324</v>
      </c>
      <c r="G125" s="42">
        <f t="shared" si="10"/>
        <v>0</v>
      </c>
      <c r="H125" s="42">
        <f t="shared" si="11"/>
        <v>0</v>
      </c>
      <c r="I125" s="42">
        <f t="shared" si="12"/>
        <v>3.9621362800233317E-2</v>
      </c>
      <c r="J125" s="42">
        <f t="shared" si="13"/>
        <v>0</v>
      </c>
      <c r="K125" s="42">
        <f t="shared" si="14"/>
        <v>0</v>
      </c>
    </row>
    <row r="126" spans="1:11" x14ac:dyDescent="0.25">
      <c r="A126" s="29">
        <v>38</v>
      </c>
      <c r="B126" s="25">
        <v>0.66126465028683812</v>
      </c>
      <c r="C126" s="25">
        <v>4.4717236508960707E-2</v>
      </c>
      <c r="D126" s="42">
        <f t="shared" si="15"/>
        <v>2</v>
      </c>
      <c r="F126" s="42">
        <f t="shared" si="9"/>
        <v>0</v>
      </c>
      <c r="G126" s="42">
        <f t="shared" si="10"/>
        <v>0</v>
      </c>
      <c r="H126" s="42">
        <f t="shared" si="11"/>
        <v>0.66126465028683812</v>
      </c>
      <c r="I126" s="42">
        <f t="shared" si="12"/>
        <v>0</v>
      </c>
      <c r="J126" s="42">
        <f t="shared" si="13"/>
        <v>0</v>
      </c>
      <c r="K126" s="42">
        <f t="shared" si="14"/>
        <v>4.4717236508960707E-2</v>
      </c>
    </row>
    <row r="127" spans="1:11" x14ac:dyDescent="0.25">
      <c r="A127" s="23">
        <v>821</v>
      </c>
      <c r="B127" s="24">
        <v>0.66135053759073081</v>
      </c>
      <c r="C127" s="24">
        <v>4.4854919911769119E-2</v>
      </c>
      <c r="D127" s="42">
        <f t="shared" si="15"/>
        <v>0</v>
      </c>
      <c r="F127" s="42">
        <f t="shared" si="9"/>
        <v>0.66135053759073081</v>
      </c>
      <c r="G127" s="42">
        <f t="shared" si="10"/>
        <v>0</v>
      </c>
      <c r="H127" s="42">
        <f t="shared" si="11"/>
        <v>0</v>
      </c>
      <c r="I127" s="42">
        <f t="shared" si="12"/>
        <v>4.4854919911769119E-2</v>
      </c>
      <c r="J127" s="42">
        <f t="shared" si="13"/>
        <v>0</v>
      </c>
      <c r="K127" s="42">
        <f t="shared" si="14"/>
        <v>0</v>
      </c>
    </row>
    <row r="128" spans="1:11" x14ac:dyDescent="0.25">
      <c r="A128" s="21">
        <v>639</v>
      </c>
      <c r="B128" s="25">
        <v>0.66365457110149384</v>
      </c>
      <c r="C128" s="25">
        <v>5.4756529079965505E-2</v>
      </c>
      <c r="D128" s="42">
        <f t="shared" si="15"/>
        <v>0</v>
      </c>
      <c r="F128" s="42">
        <f t="shared" si="9"/>
        <v>0.66365457110149384</v>
      </c>
      <c r="G128" s="42">
        <f t="shared" si="10"/>
        <v>0</v>
      </c>
      <c r="H128" s="42">
        <f t="shared" si="11"/>
        <v>0</v>
      </c>
      <c r="I128" s="42">
        <f t="shared" si="12"/>
        <v>5.4756529079965505E-2</v>
      </c>
      <c r="J128" s="42">
        <f t="shared" si="13"/>
        <v>0</v>
      </c>
      <c r="K128" s="42">
        <f t="shared" si="14"/>
        <v>0</v>
      </c>
    </row>
    <row r="129" spans="1:15" x14ac:dyDescent="0.25">
      <c r="A129" s="21">
        <v>907</v>
      </c>
      <c r="B129" s="25">
        <v>0.66379688621998623</v>
      </c>
      <c r="C129" s="25">
        <v>4.545560503628162E-2</v>
      </c>
      <c r="D129" s="42">
        <f t="shared" si="15"/>
        <v>0</v>
      </c>
      <c r="F129" s="42">
        <f t="shared" si="9"/>
        <v>0.66379688621998623</v>
      </c>
      <c r="G129" s="42">
        <f t="shared" si="10"/>
        <v>0</v>
      </c>
      <c r="H129" s="42">
        <f t="shared" si="11"/>
        <v>0</v>
      </c>
      <c r="I129" s="42">
        <f t="shared" si="12"/>
        <v>4.545560503628162E-2</v>
      </c>
      <c r="J129" s="42">
        <f t="shared" si="13"/>
        <v>0</v>
      </c>
      <c r="K129" s="42">
        <f t="shared" si="14"/>
        <v>0</v>
      </c>
    </row>
    <row r="130" spans="1:15" x14ac:dyDescent="0.25">
      <c r="A130" s="31">
        <v>223</v>
      </c>
      <c r="B130" s="24">
        <v>0.66521981322779045</v>
      </c>
      <c r="C130" s="24">
        <v>5.2573633419717505E-2</v>
      </c>
      <c r="D130" s="42">
        <f t="shared" ref="D130:D161" si="16">IF(COUNTIF(N:N,A129),2,IF(COUNTIF(O:O,A129),1,0))</f>
        <v>0</v>
      </c>
      <c r="F130" s="42">
        <f t="shared" ref="F130:F193" si="17">IF(D130=0,B130,0)</f>
        <v>0.66521981322779045</v>
      </c>
      <c r="G130" s="42">
        <f t="shared" ref="G130:G193" si="18">IF(D130=1,B130,0)</f>
        <v>0</v>
      </c>
      <c r="H130" s="42">
        <f t="shared" ref="H130:H193" si="19">IF(D130=2,B130,0)</f>
        <v>0</v>
      </c>
      <c r="I130" s="42">
        <f t="shared" ref="I130:I193" si="20">IF(D130=0,C130,0)</f>
        <v>5.2573633419717505E-2</v>
      </c>
      <c r="J130" s="42">
        <f t="shared" ref="J130:J193" si="21">IF(D130=1,C130,0)</f>
        <v>0</v>
      </c>
      <c r="K130" s="42">
        <f t="shared" ref="K130:K193" si="22">IF(D130=2,C130,0)</f>
        <v>0</v>
      </c>
    </row>
    <row r="131" spans="1:15" x14ac:dyDescent="0.25">
      <c r="A131" s="21">
        <v>313</v>
      </c>
      <c r="B131" s="25">
        <v>0.66594687652936446</v>
      </c>
      <c r="C131" s="25">
        <v>4.6351457207821987E-2</v>
      </c>
      <c r="D131" s="42">
        <f t="shared" si="16"/>
        <v>2</v>
      </c>
      <c r="F131" s="42">
        <f t="shared" si="17"/>
        <v>0</v>
      </c>
      <c r="G131" s="42">
        <f t="shared" si="18"/>
        <v>0</v>
      </c>
      <c r="H131" s="42">
        <f t="shared" si="19"/>
        <v>0.66594687652936446</v>
      </c>
      <c r="I131" s="42">
        <f t="shared" si="20"/>
        <v>0</v>
      </c>
      <c r="J131" s="42">
        <f t="shared" si="21"/>
        <v>0</v>
      </c>
      <c r="K131" s="42">
        <f t="shared" si="22"/>
        <v>4.6351457207821987E-2</v>
      </c>
    </row>
    <row r="132" spans="1:15" x14ac:dyDescent="0.25">
      <c r="A132" s="21">
        <v>101</v>
      </c>
      <c r="B132" s="25">
        <v>0.66708824827197133</v>
      </c>
      <c r="C132" s="25">
        <v>1.9853969073515606E-2</v>
      </c>
      <c r="D132" s="42">
        <f t="shared" si="16"/>
        <v>0</v>
      </c>
      <c r="F132" s="42">
        <f t="shared" si="17"/>
        <v>0.66708824827197133</v>
      </c>
      <c r="G132" s="42">
        <f t="shared" si="18"/>
        <v>0</v>
      </c>
      <c r="H132" s="42">
        <f t="shared" si="19"/>
        <v>0</v>
      </c>
      <c r="I132" s="42">
        <f t="shared" si="20"/>
        <v>1.9853969073515606E-2</v>
      </c>
      <c r="J132" s="42">
        <f t="shared" si="21"/>
        <v>0</v>
      </c>
      <c r="K132" s="42">
        <f t="shared" si="22"/>
        <v>0</v>
      </c>
    </row>
    <row r="133" spans="1:15" x14ac:dyDescent="0.25">
      <c r="A133" s="23">
        <v>818</v>
      </c>
      <c r="B133" s="24">
        <v>0.66943173688593494</v>
      </c>
      <c r="C133" s="24">
        <v>4.9968306529868257E-2</v>
      </c>
      <c r="D133" s="42">
        <f t="shared" si="16"/>
        <v>0</v>
      </c>
      <c r="F133" s="42">
        <f t="shared" si="17"/>
        <v>0.66943173688593494</v>
      </c>
      <c r="G133" s="42">
        <f t="shared" si="18"/>
        <v>0</v>
      </c>
      <c r="H133" s="42">
        <f t="shared" si="19"/>
        <v>0</v>
      </c>
      <c r="I133" s="42">
        <f t="shared" si="20"/>
        <v>4.9968306529868257E-2</v>
      </c>
      <c r="J133" s="42">
        <f t="shared" si="21"/>
        <v>0</v>
      </c>
      <c r="K133" s="42">
        <f t="shared" si="22"/>
        <v>0</v>
      </c>
    </row>
    <row r="134" spans="1:15" x14ac:dyDescent="0.25">
      <c r="A134" s="23">
        <v>812</v>
      </c>
      <c r="B134" s="24">
        <v>0.66991585991288138</v>
      </c>
      <c r="C134" s="24">
        <v>7.3766743867190801E-2</v>
      </c>
      <c r="D134" s="42">
        <f t="shared" si="16"/>
        <v>0</v>
      </c>
      <c r="F134" s="42">
        <f t="shared" si="17"/>
        <v>0.66991585991288138</v>
      </c>
      <c r="G134" s="42">
        <f t="shared" si="18"/>
        <v>0</v>
      </c>
      <c r="H134" s="42">
        <f t="shared" si="19"/>
        <v>0</v>
      </c>
      <c r="I134" s="42">
        <f t="shared" si="20"/>
        <v>7.3766743867190801E-2</v>
      </c>
      <c r="J134" s="42">
        <f t="shared" si="21"/>
        <v>0</v>
      </c>
      <c r="K134" s="42">
        <f t="shared" si="22"/>
        <v>0</v>
      </c>
    </row>
    <row r="135" spans="1:15" x14ac:dyDescent="0.25">
      <c r="A135" s="23">
        <v>317</v>
      </c>
      <c r="B135" s="24">
        <v>0.67100091880511614</v>
      </c>
      <c r="C135" s="24">
        <v>0.10236472154176331</v>
      </c>
      <c r="D135" s="42">
        <f t="shared" si="16"/>
        <v>0</v>
      </c>
      <c r="F135" s="42">
        <f t="shared" si="17"/>
        <v>0.67100091880511614</v>
      </c>
      <c r="G135" s="42">
        <f t="shared" si="18"/>
        <v>0</v>
      </c>
      <c r="H135" s="42">
        <f t="shared" si="19"/>
        <v>0</v>
      </c>
      <c r="I135" s="42">
        <f t="shared" si="20"/>
        <v>0.10236472154176331</v>
      </c>
      <c r="J135" s="42">
        <f t="shared" si="21"/>
        <v>0</v>
      </c>
      <c r="K135" s="42">
        <f t="shared" si="22"/>
        <v>0</v>
      </c>
    </row>
    <row r="136" spans="1:15" x14ac:dyDescent="0.25">
      <c r="A136" s="23">
        <v>336</v>
      </c>
      <c r="B136" s="24">
        <v>0.6710898293847557</v>
      </c>
      <c r="C136" s="24">
        <v>5.6834561879715771E-2</v>
      </c>
      <c r="D136" s="42">
        <f t="shared" si="16"/>
        <v>1</v>
      </c>
      <c r="F136" s="42">
        <f t="shared" si="17"/>
        <v>0</v>
      </c>
      <c r="G136" s="42">
        <f t="shared" si="18"/>
        <v>0.6710898293847557</v>
      </c>
      <c r="H136" s="42">
        <f t="shared" si="19"/>
        <v>0</v>
      </c>
      <c r="I136" s="42">
        <f t="shared" si="20"/>
        <v>0</v>
      </c>
      <c r="J136" s="42">
        <f t="shared" si="21"/>
        <v>5.6834561879715771E-2</v>
      </c>
      <c r="K136" s="42">
        <f t="shared" si="22"/>
        <v>0</v>
      </c>
    </row>
    <row r="137" spans="1:15" x14ac:dyDescent="0.25">
      <c r="A137" s="23">
        <v>356</v>
      </c>
      <c r="B137" s="24">
        <v>0.67111625175243927</v>
      </c>
      <c r="C137" s="24">
        <v>3.5157660096211484E-2</v>
      </c>
      <c r="D137" s="42">
        <f t="shared" si="16"/>
        <v>0</v>
      </c>
      <c r="F137" s="42">
        <f t="shared" si="17"/>
        <v>0.67111625175243927</v>
      </c>
      <c r="G137" s="42">
        <f t="shared" si="18"/>
        <v>0</v>
      </c>
      <c r="H137" s="42">
        <f t="shared" si="19"/>
        <v>0</v>
      </c>
      <c r="I137" s="42">
        <f t="shared" si="20"/>
        <v>3.5157660096211484E-2</v>
      </c>
      <c r="J137" s="42">
        <f t="shared" si="21"/>
        <v>0</v>
      </c>
      <c r="K137" s="42">
        <f t="shared" si="22"/>
        <v>0</v>
      </c>
    </row>
    <row r="138" spans="1:15" x14ac:dyDescent="0.25">
      <c r="A138" s="21">
        <v>306</v>
      </c>
      <c r="B138" s="25">
        <v>0.67140373587780922</v>
      </c>
      <c r="C138" s="25">
        <v>3.6369975687369709E-2</v>
      </c>
      <c r="D138" s="42">
        <f t="shared" si="16"/>
        <v>0</v>
      </c>
      <c r="F138" s="42">
        <f t="shared" si="17"/>
        <v>0.67140373587780922</v>
      </c>
      <c r="G138" s="42">
        <f t="shared" si="18"/>
        <v>0</v>
      </c>
      <c r="H138" s="42">
        <f t="shared" si="19"/>
        <v>0</v>
      </c>
      <c r="I138" s="42">
        <f t="shared" si="20"/>
        <v>3.6369975687369709E-2</v>
      </c>
      <c r="J138" s="42">
        <f t="shared" si="21"/>
        <v>0</v>
      </c>
      <c r="K138" s="42">
        <f t="shared" si="22"/>
        <v>0</v>
      </c>
    </row>
    <row r="139" spans="1:15" x14ac:dyDescent="0.25">
      <c r="A139" s="23">
        <v>884</v>
      </c>
      <c r="B139" s="24">
        <v>0.67392251130024916</v>
      </c>
      <c r="C139" s="24">
        <v>5.0561034720298645E-2</v>
      </c>
      <c r="D139" s="42">
        <f t="shared" si="16"/>
        <v>0</v>
      </c>
      <c r="F139" s="42">
        <f t="shared" si="17"/>
        <v>0.67392251130024916</v>
      </c>
      <c r="G139" s="42">
        <f t="shared" si="18"/>
        <v>0</v>
      </c>
      <c r="H139" s="42">
        <f t="shared" si="19"/>
        <v>0</v>
      </c>
      <c r="I139" s="42">
        <f t="shared" si="20"/>
        <v>5.0561034720298645E-2</v>
      </c>
      <c r="J139" s="42">
        <f t="shared" si="21"/>
        <v>0</v>
      </c>
      <c r="K139" s="42">
        <f t="shared" si="22"/>
        <v>0</v>
      </c>
    </row>
    <row r="140" spans="1:15" x14ac:dyDescent="0.25">
      <c r="A140" s="21">
        <v>555</v>
      </c>
      <c r="B140" s="25">
        <v>0.67444463824064071</v>
      </c>
      <c r="C140" s="25">
        <v>6.1524533887449134E-2</v>
      </c>
      <c r="D140" s="42">
        <f t="shared" si="16"/>
        <v>0</v>
      </c>
      <c r="F140" s="42">
        <f t="shared" si="17"/>
        <v>0.67444463824064071</v>
      </c>
      <c r="G140" s="42">
        <f t="shared" si="18"/>
        <v>0</v>
      </c>
      <c r="H140" s="42">
        <f t="shared" si="19"/>
        <v>0</v>
      </c>
      <c r="I140" s="42">
        <f t="shared" si="20"/>
        <v>6.1524533887449134E-2</v>
      </c>
      <c r="J140" s="42">
        <f t="shared" si="21"/>
        <v>0</v>
      </c>
      <c r="K140" s="42">
        <f t="shared" si="22"/>
        <v>0</v>
      </c>
    </row>
    <row r="141" spans="1:15" x14ac:dyDescent="0.25">
      <c r="A141" s="21">
        <v>380</v>
      </c>
      <c r="B141" s="25">
        <v>0.67483305634121438</v>
      </c>
      <c r="C141" s="25">
        <v>3.6552457042214222E-2</v>
      </c>
      <c r="D141" s="42">
        <f t="shared" si="16"/>
        <v>0</v>
      </c>
      <c r="F141" s="42">
        <f t="shared" si="17"/>
        <v>0.67483305634121438</v>
      </c>
      <c r="G141" s="42">
        <f t="shared" si="18"/>
        <v>0</v>
      </c>
      <c r="H141" s="42">
        <f t="shared" si="19"/>
        <v>0</v>
      </c>
      <c r="I141" s="42">
        <f t="shared" si="20"/>
        <v>3.6552457042214222E-2</v>
      </c>
      <c r="J141" s="42">
        <f t="shared" si="21"/>
        <v>0</v>
      </c>
      <c r="K141" s="42">
        <f t="shared" si="22"/>
        <v>0</v>
      </c>
    </row>
    <row r="142" spans="1:15" x14ac:dyDescent="0.25">
      <c r="A142" s="23">
        <v>340</v>
      </c>
      <c r="B142" s="24">
        <v>0.67864299213977319</v>
      </c>
      <c r="C142" s="24">
        <v>2.5686685009798055E-2</v>
      </c>
      <c r="D142" s="42">
        <f t="shared" si="16"/>
        <v>0</v>
      </c>
      <c r="F142" s="42">
        <f t="shared" si="17"/>
        <v>0.67864299213977319</v>
      </c>
      <c r="G142" s="42">
        <f t="shared" si="18"/>
        <v>0</v>
      </c>
      <c r="H142" s="42">
        <f t="shared" si="19"/>
        <v>0</v>
      </c>
      <c r="I142" s="42">
        <f t="shared" si="20"/>
        <v>2.5686685009798055E-2</v>
      </c>
      <c r="J142" s="42">
        <f t="shared" si="21"/>
        <v>0</v>
      </c>
      <c r="K142" s="42">
        <f t="shared" si="22"/>
        <v>0</v>
      </c>
    </row>
    <row r="143" spans="1:15" x14ac:dyDescent="0.25">
      <c r="A143" s="23">
        <v>879</v>
      </c>
      <c r="B143" s="24">
        <v>0.67881116868919811</v>
      </c>
      <c r="C143" s="24">
        <v>1.8684525618779996E-2</v>
      </c>
      <c r="D143" s="42">
        <f t="shared" si="16"/>
        <v>0</v>
      </c>
      <c r="F143" s="42">
        <f t="shared" si="17"/>
        <v>0.67881116868919811</v>
      </c>
      <c r="G143" s="42">
        <f t="shared" si="18"/>
        <v>0</v>
      </c>
      <c r="H143" s="42">
        <f t="shared" si="19"/>
        <v>0</v>
      </c>
      <c r="I143" s="42">
        <f t="shared" si="20"/>
        <v>1.8684525618779996E-2</v>
      </c>
      <c r="J143" s="42">
        <f t="shared" si="21"/>
        <v>0</v>
      </c>
      <c r="K143" s="42">
        <f t="shared" si="22"/>
        <v>0</v>
      </c>
      <c r="O143" s="42"/>
    </row>
    <row r="144" spans="1:15" x14ac:dyDescent="0.25">
      <c r="A144" s="21">
        <v>365</v>
      </c>
      <c r="B144" s="25">
        <v>0.67937095074146026</v>
      </c>
      <c r="C144" s="25">
        <v>4.3496572426928608E-2</v>
      </c>
      <c r="D144" s="42">
        <f t="shared" si="16"/>
        <v>0</v>
      </c>
      <c r="F144" s="42">
        <f t="shared" si="17"/>
        <v>0.67937095074146026</v>
      </c>
      <c r="G144" s="42">
        <f t="shared" si="18"/>
        <v>0</v>
      </c>
      <c r="H144" s="42">
        <f t="shared" si="19"/>
        <v>0</v>
      </c>
      <c r="I144" s="42">
        <f t="shared" si="20"/>
        <v>4.3496572426928608E-2</v>
      </c>
      <c r="J144" s="42">
        <f t="shared" si="21"/>
        <v>0</v>
      </c>
      <c r="K144" s="42">
        <f t="shared" si="22"/>
        <v>0</v>
      </c>
      <c r="O144" s="42"/>
    </row>
    <row r="145" spans="1:15" x14ac:dyDescent="0.25">
      <c r="A145" s="23">
        <v>584</v>
      </c>
      <c r="B145" s="24">
        <v>0.67962989500000004</v>
      </c>
      <c r="C145" s="24">
        <v>3.2786550873380123E-2</v>
      </c>
      <c r="D145" s="42">
        <f t="shared" si="16"/>
        <v>0</v>
      </c>
      <c r="F145" s="42">
        <f t="shared" si="17"/>
        <v>0.67962989500000004</v>
      </c>
      <c r="G145" s="42">
        <f t="shared" si="18"/>
        <v>0</v>
      </c>
      <c r="H145" s="42">
        <f t="shared" si="19"/>
        <v>0</v>
      </c>
      <c r="I145" s="42">
        <f t="shared" si="20"/>
        <v>3.2786550873380123E-2</v>
      </c>
      <c r="J145" s="42">
        <f t="shared" si="21"/>
        <v>0</v>
      </c>
      <c r="K145" s="42">
        <f t="shared" si="22"/>
        <v>0</v>
      </c>
      <c r="O145" s="42"/>
    </row>
    <row r="146" spans="1:15" x14ac:dyDescent="0.25">
      <c r="A146" s="23">
        <v>217</v>
      </c>
      <c r="B146" s="24">
        <v>0.67982951384971269</v>
      </c>
      <c r="C146" s="24">
        <v>3.8625556470463264E-2</v>
      </c>
      <c r="D146" s="42">
        <f t="shared" si="16"/>
        <v>0</v>
      </c>
      <c r="F146" s="42">
        <f t="shared" si="17"/>
        <v>0.67982951384971269</v>
      </c>
      <c r="G146" s="42">
        <f t="shared" si="18"/>
        <v>0</v>
      </c>
      <c r="H146" s="42">
        <f t="shared" si="19"/>
        <v>0</v>
      </c>
      <c r="I146" s="42">
        <f t="shared" si="20"/>
        <v>3.8625556470463264E-2</v>
      </c>
      <c r="J146" s="42">
        <f t="shared" si="21"/>
        <v>0</v>
      </c>
      <c r="K146" s="42">
        <f t="shared" si="22"/>
        <v>0</v>
      </c>
      <c r="O146" s="42"/>
    </row>
    <row r="147" spans="1:15" x14ac:dyDescent="0.25">
      <c r="A147" s="21">
        <v>634</v>
      </c>
      <c r="B147" s="25">
        <v>0.68150983350617234</v>
      </c>
      <c r="C147" s="25">
        <v>5.2247026138631664E-2</v>
      </c>
      <c r="D147" s="42">
        <f t="shared" si="16"/>
        <v>1</v>
      </c>
      <c r="F147" s="42">
        <f t="shared" si="17"/>
        <v>0</v>
      </c>
      <c r="G147" s="42">
        <f t="shared" si="18"/>
        <v>0.68150983350617234</v>
      </c>
      <c r="H147" s="42">
        <f t="shared" si="19"/>
        <v>0</v>
      </c>
      <c r="I147" s="42">
        <f t="shared" si="20"/>
        <v>0</v>
      </c>
      <c r="J147" s="42">
        <f t="shared" si="21"/>
        <v>5.2247026138631664E-2</v>
      </c>
      <c r="K147" s="42">
        <f t="shared" si="22"/>
        <v>0</v>
      </c>
      <c r="O147" s="42"/>
    </row>
    <row r="148" spans="1:15" x14ac:dyDescent="0.25">
      <c r="A148" s="33">
        <v>509</v>
      </c>
      <c r="B148" s="24">
        <v>0.68180786191400367</v>
      </c>
      <c r="C148" s="24">
        <v>3.3397125603633247E-2</v>
      </c>
      <c r="D148" s="42">
        <f t="shared" si="16"/>
        <v>0</v>
      </c>
      <c r="F148" s="42">
        <f t="shared" si="17"/>
        <v>0.68180786191400367</v>
      </c>
      <c r="G148" s="42">
        <f t="shared" si="18"/>
        <v>0</v>
      </c>
      <c r="H148" s="42">
        <f t="shared" si="19"/>
        <v>0</v>
      </c>
      <c r="I148" s="42">
        <f t="shared" si="20"/>
        <v>3.3397125603633247E-2</v>
      </c>
      <c r="J148" s="42">
        <f t="shared" si="21"/>
        <v>0</v>
      </c>
      <c r="K148" s="42">
        <f t="shared" si="22"/>
        <v>0</v>
      </c>
      <c r="O148" s="42"/>
    </row>
    <row r="149" spans="1:15" x14ac:dyDescent="0.25">
      <c r="A149" s="29">
        <v>41</v>
      </c>
      <c r="B149" s="25">
        <v>0.68525439827142864</v>
      </c>
      <c r="C149" s="25">
        <v>2.7228756501310614E-2</v>
      </c>
      <c r="D149" s="42">
        <f t="shared" si="16"/>
        <v>0</v>
      </c>
      <c r="F149" s="42">
        <f t="shared" si="17"/>
        <v>0.68525439827142864</v>
      </c>
      <c r="G149" s="42">
        <f t="shared" si="18"/>
        <v>0</v>
      </c>
      <c r="H149" s="42">
        <f t="shared" si="19"/>
        <v>0</v>
      </c>
      <c r="I149" s="42">
        <f t="shared" si="20"/>
        <v>2.7228756501310614E-2</v>
      </c>
      <c r="J149" s="42">
        <f t="shared" si="21"/>
        <v>0</v>
      </c>
      <c r="K149" s="42">
        <f t="shared" si="22"/>
        <v>0</v>
      </c>
      <c r="O149" s="42"/>
    </row>
    <row r="150" spans="1:15" x14ac:dyDescent="0.25">
      <c r="A150" s="23">
        <v>189</v>
      </c>
      <c r="B150" s="24">
        <v>0.68536675202644981</v>
      </c>
      <c r="C150" s="24">
        <v>2.2054768467327887E-2</v>
      </c>
      <c r="D150" s="42">
        <f t="shared" si="16"/>
        <v>0</v>
      </c>
      <c r="F150" s="42">
        <f t="shared" si="17"/>
        <v>0.68536675202644981</v>
      </c>
      <c r="G150" s="42">
        <f t="shared" si="18"/>
        <v>0</v>
      </c>
      <c r="H150" s="42">
        <f t="shared" si="19"/>
        <v>0</v>
      </c>
      <c r="I150" s="42">
        <f t="shared" si="20"/>
        <v>2.2054768467327887E-2</v>
      </c>
      <c r="J150" s="42">
        <f t="shared" si="21"/>
        <v>0</v>
      </c>
      <c r="K150" s="42">
        <f t="shared" si="22"/>
        <v>0</v>
      </c>
      <c r="O150" s="42"/>
    </row>
    <row r="151" spans="1:15" x14ac:dyDescent="0.25">
      <c r="A151" s="23">
        <v>176</v>
      </c>
      <c r="B151" s="24">
        <v>0.68577814014999994</v>
      </c>
      <c r="C151" s="24">
        <v>4.1130518657471915E-2</v>
      </c>
      <c r="D151" s="42">
        <f t="shared" si="16"/>
        <v>0</v>
      </c>
      <c r="F151" s="42">
        <f t="shared" si="17"/>
        <v>0.68577814014999994</v>
      </c>
      <c r="G151" s="42">
        <f t="shared" si="18"/>
        <v>0</v>
      </c>
      <c r="H151" s="42">
        <f t="shared" si="19"/>
        <v>0</v>
      </c>
      <c r="I151" s="42">
        <f t="shared" si="20"/>
        <v>4.1130518657471915E-2</v>
      </c>
      <c r="J151" s="42">
        <f t="shared" si="21"/>
        <v>0</v>
      </c>
      <c r="K151" s="42">
        <f t="shared" si="22"/>
        <v>0</v>
      </c>
      <c r="O151" s="42"/>
    </row>
    <row r="152" spans="1:15" x14ac:dyDescent="0.25">
      <c r="A152" s="23">
        <v>882</v>
      </c>
      <c r="B152" s="24">
        <v>0.68657358933919899</v>
      </c>
      <c r="C152" s="24">
        <v>6.1677406220127864E-2</v>
      </c>
      <c r="D152" s="42">
        <f t="shared" si="16"/>
        <v>0</v>
      </c>
      <c r="F152" s="42">
        <f t="shared" si="17"/>
        <v>0.68657358933919899</v>
      </c>
      <c r="G152" s="42">
        <f t="shared" si="18"/>
        <v>0</v>
      </c>
      <c r="H152" s="42">
        <f t="shared" si="19"/>
        <v>0</v>
      </c>
      <c r="I152" s="42">
        <f t="shared" si="20"/>
        <v>6.1677406220127864E-2</v>
      </c>
      <c r="J152" s="42">
        <f t="shared" si="21"/>
        <v>0</v>
      </c>
      <c r="K152" s="42">
        <f t="shared" si="22"/>
        <v>0</v>
      </c>
      <c r="O152" s="42"/>
    </row>
    <row r="153" spans="1:15" x14ac:dyDescent="0.25">
      <c r="A153" s="21">
        <v>301</v>
      </c>
      <c r="B153" s="25">
        <v>0.68776445429112332</v>
      </c>
      <c r="C153" s="25">
        <v>3.4027170081790736E-2</v>
      </c>
      <c r="D153" s="42">
        <f t="shared" si="16"/>
        <v>0</v>
      </c>
      <c r="F153" s="42">
        <f t="shared" si="17"/>
        <v>0.68776445429112332</v>
      </c>
      <c r="G153" s="42">
        <f t="shared" si="18"/>
        <v>0</v>
      </c>
      <c r="H153" s="42">
        <f t="shared" si="19"/>
        <v>0</v>
      </c>
      <c r="I153" s="42">
        <f t="shared" si="20"/>
        <v>3.4027170081790736E-2</v>
      </c>
      <c r="J153" s="42">
        <f t="shared" si="21"/>
        <v>0</v>
      </c>
      <c r="K153" s="42">
        <f t="shared" si="22"/>
        <v>0</v>
      </c>
      <c r="O153" s="42"/>
    </row>
    <row r="154" spans="1:15" x14ac:dyDescent="0.25">
      <c r="A154" s="21">
        <v>517</v>
      </c>
      <c r="B154" s="25">
        <v>0.68927373521005386</v>
      </c>
      <c r="C154" s="25">
        <v>2.1115057569991796E-2</v>
      </c>
      <c r="D154" s="42">
        <f t="shared" si="16"/>
        <v>0</v>
      </c>
      <c r="F154" s="42">
        <f t="shared" si="17"/>
        <v>0.68927373521005386</v>
      </c>
      <c r="G154" s="42">
        <f t="shared" si="18"/>
        <v>0</v>
      </c>
      <c r="H154" s="42">
        <f t="shared" si="19"/>
        <v>0</v>
      </c>
      <c r="I154" s="42">
        <f t="shared" si="20"/>
        <v>2.1115057569991796E-2</v>
      </c>
      <c r="J154" s="42">
        <f t="shared" si="21"/>
        <v>0</v>
      </c>
      <c r="K154" s="42">
        <f t="shared" si="22"/>
        <v>0</v>
      </c>
      <c r="O154" s="42"/>
    </row>
    <row r="155" spans="1:15" x14ac:dyDescent="0.25">
      <c r="A155" s="23">
        <v>804</v>
      </c>
      <c r="B155" s="24">
        <v>0.69086753521672828</v>
      </c>
      <c r="C155" s="24">
        <v>3.7273943960396891E-2</v>
      </c>
      <c r="D155" s="42">
        <f t="shared" si="16"/>
        <v>0</v>
      </c>
      <c r="F155" s="42">
        <f t="shared" si="17"/>
        <v>0.69086753521672828</v>
      </c>
      <c r="G155" s="42">
        <f t="shared" si="18"/>
        <v>0</v>
      </c>
      <c r="H155" s="42">
        <f t="shared" si="19"/>
        <v>0</v>
      </c>
      <c r="I155" s="42">
        <f t="shared" si="20"/>
        <v>3.7273943960396891E-2</v>
      </c>
      <c r="J155" s="42">
        <f t="shared" si="21"/>
        <v>0</v>
      </c>
      <c r="K155" s="42">
        <f t="shared" si="22"/>
        <v>0</v>
      </c>
      <c r="O155" s="42"/>
    </row>
    <row r="156" spans="1:15" x14ac:dyDescent="0.25">
      <c r="A156" s="21">
        <v>357</v>
      </c>
      <c r="B156" s="25">
        <v>0.6914159614961104</v>
      </c>
      <c r="C156" s="25">
        <v>2.6900195909027889E-2</v>
      </c>
      <c r="D156" s="42">
        <f t="shared" si="16"/>
        <v>0</v>
      </c>
      <c r="F156" s="42">
        <f t="shared" si="17"/>
        <v>0.6914159614961104</v>
      </c>
      <c r="G156" s="42">
        <f t="shared" si="18"/>
        <v>0</v>
      </c>
      <c r="H156" s="42">
        <f t="shared" si="19"/>
        <v>0</v>
      </c>
      <c r="I156" s="42">
        <f t="shared" si="20"/>
        <v>2.6900195909027889E-2</v>
      </c>
      <c r="J156" s="42">
        <f t="shared" si="21"/>
        <v>0</v>
      </c>
      <c r="K156" s="42">
        <f t="shared" si="22"/>
        <v>0</v>
      </c>
      <c r="O156" s="42"/>
    </row>
    <row r="157" spans="1:15" x14ac:dyDescent="0.25">
      <c r="A157" s="23">
        <v>181</v>
      </c>
      <c r="B157" s="24">
        <v>0.69148295017494088</v>
      </c>
      <c r="C157" s="24">
        <v>2.6562547311333461E-2</v>
      </c>
      <c r="D157" s="42">
        <f t="shared" si="16"/>
        <v>0</v>
      </c>
      <c r="F157" s="42">
        <f t="shared" si="17"/>
        <v>0.69148295017494088</v>
      </c>
      <c r="G157" s="42">
        <f t="shared" si="18"/>
        <v>0</v>
      </c>
      <c r="H157" s="42">
        <f t="shared" si="19"/>
        <v>0</v>
      </c>
      <c r="I157" s="42">
        <f t="shared" si="20"/>
        <v>2.6562547311333461E-2</v>
      </c>
      <c r="J157" s="42">
        <f t="shared" si="21"/>
        <v>0</v>
      </c>
      <c r="K157" s="42">
        <f t="shared" si="22"/>
        <v>0</v>
      </c>
      <c r="O157" s="42"/>
    </row>
    <row r="158" spans="1:15" x14ac:dyDescent="0.25">
      <c r="A158" s="23">
        <v>787</v>
      </c>
      <c r="B158" s="24">
        <v>0.69321851223200814</v>
      </c>
      <c r="C158" s="24">
        <v>3.8876270184945348E-2</v>
      </c>
      <c r="D158" s="42">
        <f t="shared" si="16"/>
        <v>0</v>
      </c>
      <c r="F158" s="42">
        <f t="shared" si="17"/>
        <v>0.69321851223200814</v>
      </c>
      <c r="G158" s="42">
        <f t="shared" si="18"/>
        <v>0</v>
      </c>
      <c r="H158" s="42">
        <f t="shared" si="19"/>
        <v>0</v>
      </c>
      <c r="I158" s="42">
        <f t="shared" si="20"/>
        <v>3.8876270184945348E-2</v>
      </c>
      <c r="J158" s="42">
        <f t="shared" si="21"/>
        <v>0</v>
      </c>
      <c r="K158" s="42">
        <f t="shared" si="22"/>
        <v>0</v>
      </c>
      <c r="O158" s="42"/>
    </row>
    <row r="159" spans="1:15" x14ac:dyDescent="0.25">
      <c r="A159" s="29">
        <v>505</v>
      </c>
      <c r="B159" s="25">
        <v>0.6934323845704583</v>
      </c>
      <c r="C159" s="25">
        <v>5.2733304441373405E-2</v>
      </c>
      <c r="D159" s="42">
        <f t="shared" si="16"/>
        <v>0</v>
      </c>
      <c r="F159" s="42">
        <f t="shared" si="17"/>
        <v>0.6934323845704583</v>
      </c>
      <c r="G159" s="42">
        <f t="shared" si="18"/>
        <v>0</v>
      </c>
      <c r="H159" s="42">
        <f t="shared" si="19"/>
        <v>0</v>
      </c>
      <c r="I159" s="42">
        <f t="shared" si="20"/>
        <v>5.2733304441373405E-2</v>
      </c>
      <c r="J159" s="42">
        <f t="shared" si="21"/>
        <v>0</v>
      </c>
      <c r="K159" s="42">
        <f t="shared" si="22"/>
        <v>0</v>
      </c>
      <c r="O159" s="42"/>
    </row>
    <row r="160" spans="1:15" x14ac:dyDescent="0.25">
      <c r="A160" s="29">
        <v>358</v>
      </c>
      <c r="B160" s="25">
        <v>0.6947224157519587</v>
      </c>
      <c r="C160" s="25">
        <v>4.7662583268507162E-2</v>
      </c>
      <c r="D160" s="42">
        <f t="shared" si="16"/>
        <v>0</v>
      </c>
      <c r="F160" s="42">
        <f t="shared" si="17"/>
        <v>0.6947224157519587</v>
      </c>
      <c r="G160" s="42">
        <f t="shared" si="18"/>
        <v>0</v>
      </c>
      <c r="H160" s="42">
        <f t="shared" si="19"/>
        <v>0</v>
      </c>
      <c r="I160" s="42">
        <f t="shared" si="20"/>
        <v>4.7662583268507162E-2</v>
      </c>
      <c r="J160" s="42">
        <f t="shared" si="21"/>
        <v>0</v>
      </c>
      <c r="K160" s="42">
        <f t="shared" si="22"/>
        <v>0</v>
      </c>
      <c r="O160" s="42"/>
    </row>
    <row r="161" spans="1:15" x14ac:dyDescent="0.25">
      <c r="A161" s="21">
        <v>911</v>
      </c>
      <c r="B161" s="25">
        <v>0.69492507649640756</v>
      </c>
      <c r="C161" s="25">
        <v>4.5399001580099629E-2</v>
      </c>
      <c r="D161" s="42">
        <f t="shared" si="16"/>
        <v>0</v>
      </c>
      <c r="F161" s="42">
        <f t="shared" si="17"/>
        <v>0.69492507649640756</v>
      </c>
      <c r="G161" s="42">
        <f t="shared" si="18"/>
        <v>0</v>
      </c>
      <c r="H161" s="42">
        <f t="shared" si="19"/>
        <v>0</v>
      </c>
      <c r="I161" s="42">
        <f t="shared" si="20"/>
        <v>4.5399001580099629E-2</v>
      </c>
      <c r="J161" s="42">
        <f t="shared" si="21"/>
        <v>0</v>
      </c>
      <c r="K161" s="42">
        <f t="shared" si="22"/>
        <v>0</v>
      </c>
      <c r="O161" s="42"/>
    </row>
    <row r="162" spans="1:15" x14ac:dyDescent="0.25">
      <c r="A162" s="23">
        <v>138</v>
      </c>
      <c r="B162" s="24">
        <v>0.69547151504190563</v>
      </c>
      <c r="C162" s="24">
        <v>3.3420609323556442E-2</v>
      </c>
      <c r="D162" s="42">
        <f t="shared" ref="D162:D197" si="23">IF(COUNTIF(N:N,A161),2,IF(COUNTIF(O:O,A161),1,0))</f>
        <v>0</v>
      </c>
      <c r="F162" s="42">
        <f t="shared" si="17"/>
        <v>0.69547151504190563</v>
      </c>
      <c r="G162" s="42">
        <f t="shared" si="18"/>
        <v>0</v>
      </c>
      <c r="H162" s="42">
        <f t="shared" si="19"/>
        <v>0</v>
      </c>
      <c r="I162" s="42">
        <f t="shared" si="20"/>
        <v>3.3420609323556442E-2</v>
      </c>
      <c r="J162" s="42">
        <f t="shared" si="21"/>
        <v>0</v>
      </c>
      <c r="K162" s="42">
        <f t="shared" si="22"/>
        <v>0</v>
      </c>
      <c r="O162" s="42"/>
    </row>
    <row r="163" spans="1:15" x14ac:dyDescent="0.25">
      <c r="A163" s="21">
        <v>320</v>
      </c>
      <c r="B163" s="25">
        <v>0.69591107009186237</v>
      </c>
      <c r="C163" s="25">
        <v>2.5683605548013477E-2</v>
      </c>
      <c r="D163" s="42">
        <f t="shared" si="23"/>
        <v>0</v>
      </c>
      <c r="F163" s="42">
        <f t="shared" si="17"/>
        <v>0.69591107009186237</v>
      </c>
      <c r="G163" s="42">
        <f t="shared" si="18"/>
        <v>0</v>
      </c>
      <c r="H163" s="42">
        <f t="shared" si="19"/>
        <v>0</v>
      </c>
      <c r="I163" s="42">
        <f t="shared" si="20"/>
        <v>2.5683605548013477E-2</v>
      </c>
      <c r="J163" s="42">
        <f t="shared" si="21"/>
        <v>0</v>
      </c>
      <c r="K163" s="42">
        <f t="shared" si="22"/>
        <v>0</v>
      </c>
      <c r="O163" s="42"/>
    </row>
    <row r="164" spans="1:15" x14ac:dyDescent="0.25">
      <c r="A164" s="29">
        <v>426</v>
      </c>
      <c r="B164" s="25">
        <v>0.69763044037983846</v>
      </c>
      <c r="C164" s="25">
        <v>5.0461341031653804E-2</v>
      </c>
      <c r="D164" s="42">
        <f t="shared" si="23"/>
        <v>0</v>
      </c>
      <c r="F164" s="42">
        <f t="shared" si="17"/>
        <v>0.69763044037983846</v>
      </c>
      <c r="G164" s="42">
        <f t="shared" si="18"/>
        <v>0</v>
      </c>
      <c r="H164" s="42">
        <f t="shared" si="19"/>
        <v>0</v>
      </c>
      <c r="I164" s="42">
        <f t="shared" si="20"/>
        <v>5.0461341031653804E-2</v>
      </c>
      <c r="J164" s="42">
        <f t="shared" si="21"/>
        <v>0</v>
      </c>
      <c r="K164" s="42">
        <f t="shared" si="22"/>
        <v>0</v>
      </c>
      <c r="O164" s="42"/>
    </row>
    <row r="165" spans="1:15" x14ac:dyDescent="0.25">
      <c r="A165" s="23">
        <v>796</v>
      </c>
      <c r="B165" s="24">
        <v>0.6976642166210606</v>
      </c>
      <c r="C165" s="24">
        <v>9.9453664274218173E-2</v>
      </c>
      <c r="D165" s="42">
        <f t="shared" si="23"/>
        <v>0</v>
      </c>
      <c r="F165" s="42">
        <f t="shared" si="17"/>
        <v>0.6976642166210606</v>
      </c>
      <c r="G165" s="42">
        <f t="shared" si="18"/>
        <v>0</v>
      </c>
      <c r="H165" s="42">
        <f t="shared" si="19"/>
        <v>0</v>
      </c>
      <c r="I165" s="42">
        <f t="shared" si="20"/>
        <v>9.9453664274218173E-2</v>
      </c>
      <c r="J165" s="42">
        <f t="shared" si="21"/>
        <v>0</v>
      </c>
      <c r="K165" s="42">
        <f t="shared" si="22"/>
        <v>0</v>
      </c>
      <c r="O165" s="42"/>
    </row>
    <row r="166" spans="1:15" x14ac:dyDescent="0.25">
      <c r="A166" s="23">
        <v>228</v>
      </c>
      <c r="B166" s="24">
        <v>0.69824293057113485</v>
      </c>
      <c r="C166" s="24">
        <v>3.2864038969427876E-2</v>
      </c>
      <c r="D166" s="42">
        <f t="shared" si="23"/>
        <v>0</v>
      </c>
      <c r="F166" s="42">
        <f t="shared" si="17"/>
        <v>0.69824293057113485</v>
      </c>
      <c r="G166" s="42">
        <f t="shared" si="18"/>
        <v>0</v>
      </c>
      <c r="H166" s="42">
        <f t="shared" si="19"/>
        <v>0</v>
      </c>
      <c r="I166" s="42">
        <f t="shared" si="20"/>
        <v>3.2864038969427876E-2</v>
      </c>
      <c r="J166" s="42">
        <f t="shared" si="21"/>
        <v>0</v>
      </c>
      <c r="K166" s="42">
        <f t="shared" si="22"/>
        <v>0</v>
      </c>
      <c r="O166" s="42"/>
    </row>
    <row r="167" spans="1:15" x14ac:dyDescent="0.25">
      <c r="A167" s="23">
        <v>776</v>
      </c>
      <c r="B167" s="24">
        <v>0.70125389116208114</v>
      </c>
      <c r="C167" s="24">
        <v>6.8383222843700645E-2</v>
      </c>
      <c r="D167" s="42">
        <f t="shared" si="23"/>
        <v>1</v>
      </c>
      <c r="F167" s="42">
        <f t="shared" si="17"/>
        <v>0</v>
      </c>
      <c r="G167" s="42">
        <f t="shared" si="18"/>
        <v>0.70125389116208114</v>
      </c>
      <c r="H167" s="42">
        <f t="shared" si="19"/>
        <v>0</v>
      </c>
      <c r="I167" s="42">
        <f t="shared" si="20"/>
        <v>0</v>
      </c>
      <c r="J167" s="42">
        <f t="shared" si="21"/>
        <v>6.8383222843700645E-2</v>
      </c>
      <c r="K167" s="42">
        <f t="shared" si="22"/>
        <v>0</v>
      </c>
      <c r="O167" s="42"/>
    </row>
    <row r="168" spans="1:15" x14ac:dyDescent="0.25">
      <c r="A168" s="23">
        <v>440</v>
      </c>
      <c r="B168" s="24">
        <v>0.70232194736214704</v>
      </c>
      <c r="C168" s="24">
        <v>2.7469085993892951E-2</v>
      </c>
      <c r="D168" s="42">
        <f t="shared" si="23"/>
        <v>0</v>
      </c>
      <c r="F168" s="42">
        <f t="shared" si="17"/>
        <v>0.70232194736214704</v>
      </c>
      <c r="G168" s="42">
        <f t="shared" si="18"/>
        <v>0</v>
      </c>
      <c r="H168" s="42">
        <f t="shared" si="19"/>
        <v>0</v>
      </c>
      <c r="I168" s="42">
        <f t="shared" si="20"/>
        <v>2.7469085993892951E-2</v>
      </c>
      <c r="J168" s="42">
        <f t="shared" si="21"/>
        <v>0</v>
      </c>
      <c r="K168" s="42">
        <f t="shared" si="22"/>
        <v>0</v>
      </c>
      <c r="O168" s="42"/>
    </row>
    <row r="169" spans="1:15" x14ac:dyDescent="0.25">
      <c r="A169" s="23">
        <v>810</v>
      </c>
      <c r="B169" s="24">
        <v>0.70286454226546879</v>
      </c>
      <c r="C169" s="24">
        <v>5.6519557675533183E-2</v>
      </c>
      <c r="D169" s="42">
        <f t="shared" si="23"/>
        <v>0</v>
      </c>
      <c r="F169" s="42">
        <f t="shared" si="17"/>
        <v>0.70286454226546879</v>
      </c>
      <c r="G169" s="42">
        <f t="shared" si="18"/>
        <v>0</v>
      </c>
      <c r="H169" s="42">
        <f t="shared" si="19"/>
        <v>0</v>
      </c>
      <c r="I169" s="42">
        <f t="shared" si="20"/>
        <v>5.6519557675533183E-2</v>
      </c>
      <c r="J169" s="42">
        <f t="shared" si="21"/>
        <v>0</v>
      </c>
      <c r="K169" s="42">
        <f t="shared" si="22"/>
        <v>0</v>
      </c>
      <c r="O169" s="42"/>
    </row>
    <row r="170" spans="1:15" x14ac:dyDescent="0.25">
      <c r="A170" s="21">
        <v>732</v>
      </c>
      <c r="B170" s="25">
        <v>0.70391596371534726</v>
      </c>
      <c r="C170" s="25">
        <v>7.1777299431828298E-2</v>
      </c>
      <c r="D170" s="42">
        <f t="shared" si="23"/>
        <v>0</v>
      </c>
      <c r="F170" s="42">
        <f t="shared" si="17"/>
        <v>0.70391596371534726</v>
      </c>
      <c r="G170" s="42">
        <f t="shared" si="18"/>
        <v>0</v>
      </c>
      <c r="H170" s="42">
        <f t="shared" si="19"/>
        <v>0</v>
      </c>
      <c r="I170" s="42">
        <f t="shared" si="20"/>
        <v>7.1777299431828298E-2</v>
      </c>
      <c r="J170" s="42">
        <f t="shared" si="21"/>
        <v>0</v>
      </c>
      <c r="K170" s="42">
        <f t="shared" si="22"/>
        <v>0</v>
      </c>
      <c r="O170" s="42"/>
    </row>
    <row r="171" spans="1:15" x14ac:dyDescent="0.25">
      <c r="A171" s="23">
        <v>381</v>
      </c>
      <c r="B171" s="24">
        <v>0.70473535577019064</v>
      </c>
      <c r="C171" s="24">
        <v>3.836264377082705E-2</v>
      </c>
      <c r="D171" s="42">
        <f t="shared" si="23"/>
        <v>0</v>
      </c>
      <c r="F171" s="42">
        <f t="shared" si="17"/>
        <v>0.70473535577019064</v>
      </c>
      <c r="G171" s="42">
        <f t="shared" si="18"/>
        <v>0</v>
      </c>
      <c r="H171" s="42">
        <f t="shared" si="19"/>
        <v>0</v>
      </c>
      <c r="I171" s="42">
        <f t="shared" si="20"/>
        <v>3.836264377082705E-2</v>
      </c>
      <c r="J171" s="42">
        <f t="shared" si="21"/>
        <v>0</v>
      </c>
      <c r="K171" s="42">
        <f t="shared" si="22"/>
        <v>0</v>
      </c>
      <c r="O171" s="42"/>
    </row>
    <row r="172" spans="1:15" x14ac:dyDescent="0.25">
      <c r="A172" s="23">
        <v>737</v>
      </c>
      <c r="B172" s="24">
        <v>0.70710520455366888</v>
      </c>
      <c r="C172" s="24">
        <v>4.6910676613444592E-2</v>
      </c>
      <c r="D172" s="42">
        <f t="shared" si="23"/>
        <v>0</v>
      </c>
      <c r="F172" s="42">
        <f t="shared" si="17"/>
        <v>0.70710520455366888</v>
      </c>
      <c r="G172" s="42">
        <f t="shared" si="18"/>
        <v>0</v>
      </c>
      <c r="H172" s="42">
        <f t="shared" si="19"/>
        <v>0</v>
      </c>
      <c r="I172" s="42">
        <f t="shared" si="20"/>
        <v>4.6910676613444592E-2</v>
      </c>
      <c r="J172" s="42">
        <f t="shared" si="21"/>
        <v>0</v>
      </c>
      <c r="K172" s="42">
        <f t="shared" si="22"/>
        <v>0</v>
      </c>
      <c r="O172" s="42"/>
    </row>
    <row r="173" spans="1:15" x14ac:dyDescent="0.25">
      <c r="A173" s="23">
        <v>783</v>
      </c>
      <c r="B173" s="24">
        <v>0.70754089250235985</v>
      </c>
      <c r="C173" s="24">
        <v>2.7976634216356433E-2</v>
      </c>
      <c r="D173" s="42">
        <f t="shared" si="23"/>
        <v>0</v>
      </c>
      <c r="F173" s="42">
        <f t="shared" si="17"/>
        <v>0.70754089250235985</v>
      </c>
      <c r="G173" s="42">
        <f t="shared" si="18"/>
        <v>0</v>
      </c>
      <c r="H173" s="42">
        <f t="shared" si="19"/>
        <v>0</v>
      </c>
      <c r="I173" s="42">
        <f t="shared" si="20"/>
        <v>2.7976634216356433E-2</v>
      </c>
      <c r="J173" s="42">
        <f t="shared" si="21"/>
        <v>0</v>
      </c>
      <c r="K173" s="42">
        <f t="shared" si="22"/>
        <v>0</v>
      </c>
      <c r="O173" s="42"/>
    </row>
    <row r="174" spans="1:15" x14ac:dyDescent="0.25">
      <c r="A174" s="21">
        <v>427</v>
      </c>
      <c r="B174" s="25">
        <v>0.70807070403508787</v>
      </c>
      <c r="C174" s="25">
        <v>7.3045345370320452E-2</v>
      </c>
      <c r="D174" s="42">
        <f t="shared" si="23"/>
        <v>0</v>
      </c>
      <c r="F174" s="42">
        <f t="shared" si="17"/>
        <v>0.70807070403508787</v>
      </c>
      <c r="G174" s="42">
        <f t="shared" si="18"/>
        <v>0</v>
      </c>
      <c r="H174" s="42">
        <f t="shared" si="19"/>
        <v>0</v>
      </c>
      <c r="I174" s="42">
        <f t="shared" si="20"/>
        <v>7.3045345370320452E-2</v>
      </c>
      <c r="J174" s="42">
        <f t="shared" si="21"/>
        <v>0</v>
      </c>
      <c r="K174" s="42">
        <f t="shared" si="22"/>
        <v>0</v>
      </c>
      <c r="O174" s="42"/>
    </row>
    <row r="175" spans="1:15" x14ac:dyDescent="0.25">
      <c r="A175" s="23">
        <v>761</v>
      </c>
      <c r="B175" s="24">
        <v>0.70897742577865897</v>
      </c>
      <c r="C175" s="24">
        <v>4.1031854146085386E-2</v>
      </c>
      <c r="D175" s="42">
        <f t="shared" si="23"/>
        <v>0</v>
      </c>
      <c r="F175" s="42">
        <f t="shared" si="17"/>
        <v>0.70897742577865897</v>
      </c>
      <c r="G175" s="42">
        <f t="shared" si="18"/>
        <v>0</v>
      </c>
      <c r="H175" s="42">
        <f t="shared" si="19"/>
        <v>0</v>
      </c>
      <c r="I175" s="42">
        <f t="shared" si="20"/>
        <v>4.1031854146085386E-2</v>
      </c>
      <c r="J175" s="42">
        <f t="shared" si="21"/>
        <v>0</v>
      </c>
      <c r="K175" s="42">
        <f t="shared" si="22"/>
        <v>0</v>
      </c>
      <c r="O175" s="42"/>
    </row>
    <row r="176" spans="1:15" x14ac:dyDescent="0.25">
      <c r="A176" s="23">
        <v>280</v>
      </c>
      <c r="B176" s="24">
        <v>0.71106689244833388</v>
      </c>
      <c r="C176" s="24">
        <v>2.2289150230583449E-2</v>
      </c>
      <c r="D176" s="42">
        <f t="shared" si="23"/>
        <v>0</v>
      </c>
      <c r="F176" s="42">
        <f t="shared" si="17"/>
        <v>0.71106689244833388</v>
      </c>
      <c r="G176" s="42">
        <f t="shared" si="18"/>
        <v>0</v>
      </c>
      <c r="H176" s="42">
        <f t="shared" si="19"/>
        <v>0</v>
      </c>
      <c r="I176" s="42">
        <f t="shared" si="20"/>
        <v>2.2289150230583449E-2</v>
      </c>
      <c r="J176" s="42">
        <f t="shared" si="21"/>
        <v>0</v>
      </c>
      <c r="K176" s="42">
        <f t="shared" si="22"/>
        <v>0</v>
      </c>
      <c r="O176" s="42"/>
    </row>
    <row r="177" spans="1:15" x14ac:dyDescent="0.25">
      <c r="A177" s="29">
        <v>307</v>
      </c>
      <c r="B177" s="25">
        <v>0.71169227209755892</v>
      </c>
      <c r="C177" s="25">
        <v>2.4762952872715099E-2</v>
      </c>
      <c r="D177" s="42">
        <f t="shared" si="23"/>
        <v>0</v>
      </c>
      <c r="F177" s="42">
        <f t="shared" si="17"/>
        <v>0.71169227209755892</v>
      </c>
      <c r="G177" s="42">
        <f t="shared" si="18"/>
        <v>0</v>
      </c>
      <c r="H177" s="42">
        <f t="shared" si="19"/>
        <v>0</v>
      </c>
      <c r="I177" s="42">
        <f t="shared" si="20"/>
        <v>2.4762952872715099E-2</v>
      </c>
      <c r="J177" s="42">
        <f t="shared" si="21"/>
        <v>0</v>
      </c>
      <c r="K177" s="42">
        <f t="shared" si="22"/>
        <v>0</v>
      </c>
      <c r="O177" s="42"/>
    </row>
    <row r="178" spans="1:15" x14ac:dyDescent="0.25">
      <c r="A178" s="23">
        <v>802</v>
      </c>
      <c r="B178" s="24">
        <v>0.71184671913134978</v>
      </c>
      <c r="C178" s="24">
        <v>4.5816857002251181E-2</v>
      </c>
      <c r="D178" s="42">
        <f t="shared" si="23"/>
        <v>0</v>
      </c>
      <c r="F178" s="42">
        <f t="shared" si="17"/>
        <v>0.71184671913134978</v>
      </c>
      <c r="G178" s="42">
        <f t="shared" si="18"/>
        <v>0</v>
      </c>
      <c r="H178" s="42">
        <f t="shared" si="19"/>
        <v>0</v>
      </c>
      <c r="I178" s="42">
        <f t="shared" si="20"/>
        <v>4.5816857002251181E-2</v>
      </c>
      <c r="J178" s="42">
        <f t="shared" si="21"/>
        <v>0</v>
      </c>
      <c r="K178" s="42">
        <f t="shared" si="22"/>
        <v>0</v>
      </c>
      <c r="O178" s="42"/>
    </row>
    <row r="179" spans="1:15" x14ac:dyDescent="0.25">
      <c r="A179" s="23">
        <v>361</v>
      </c>
      <c r="B179" s="24">
        <v>0.71401179274197957</v>
      </c>
      <c r="C179" s="24">
        <v>7.4682706805777224E-2</v>
      </c>
      <c r="D179" s="42">
        <f t="shared" si="23"/>
        <v>0</v>
      </c>
      <c r="F179" s="42">
        <f t="shared" si="17"/>
        <v>0.71401179274197957</v>
      </c>
      <c r="G179" s="42">
        <f t="shared" si="18"/>
        <v>0</v>
      </c>
      <c r="H179" s="42">
        <f t="shared" si="19"/>
        <v>0</v>
      </c>
      <c r="I179" s="42">
        <f t="shared" si="20"/>
        <v>7.4682706805777224E-2</v>
      </c>
      <c r="J179" s="42">
        <f t="shared" si="21"/>
        <v>0</v>
      </c>
      <c r="K179" s="42">
        <f t="shared" si="22"/>
        <v>0</v>
      </c>
      <c r="O179" s="42"/>
    </row>
    <row r="180" spans="1:15" x14ac:dyDescent="0.25">
      <c r="A180" s="23">
        <v>646</v>
      </c>
      <c r="B180" s="24">
        <v>0.71411613812692265</v>
      </c>
      <c r="C180" s="24">
        <v>4.3774610547555104E-2</v>
      </c>
      <c r="D180" s="42">
        <f t="shared" si="23"/>
        <v>0</v>
      </c>
      <c r="F180" s="42">
        <f t="shared" si="17"/>
        <v>0.71411613812692265</v>
      </c>
      <c r="G180" s="42">
        <f t="shared" si="18"/>
        <v>0</v>
      </c>
      <c r="H180" s="42">
        <f t="shared" si="19"/>
        <v>0</v>
      </c>
      <c r="I180" s="42">
        <f t="shared" si="20"/>
        <v>4.3774610547555104E-2</v>
      </c>
      <c r="J180" s="42">
        <f t="shared" si="21"/>
        <v>0</v>
      </c>
      <c r="K180" s="42">
        <f t="shared" si="22"/>
        <v>0</v>
      </c>
      <c r="O180" s="42"/>
    </row>
    <row r="181" spans="1:15" x14ac:dyDescent="0.25">
      <c r="A181" s="23">
        <v>309</v>
      </c>
      <c r="B181" s="24">
        <v>0.71480565699953003</v>
      </c>
      <c r="C181" s="24">
        <v>5.3347314935869056E-2</v>
      </c>
      <c r="D181" s="42">
        <f t="shared" si="23"/>
        <v>0</v>
      </c>
      <c r="F181" s="42">
        <f t="shared" si="17"/>
        <v>0.71480565699953003</v>
      </c>
      <c r="G181" s="42">
        <f t="shared" si="18"/>
        <v>0</v>
      </c>
      <c r="H181" s="42">
        <f t="shared" si="19"/>
        <v>0</v>
      </c>
      <c r="I181" s="42">
        <f t="shared" si="20"/>
        <v>5.3347314935869056E-2</v>
      </c>
      <c r="J181" s="42">
        <f t="shared" si="21"/>
        <v>0</v>
      </c>
      <c r="K181" s="42">
        <f t="shared" si="22"/>
        <v>0</v>
      </c>
      <c r="O181" s="42"/>
    </row>
    <row r="182" spans="1:15" x14ac:dyDescent="0.25">
      <c r="A182" s="23">
        <v>837</v>
      </c>
      <c r="B182" s="24">
        <v>0.71690604211933362</v>
      </c>
      <c r="C182" s="24">
        <v>4.2545804759144906E-2</v>
      </c>
      <c r="D182" s="42">
        <f t="shared" si="23"/>
        <v>0</v>
      </c>
      <c r="F182" s="42">
        <f t="shared" si="17"/>
        <v>0.71690604211933362</v>
      </c>
      <c r="G182" s="42">
        <f t="shared" si="18"/>
        <v>0</v>
      </c>
      <c r="H182" s="42">
        <f t="shared" si="19"/>
        <v>0</v>
      </c>
      <c r="I182" s="42">
        <f t="shared" si="20"/>
        <v>4.2545804759144906E-2</v>
      </c>
      <c r="J182" s="42">
        <f t="shared" si="21"/>
        <v>0</v>
      </c>
      <c r="K182" s="42">
        <f t="shared" si="22"/>
        <v>0</v>
      </c>
      <c r="O182" s="42"/>
    </row>
    <row r="183" spans="1:15" x14ac:dyDescent="0.25">
      <c r="A183" s="31">
        <v>355</v>
      </c>
      <c r="B183" s="24">
        <v>0.7171788784586216</v>
      </c>
      <c r="C183" s="24">
        <v>5.4054845176822949E-2</v>
      </c>
      <c r="D183" s="42">
        <f t="shared" si="23"/>
        <v>0</v>
      </c>
      <c r="F183" s="42">
        <f t="shared" si="17"/>
        <v>0.7171788784586216</v>
      </c>
      <c r="G183" s="42">
        <f t="shared" si="18"/>
        <v>0</v>
      </c>
      <c r="H183" s="42">
        <f t="shared" si="19"/>
        <v>0</v>
      </c>
      <c r="I183" s="42">
        <f t="shared" si="20"/>
        <v>5.4054845176822949E-2</v>
      </c>
      <c r="J183" s="42">
        <f t="shared" si="21"/>
        <v>0</v>
      </c>
      <c r="K183" s="42">
        <f t="shared" si="22"/>
        <v>0</v>
      </c>
      <c r="O183" s="42"/>
    </row>
    <row r="184" spans="1:15" x14ac:dyDescent="0.25">
      <c r="A184" s="23">
        <v>589</v>
      </c>
      <c r="B184" s="24">
        <v>0.71775351096497564</v>
      </c>
      <c r="C184" s="24">
        <v>6.316289598753122E-2</v>
      </c>
      <c r="D184" s="42">
        <f t="shared" si="23"/>
        <v>0</v>
      </c>
      <c r="F184" s="42">
        <f t="shared" si="17"/>
        <v>0.71775351096497564</v>
      </c>
      <c r="G184" s="42">
        <f t="shared" si="18"/>
        <v>0</v>
      </c>
      <c r="H184" s="42">
        <f t="shared" si="19"/>
        <v>0</v>
      </c>
      <c r="I184" s="42">
        <f t="shared" si="20"/>
        <v>6.316289598753122E-2</v>
      </c>
      <c r="J184" s="42">
        <f t="shared" si="21"/>
        <v>0</v>
      </c>
      <c r="K184" s="42">
        <f t="shared" si="22"/>
        <v>0</v>
      </c>
      <c r="O184" s="42"/>
    </row>
    <row r="185" spans="1:15" x14ac:dyDescent="0.25">
      <c r="A185" s="21">
        <v>85</v>
      </c>
      <c r="B185" s="25">
        <v>0.72054664270348334</v>
      </c>
      <c r="C185" s="25">
        <v>4.0848711275964941E-2</v>
      </c>
      <c r="D185" s="42">
        <f t="shared" si="23"/>
        <v>0</v>
      </c>
      <c r="F185" s="42">
        <f t="shared" si="17"/>
        <v>0.72054664270348334</v>
      </c>
      <c r="G185" s="42">
        <f t="shared" si="18"/>
        <v>0</v>
      </c>
      <c r="H185" s="42">
        <f t="shared" si="19"/>
        <v>0</v>
      </c>
      <c r="I185" s="42">
        <f t="shared" si="20"/>
        <v>4.0848711275964941E-2</v>
      </c>
      <c r="J185" s="42">
        <f t="shared" si="21"/>
        <v>0</v>
      </c>
      <c r="K185" s="42">
        <f t="shared" si="22"/>
        <v>0</v>
      </c>
      <c r="O185" s="42"/>
    </row>
    <row r="186" spans="1:15" x14ac:dyDescent="0.25">
      <c r="A186" s="23">
        <v>256</v>
      </c>
      <c r="B186" s="24">
        <v>0.72107657067686104</v>
      </c>
      <c r="C186" s="24">
        <v>4.0542897240708656E-2</v>
      </c>
      <c r="D186" s="42">
        <f t="shared" si="23"/>
        <v>0</v>
      </c>
      <c r="F186" s="42">
        <f t="shared" si="17"/>
        <v>0.72107657067686104</v>
      </c>
      <c r="G186" s="42">
        <f t="shared" si="18"/>
        <v>0</v>
      </c>
      <c r="H186" s="42">
        <f t="shared" si="19"/>
        <v>0</v>
      </c>
      <c r="I186" s="42">
        <f t="shared" si="20"/>
        <v>4.0542897240708656E-2</v>
      </c>
      <c r="J186" s="42">
        <f t="shared" si="21"/>
        <v>0</v>
      </c>
      <c r="K186" s="42">
        <f t="shared" si="22"/>
        <v>0</v>
      </c>
      <c r="O186" s="42"/>
    </row>
    <row r="187" spans="1:15" x14ac:dyDescent="0.25">
      <c r="A187" s="23">
        <v>531</v>
      </c>
      <c r="B187" s="24">
        <v>0.72659942541718459</v>
      </c>
      <c r="C187" s="24">
        <v>6.4218423286426199E-2</v>
      </c>
      <c r="D187" s="42">
        <f t="shared" si="23"/>
        <v>0</v>
      </c>
      <c r="F187" s="42">
        <f t="shared" si="17"/>
        <v>0.72659942541718459</v>
      </c>
      <c r="G187" s="42">
        <f t="shared" si="18"/>
        <v>0</v>
      </c>
      <c r="H187" s="42">
        <f t="shared" si="19"/>
        <v>0</v>
      </c>
      <c r="I187" s="42">
        <f t="shared" si="20"/>
        <v>6.4218423286426199E-2</v>
      </c>
      <c r="J187" s="42">
        <f t="shared" si="21"/>
        <v>0</v>
      </c>
      <c r="K187" s="42">
        <f t="shared" si="22"/>
        <v>0</v>
      </c>
      <c r="O187" s="42"/>
    </row>
    <row r="188" spans="1:15" x14ac:dyDescent="0.25">
      <c r="A188" s="31">
        <v>367</v>
      </c>
      <c r="B188" s="24">
        <v>0.72776839342765343</v>
      </c>
      <c r="C188" s="24">
        <v>3.9526964756989476E-2</v>
      </c>
      <c r="D188" s="42">
        <f t="shared" si="23"/>
        <v>0</v>
      </c>
      <c r="F188" s="42">
        <f t="shared" si="17"/>
        <v>0.72776839342765343</v>
      </c>
      <c r="G188" s="42">
        <f t="shared" si="18"/>
        <v>0</v>
      </c>
      <c r="H188" s="42">
        <f t="shared" si="19"/>
        <v>0</v>
      </c>
      <c r="I188" s="42">
        <f t="shared" si="20"/>
        <v>3.9526964756989476E-2</v>
      </c>
      <c r="J188" s="42">
        <f t="shared" si="21"/>
        <v>0</v>
      </c>
      <c r="K188" s="42">
        <f t="shared" si="22"/>
        <v>0</v>
      </c>
      <c r="O188" s="42"/>
    </row>
    <row r="189" spans="1:15" x14ac:dyDescent="0.25">
      <c r="A189" s="23">
        <v>843</v>
      </c>
      <c r="B189" s="24">
        <v>0.72990727690433144</v>
      </c>
      <c r="C189" s="24">
        <v>1.970968324384469E-2</v>
      </c>
      <c r="D189" s="42">
        <f t="shared" si="23"/>
        <v>0</v>
      </c>
      <c r="F189" s="42">
        <f t="shared" si="17"/>
        <v>0.72990727690433144</v>
      </c>
      <c r="G189" s="42">
        <f t="shared" si="18"/>
        <v>0</v>
      </c>
      <c r="H189" s="42">
        <f t="shared" si="19"/>
        <v>0</v>
      </c>
      <c r="I189" s="42">
        <f t="shared" si="20"/>
        <v>1.970968324384469E-2</v>
      </c>
      <c r="J189" s="42">
        <f t="shared" si="21"/>
        <v>0</v>
      </c>
      <c r="K189" s="42">
        <f t="shared" si="22"/>
        <v>0</v>
      </c>
      <c r="O189" s="42"/>
    </row>
    <row r="190" spans="1:15" x14ac:dyDescent="0.25">
      <c r="A190" s="23">
        <v>563</v>
      </c>
      <c r="B190" s="24">
        <v>0.73182502876393341</v>
      </c>
      <c r="C190" s="24">
        <v>5.0486435313495129E-2</v>
      </c>
      <c r="D190" s="42">
        <f t="shared" si="23"/>
        <v>0</v>
      </c>
      <c r="F190" s="42">
        <f t="shared" si="17"/>
        <v>0.73182502876393341</v>
      </c>
      <c r="G190" s="42">
        <f t="shared" si="18"/>
        <v>0</v>
      </c>
      <c r="H190" s="42">
        <f t="shared" si="19"/>
        <v>0</v>
      </c>
      <c r="I190" s="42">
        <f t="shared" si="20"/>
        <v>5.0486435313495129E-2</v>
      </c>
      <c r="J190" s="42">
        <f t="shared" si="21"/>
        <v>0</v>
      </c>
      <c r="K190" s="42">
        <f t="shared" si="22"/>
        <v>0</v>
      </c>
      <c r="O190" s="14">
        <v>31</v>
      </c>
    </row>
    <row r="191" spans="1:15" x14ac:dyDescent="0.25">
      <c r="A191" s="29">
        <v>287</v>
      </c>
      <c r="B191" s="25">
        <v>0.73200715788669202</v>
      </c>
      <c r="C191" s="25">
        <v>3.2345338897050109E-2</v>
      </c>
      <c r="D191" s="42">
        <f t="shared" si="23"/>
        <v>0</v>
      </c>
      <c r="F191" s="42">
        <f t="shared" si="17"/>
        <v>0.73200715788669202</v>
      </c>
      <c r="G191" s="42">
        <f t="shared" si="18"/>
        <v>0</v>
      </c>
      <c r="H191" s="42">
        <f t="shared" si="19"/>
        <v>0</v>
      </c>
      <c r="I191" s="42">
        <f t="shared" si="20"/>
        <v>3.2345338897050109E-2</v>
      </c>
      <c r="J191" s="42">
        <f t="shared" si="21"/>
        <v>0</v>
      </c>
      <c r="K191" s="42">
        <f t="shared" si="22"/>
        <v>0</v>
      </c>
      <c r="O191" s="14">
        <v>48</v>
      </c>
    </row>
    <row r="192" spans="1:15" x14ac:dyDescent="0.25">
      <c r="A192" s="23">
        <v>832</v>
      </c>
      <c r="B192" s="24">
        <v>0.73347426630797041</v>
      </c>
      <c r="C192" s="24">
        <v>5.6710139738491067E-2</v>
      </c>
      <c r="D192" s="42">
        <f t="shared" si="23"/>
        <v>0</v>
      </c>
      <c r="F192" s="42">
        <f t="shared" si="17"/>
        <v>0.73347426630797041</v>
      </c>
      <c r="G192" s="42">
        <f t="shared" si="18"/>
        <v>0</v>
      </c>
      <c r="H192" s="42">
        <f t="shared" si="19"/>
        <v>0</v>
      </c>
      <c r="I192" s="42">
        <f t="shared" si="20"/>
        <v>5.6710139738491067E-2</v>
      </c>
      <c r="J192" s="42">
        <f t="shared" si="21"/>
        <v>0</v>
      </c>
      <c r="K192" s="42">
        <f t="shared" si="22"/>
        <v>0</v>
      </c>
      <c r="O192" s="14">
        <v>177</v>
      </c>
    </row>
    <row r="193" spans="1:15" x14ac:dyDescent="0.25">
      <c r="A193" s="23">
        <v>382</v>
      </c>
      <c r="B193" s="24">
        <v>0.73912669461550051</v>
      </c>
      <c r="C193" s="24">
        <v>4.1410783458765192E-2</v>
      </c>
      <c r="D193" s="42">
        <f t="shared" si="23"/>
        <v>0</v>
      </c>
      <c r="F193" s="42">
        <f t="shared" si="17"/>
        <v>0.73912669461550051</v>
      </c>
      <c r="G193" s="42">
        <f t="shared" si="18"/>
        <v>0</v>
      </c>
      <c r="H193" s="42">
        <f t="shared" si="19"/>
        <v>0</v>
      </c>
      <c r="I193" s="42">
        <f t="shared" si="20"/>
        <v>4.1410783458765192E-2</v>
      </c>
      <c r="J193" s="42">
        <f t="shared" si="21"/>
        <v>0</v>
      </c>
      <c r="K193" s="42">
        <f t="shared" si="22"/>
        <v>0</v>
      </c>
      <c r="O193" s="14">
        <v>217</v>
      </c>
    </row>
    <row r="194" spans="1:15" x14ac:dyDescent="0.25">
      <c r="A194" s="23">
        <v>386</v>
      </c>
      <c r="B194" s="24">
        <v>0.73984340517304292</v>
      </c>
      <c r="C194" s="24">
        <v>6.1562245577830917E-2</v>
      </c>
      <c r="D194" s="42">
        <f t="shared" si="23"/>
        <v>0</v>
      </c>
      <c r="F194" s="42">
        <f t="shared" ref="F194:F195" si="24">IF(D194=0,B194,0)</f>
        <v>0.73984340517304292</v>
      </c>
      <c r="G194" s="42">
        <f t="shared" ref="G194:G195" si="25">IF(D194=1,B194,0)</f>
        <v>0</v>
      </c>
      <c r="H194" s="42">
        <f t="shared" ref="H194:H195" si="26">IF(D194=2,B194,0)</f>
        <v>0</v>
      </c>
      <c r="I194" s="42">
        <f t="shared" ref="I194:I195" si="27">IF(D194=0,C194,0)</f>
        <v>6.1562245577830917E-2</v>
      </c>
      <c r="J194" s="42">
        <f t="shared" ref="J194:J195" si="28">IF(D194=1,C194,0)</f>
        <v>0</v>
      </c>
      <c r="K194" s="42">
        <f t="shared" ref="K194:K195" si="29">IF(D194=2,C194,0)</f>
        <v>0</v>
      </c>
      <c r="O194" s="14">
        <v>228</v>
      </c>
    </row>
    <row r="195" spans="1:15" x14ac:dyDescent="0.25">
      <c r="A195" s="21">
        <v>630</v>
      </c>
      <c r="B195" s="25">
        <v>0.74151266044638253</v>
      </c>
      <c r="C195" s="25">
        <v>7.3200207832488873E-2</v>
      </c>
      <c r="D195" s="42">
        <f t="shared" si="23"/>
        <v>0</v>
      </c>
      <c r="F195" s="42">
        <f t="shared" si="24"/>
        <v>0.74151266044638253</v>
      </c>
      <c r="G195" s="42">
        <f t="shared" si="25"/>
        <v>0</v>
      </c>
      <c r="H195" s="42">
        <f t="shared" si="26"/>
        <v>0</v>
      </c>
      <c r="I195" s="42">
        <f t="shared" si="27"/>
        <v>7.3200207832488873E-2</v>
      </c>
      <c r="J195" s="42">
        <f t="shared" si="28"/>
        <v>0</v>
      </c>
      <c r="K195" s="42">
        <f t="shared" si="29"/>
        <v>0</v>
      </c>
      <c r="O195" s="14">
        <v>317</v>
      </c>
    </row>
    <row r="196" spans="1:15" x14ac:dyDescent="0.25">
      <c r="A196" s="23">
        <v>492</v>
      </c>
      <c r="B196" s="24">
        <v>0.7437366873684722</v>
      </c>
      <c r="C196" s="24">
        <v>4.4885521930704789E-2</v>
      </c>
      <c r="D196" s="42">
        <f t="shared" si="23"/>
        <v>0</v>
      </c>
      <c r="O196" s="14">
        <v>321</v>
      </c>
    </row>
    <row r="197" spans="1:15" x14ac:dyDescent="0.25">
      <c r="A197" s="21">
        <v>786</v>
      </c>
      <c r="B197" s="25">
        <v>0.74529177272727276</v>
      </c>
      <c r="C197" s="25">
        <v>5.2041699654783335E-2</v>
      </c>
      <c r="D197" s="42">
        <f t="shared" si="23"/>
        <v>0</v>
      </c>
      <c r="O197" s="14">
        <v>332</v>
      </c>
    </row>
    <row r="198" spans="1:15" x14ac:dyDescent="0.25">
      <c r="A198" s="23">
        <v>801</v>
      </c>
      <c r="B198" s="24">
        <v>0.7467890858410603</v>
      </c>
      <c r="C198" s="24">
        <v>3.4639371644997002E-2</v>
      </c>
      <c r="O198" s="14">
        <v>335</v>
      </c>
    </row>
    <row r="199" spans="1:15" x14ac:dyDescent="0.25">
      <c r="A199" s="29">
        <v>354</v>
      </c>
      <c r="B199" s="24">
        <v>0.74723863665542367</v>
      </c>
      <c r="C199" s="24">
        <v>4.4171739858875202E-2</v>
      </c>
      <c r="O199" s="14">
        <v>360</v>
      </c>
    </row>
    <row r="200" spans="1:15" x14ac:dyDescent="0.25">
      <c r="A200" s="23">
        <v>195</v>
      </c>
      <c r="B200" s="24">
        <v>0.7515174953742686</v>
      </c>
      <c r="C200" s="24">
        <v>5.2919512700924667E-2</v>
      </c>
      <c r="O200" s="14">
        <v>390</v>
      </c>
    </row>
    <row r="201" spans="1:15" x14ac:dyDescent="0.25">
      <c r="A201" s="23">
        <v>338</v>
      </c>
      <c r="B201" s="24">
        <v>0.7568705180920916</v>
      </c>
      <c r="C201" s="24">
        <v>3.2473985604043742E-2</v>
      </c>
      <c r="O201" s="14">
        <v>397</v>
      </c>
    </row>
    <row r="202" spans="1:15" x14ac:dyDescent="0.25">
      <c r="A202" s="23">
        <v>443</v>
      </c>
      <c r="B202" s="24">
        <v>0.77651925943528133</v>
      </c>
      <c r="C202" s="24">
        <v>2.634050447723359E-2</v>
      </c>
      <c r="O202" s="14">
        <v>528</v>
      </c>
    </row>
    <row r="203" spans="1:15" x14ac:dyDescent="0.25">
      <c r="A203" s="21">
        <v>229</v>
      </c>
      <c r="B203" s="25">
        <v>0.83143656840556579</v>
      </c>
      <c r="C203" s="25">
        <v>5.4386155295182065E-2</v>
      </c>
      <c r="O203" s="14">
        <v>551</v>
      </c>
    </row>
    <row r="204" spans="1:15" x14ac:dyDescent="0.25">
      <c r="O204" s="14">
        <v>861</v>
      </c>
    </row>
    <row r="205" spans="1:15" x14ac:dyDescent="0.25">
      <c r="O205" s="14">
        <v>887</v>
      </c>
    </row>
  </sheetData>
  <sortState ref="A1:C216">
    <sortCondition ref="B1:B216"/>
  </sortState>
  <pageMargins left="0.7" right="0.7" top="0.75" bottom="0.75" header="0.3" footer="0.3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5"/>
  <sheetViews>
    <sheetView workbookViewId="0">
      <selection activeCell="D3" sqref="D3"/>
    </sheetView>
  </sheetViews>
  <sheetFormatPr defaultRowHeight="15" x14ac:dyDescent="0.25"/>
  <sheetData>
    <row r="1" spans="1:2" x14ac:dyDescent="0.25">
      <c r="A1">
        <v>0</v>
      </c>
      <c r="B1">
        <v>26</v>
      </c>
    </row>
    <row r="2" spans="1:2" x14ac:dyDescent="0.25">
      <c r="A2">
        <v>0</v>
      </c>
      <c r="B2">
        <v>32</v>
      </c>
    </row>
    <row r="3" spans="1:2" x14ac:dyDescent="0.25">
      <c r="A3">
        <v>0</v>
      </c>
      <c r="B3">
        <v>38</v>
      </c>
    </row>
    <row r="4" spans="1:2" x14ac:dyDescent="0.25">
      <c r="A4">
        <v>0</v>
      </c>
      <c r="B4">
        <v>41</v>
      </c>
    </row>
    <row r="5" spans="1:2" x14ac:dyDescent="0.25">
      <c r="A5">
        <v>0</v>
      </c>
      <c r="B5">
        <v>59</v>
      </c>
    </row>
    <row r="6" spans="1:2" x14ac:dyDescent="0.25">
      <c r="A6">
        <v>0</v>
      </c>
      <c r="B6">
        <v>69</v>
      </c>
    </row>
    <row r="7" spans="1:2" x14ac:dyDescent="0.25">
      <c r="A7">
        <v>0</v>
      </c>
      <c r="B7">
        <v>73</v>
      </c>
    </row>
    <row r="8" spans="1:2" x14ac:dyDescent="0.25">
      <c r="A8">
        <v>0</v>
      </c>
      <c r="B8">
        <v>85</v>
      </c>
    </row>
    <row r="9" spans="1:2" x14ac:dyDescent="0.25">
      <c r="A9">
        <v>0</v>
      </c>
      <c r="B9">
        <v>88</v>
      </c>
    </row>
    <row r="10" spans="1:2" x14ac:dyDescent="0.25">
      <c r="A10">
        <v>0</v>
      </c>
      <c r="B10">
        <v>100</v>
      </c>
    </row>
    <row r="11" spans="1:2" x14ac:dyDescent="0.25">
      <c r="A11">
        <v>0</v>
      </c>
      <c r="B11">
        <v>101</v>
      </c>
    </row>
    <row r="12" spans="1:2" x14ac:dyDescent="0.25">
      <c r="A12">
        <v>0</v>
      </c>
      <c r="B12">
        <v>136</v>
      </c>
    </row>
    <row r="13" spans="1:2" x14ac:dyDescent="0.25">
      <c r="A13">
        <v>0</v>
      </c>
      <c r="B13">
        <v>138</v>
      </c>
    </row>
    <row r="14" spans="1:2" x14ac:dyDescent="0.25">
      <c r="A14">
        <v>0</v>
      </c>
      <c r="B14">
        <v>149</v>
      </c>
    </row>
    <row r="15" spans="1:2" x14ac:dyDescent="0.25">
      <c r="A15">
        <v>0</v>
      </c>
      <c r="B15">
        <v>158</v>
      </c>
    </row>
    <row r="16" spans="1:2" x14ac:dyDescent="0.25">
      <c r="A16">
        <v>0</v>
      </c>
      <c r="B16">
        <v>176</v>
      </c>
    </row>
    <row r="17" spans="1:2" x14ac:dyDescent="0.25">
      <c r="A17">
        <v>0</v>
      </c>
      <c r="B17">
        <v>181</v>
      </c>
    </row>
    <row r="18" spans="1:2" x14ac:dyDescent="0.25">
      <c r="A18">
        <v>0</v>
      </c>
      <c r="B18">
        <v>189</v>
      </c>
    </row>
    <row r="19" spans="1:2" x14ac:dyDescent="0.25">
      <c r="A19">
        <v>0</v>
      </c>
      <c r="B19">
        <v>195</v>
      </c>
    </row>
    <row r="20" spans="1:2" x14ac:dyDescent="0.25">
      <c r="A20">
        <v>0</v>
      </c>
      <c r="B20">
        <v>208</v>
      </c>
    </row>
    <row r="21" spans="1:2" x14ac:dyDescent="0.25">
      <c r="A21">
        <v>0</v>
      </c>
      <c r="B21">
        <v>227</v>
      </c>
    </row>
    <row r="22" spans="1:2" x14ac:dyDescent="0.25">
      <c r="A22">
        <v>0</v>
      </c>
      <c r="B22">
        <v>229</v>
      </c>
    </row>
    <row r="23" spans="1:2" x14ac:dyDescent="0.25">
      <c r="A23">
        <v>0</v>
      </c>
      <c r="B23">
        <v>235</v>
      </c>
    </row>
    <row r="24" spans="1:2" x14ac:dyDescent="0.25">
      <c r="A24">
        <v>0</v>
      </c>
      <c r="B24">
        <v>237</v>
      </c>
    </row>
    <row r="25" spans="1:2" x14ac:dyDescent="0.25">
      <c r="A25">
        <v>0</v>
      </c>
      <c r="B25">
        <v>239</v>
      </c>
    </row>
    <row r="26" spans="1:2" x14ac:dyDescent="0.25">
      <c r="A26">
        <v>0</v>
      </c>
      <c r="B26">
        <v>256</v>
      </c>
    </row>
    <row r="27" spans="1:2" x14ac:dyDescent="0.25">
      <c r="A27">
        <v>0</v>
      </c>
      <c r="B27">
        <v>280</v>
      </c>
    </row>
    <row r="28" spans="1:2" x14ac:dyDescent="0.25">
      <c r="A28">
        <v>0</v>
      </c>
      <c r="B28">
        <v>287</v>
      </c>
    </row>
    <row r="29" spans="1:2" x14ac:dyDescent="0.25">
      <c r="A29">
        <v>0</v>
      </c>
      <c r="B29">
        <v>301</v>
      </c>
    </row>
    <row r="30" spans="1:2" x14ac:dyDescent="0.25">
      <c r="A30">
        <v>0</v>
      </c>
      <c r="B30">
        <v>303</v>
      </c>
    </row>
    <row r="31" spans="1:2" x14ac:dyDescent="0.25">
      <c r="A31">
        <v>0</v>
      </c>
      <c r="B31">
        <v>304</v>
      </c>
    </row>
    <row r="32" spans="1:2" x14ac:dyDescent="0.25">
      <c r="A32">
        <v>0</v>
      </c>
      <c r="B32">
        <v>306</v>
      </c>
    </row>
    <row r="33" spans="1:2" x14ac:dyDescent="0.25">
      <c r="A33">
        <v>0</v>
      </c>
      <c r="B33">
        <v>307</v>
      </c>
    </row>
    <row r="34" spans="1:2" x14ac:dyDescent="0.25">
      <c r="A34">
        <v>0</v>
      </c>
      <c r="B34">
        <v>309</v>
      </c>
    </row>
    <row r="35" spans="1:2" x14ac:dyDescent="0.25">
      <c r="A35">
        <v>0</v>
      </c>
      <c r="B35">
        <v>310</v>
      </c>
    </row>
    <row r="36" spans="1:2" x14ac:dyDescent="0.25">
      <c r="A36">
        <v>0</v>
      </c>
      <c r="B36">
        <v>313</v>
      </c>
    </row>
    <row r="37" spans="1:2" x14ac:dyDescent="0.25">
      <c r="A37">
        <v>0</v>
      </c>
      <c r="B37">
        <v>319</v>
      </c>
    </row>
    <row r="38" spans="1:2" x14ac:dyDescent="0.25">
      <c r="A38">
        <v>0</v>
      </c>
      <c r="B38">
        <v>320</v>
      </c>
    </row>
    <row r="39" spans="1:2" x14ac:dyDescent="0.25">
      <c r="A39">
        <v>0</v>
      </c>
      <c r="B39">
        <v>324</v>
      </c>
    </row>
    <row r="40" spans="1:2" x14ac:dyDescent="0.25">
      <c r="A40">
        <v>0</v>
      </c>
      <c r="B40">
        <v>325</v>
      </c>
    </row>
    <row r="41" spans="1:2" x14ac:dyDescent="0.25">
      <c r="A41">
        <v>0</v>
      </c>
      <c r="B41">
        <v>336</v>
      </c>
    </row>
    <row r="42" spans="1:2" x14ac:dyDescent="0.25">
      <c r="A42">
        <v>0</v>
      </c>
      <c r="B42">
        <v>338</v>
      </c>
    </row>
    <row r="43" spans="1:2" x14ac:dyDescent="0.25">
      <c r="A43">
        <v>0</v>
      </c>
      <c r="B43">
        <v>340</v>
      </c>
    </row>
    <row r="44" spans="1:2" x14ac:dyDescent="0.25">
      <c r="A44">
        <v>0</v>
      </c>
      <c r="B44">
        <v>348</v>
      </c>
    </row>
    <row r="45" spans="1:2" x14ac:dyDescent="0.25">
      <c r="A45">
        <v>0</v>
      </c>
      <c r="B45">
        <v>350</v>
      </c>
    </row>
    <row r="46" spans="1:2" x14ac:dyDescent="0.25">
      <c r="A46">
        <v>0</v>
      </c>
      <c r="B46">
        <v>352</v>
      </c>
    </row>
    <row r="47" spans="1:2" x14ac:dyDescent="0.25">
      <c r="A47">
        <v>0</v>
      </c>
      <c r="B47">
        <v>354</v>
      </c>
    </row>
    <row r="48" spans="1:2" x14ac:dyDescent="0.25">
      <c r="A48">
        <v>0</v>
      </c>
      <c r="B48">
        <v>355</v>
      </c>
    </row>
    <row r="49" spans="1:2" x14ac:dyDescent="0.25">
      <c r="A49">
        <v>0</v>
      </c>
      <c r="B49">
        <v>356</v>
      </c>
    </row>
    <row r="50" spans="1:2" x14ac:dyDescent="0.25">
      <c r="A50">
        <v>0</v>
      </c>
      <c r="B50">
        <v>357</v>
      </c>
    </row>
    <row r="51" spans="1:2" x14ac:dyDescent="0.25">
      <c r="A51">
        <v>0</v>
      </c>
      <c r="B51">
        <v>358</v>
      </c>
    </row>
    <row r="52" spans="1:2" x14ac:dyDescent="0.25">
      <c r="A52">
        <v>0</v>
      </c>
      <c r="B52">
        <v>359</v>
      </c>
    </row>
    <row r="53" spans="1:2" x14ac:dyDescent="0.25">
      <c r="A53">
        <v>0</v>
      </c>
      <c r="B53">
        <v>361</v>
      </c>
    </row>
    <row r="54" spans="1:2" x14ac:dyDescent="0.25">
      <c r="A54">
        <v>0</v>
      </c>
      <c r="B54">
        <v>365</v>
      </c>
    </row>
    <row r="55" spans="1:2" x14ac:dyDescent="0.25">
      <c r="A55">
        <v>0</v>
      </c>
      <c r="B55">
        <v>367</v>
      </c>
    </row>
    <row r="56" spans="1:2" x14ac:dyDescent="0.25">
      <c r="A56">
        <v>0</v>
      </c>
      <c r="B56">
        <v>370</v>
      </c>
    </row>
    <row r="57" spans="1:2" x14ac:dyDescent="0.25">
      <c r="A57">
        <v>0</v>
      </c>
      <c r="B57">
        <v>373</v>
      </c>
    </row>
    <row r="58" spans="1:2" x14ac:dyDescent="0.25">
      <c r="A58">
        <v>0</v>
      </c>
      <c r="B58">
        <v>375</v>
      </c>
    </row>
    <row r="59" spans="1:2" x14ac:dyDescent="0.25">
      <c r="A59">
        <v>0</v>
      </c>
      <c r="B59">
        <v>379</v>
      </c>
    </row>
    <row r="60" spans="1:2" x14ac:dyDescent="0.25">
      <c r="A60">
        <v>0</v>
      </c>
      <c r="B60">
        <v>380</v>
      </c>
    </row>
    <row r="61" spans="1:2" x14ac:dyDescent="0.25">
      <c r="A61">
        <v>0</v>
      </c>
      <c r="B61">
        <v>381</v>
      </c>
    </row>
    <row r="62" spans="1:2" x14ac:dyDescent="0.25">
      <c r="A62">
        <v>0</v>
      </c>
      <c r="B62">
        <v>382</v>
      </c>
    </row>
    <row r="63" spans="1:2" x14ac:dyDescent="0.25">
      <c r="A63">
        <v>0</v>
      </c>
      <c r="B63">
        <v>383</v>
      </c>
    </row>
    <row r="64" spans="1:2" x14ac:dyDescent="0.25">
      <c r="A64">
        <v>0</v>
      </c>
      <c r="B64">
        <v>386</v>
      </c>
    </row>
    <row r="65" spans="1:2" x14ac:dyDescent="0.25">
      <c r="A65">
        <v>0</v>
      </c>
      <c r="B65">
        <v>391</v>
      </c>
    </row>
    <row r="66" spans="1:2" x14ac:dyDescent="0.25">
      <c r="A66">
        <v>0</v>
      </c>
      <c r="B66">
        <v>405</v>
      </c>
    </row>
    <row r="67" spans="1:2" x14ac:dyDescent="0.25">
      <c r="A67">
        <v>0</v>
      </c>
      <c r="B67">
        <v>409</v>
      </c>
    </row>
    <row r="68" spans="1:2" x14ac:dyDescent="0.25">
      <c r="A68">
        <v>0</v>
      </c>
      <c r="B68">
        <v>426</v>
      </c>
    </row>
    <row r="69" spans="1:2" x14ac:dyDescent="0.25">
      <c r="A69">
        <v>0</v>
      </c>
      <c r="B69">
        <v>427</v>
      </c>
    </row>
    <row r="70" spans="1:2" x14ac:dyDescent="0.25">
      <c r="A70">
        <v>0</v>
      </c>
      <c r="B70">
        <v>439</v>
      </c>
    </row>
    <row r="71" spans="1:2" x14ac:dyDescent="0.25">
      <c r="A71">
        <v>0</v>
      </c>
      <c r="B71">
        <v>440</v>
      </c>
    </row>
    <row r="72" spans="1:2" x14ac:dyDescent="0.25">
      <c r="A72">
        <v>0</v>
      </c>
      <c r="B72">
        <v>441</v>
      </c>
    </row>
    <row r="73" spans="1:2" x14ac:dyDescent="0.25">
      <c r="A73">
        <v>0</v>
      </c>
      <c r="B73">
        <v>443</v>
      </c>
    </row>
    <row r="74" spans="1:2" x14ac:dyDescent="0.25">
      <c r="A74">
        <v>0</v>
      </c>
      <c r="B74">
        <v>491</v>
      </c>
    </row>
    <row r="75" spans="1:2" x14ac:dyDescent="0.25">
      <c r="A75">
        <v>0</v>
      </c>
      <c r="B75">
        <v>492</v>
      </c>
    </row>
    <row r="76" spans="1:2" x14ac:dyDescent="0.25">
      <c r="A76">
        <v>0</v>
      </c>
      <c r="B76">
        <v>502</v>
      </c>
    </row>
    <row r="77" spans="1:2" x14ac:dyDescent="0.25">
      <c r="A77">
        <v>0</v>
      </c>
      <c r="B77">
        <v>505</v>
      </c>
    </row>
    <row r="78" spans="1:2" x14ac:dyDescent="0.25">
      <c r="A78">
        <v>0</v>
      </c>
      <c r="B78">
        <v>508</v>
      </c>
    </row>
    <row r="79" spans="1:2" x14ac:dyDescent="0.25">
      <c r="A79">
        <v>0</v>
      </c>
      <c r="B79">
        <v>509</v>
      </c>
    </row>
    <row r="80" spans="1:2" x14ac:dyDescent="0.25">
      <c r="A80">
        <v>0</v>
      </c>
      <c r="B80">
        <v>513</v>
      </c>
    </row>
    <row r="81" spans="1:2" x14ac:dyDescent="0.25">
      <c r="A81">
        <v>0</v>
      </c>
      <c r="B81">
        <v>517</v>
      </c>
    </row>
    <row r="82" spans="1:2" x14ac:dyDescent="0.25">
      <c r="A82">
        <v>0</v>
      </c>
      <c r="B82">
        <v>531</v>
      </c>
    </row>
    <row r="83" spans="1:2" x14ac:dyDescent="0.25">
      <c r="A83">
        <v>0</v>
      </c>
      <c r="B83">
        <v>555</v>
      </c>
    </row>
    <row r="84" spans="1:2" x14ac:dyDescent="0.25">
      <c r="A84">
        <v>0</v>
      </c>
      <c r="B84">
        <v>559</v>
      </c>
    </row>
    <row r="85" spans="1:2" x14ac:dyDescent="0.25">
      <c r="A85">
        <v>0</v>
      </c>
      <c r="B85">
        <v>563</v>
      </c>
    </row>
    <row r="86" spans="1:2" x14ac:dyDescent="0.25">
      <c r="A86">
        <v>0</v>
      </c>
      <c r="B86">
        <v>566</v>
      </c>
    </row>
    <row r="87" spans="1:2" x14ac:dyDescent="0.25">
      <c r="A87">
        <v>0</v>
      </c>
      <c r="B87">
        <v>584</v>
      </c>
    </row>
    <row r="88" spans="1:2" x14ac:dyDescent="0.25">
      <c r="A88">
        <v>0</v>
      </c>
      <c r="B88">
        <v>589</v>
      </c>
    </row>
    <row r="89" spans="1:2" x14ac:dyDescent="0.25">
      <c r="A89">
        <v>0</v>
      </c>
      <c r="B89">
        <v>595</v>
      </c>
    </row>
    <row r="90" spans="1:2" x14ac:dyDescent="0.25">
      <c r="A90">
        <v>0</v>
      </c>
      <c r="B90">
        <v>596</v>
      </c>
    </row>
    <row r="91" spans="1:2" x14ac:dyDescent="0.25">
      <c r="A91">
        <v>0</v>
      </c>
      <c r="B91">
        <v>627</v>
      </c>
    </row>
    <row r="92" spans="1:2" x14ac:dyDescent="0.25">
      <c r="A92">
        <v>0</v>
      </c>
      <c r="B92">
        <v>630</v>
      </c>
    </row>
    <row r="93" spans="1:2" x14ac:dyDescent="0.25">
      <c r="A93">
        <v>0</v>
      </c>
      <c r="B93">
        <v>634</v>
      </c>
    </row>
    <row r="94" spans="1:2" x14ac:dyDescent="0.25">
      <c r="A94">
        <v>0</v>
      </c>
      <c r="B94">
        <v>639</v>
      </c>
    </row>
    <row r="95" spans="1:2" x14ac:dyDescent="0.25">
      <c r="A95">
        <v>0</v>
      </c>
      <c r="B95">
        <v>646</v>
      </c>
    </row>
    <row r="96" spans="1:2" x14ac:dyDescent="0.25">
      <c r="A96">
        <v>0</v>
      </c>
      <c r="B96">
        <v>712</v>
      </c>
    </row>
    <row r="97" spans="1:2" x14ac:dyDescent="0.25">
      <c r="A97">
        <v>0</v>
      </c>
      <c r="B97">
        <v>727</v>
      </c>
    </row>
    <row r="98" spans="1:2" x14ac:dyDescent="0.25">
      <c r="A98">
        <v>0</v>
      </c>
      <c r="B98">
        <v>730</v>
      </c>
    </row>
    <row r="99" spans="1:2" x14ac:dyDescent="0.25">
      <c r="A99">
        <v>0</v>
      </c>
      <c r="B99">
        <v>732</v>
      </c>
    </row>
    <row r="100" spans="1:2" x14ac:dyDescent="0.25">
      <c r="A100">
        <v>0</v>
      </c>
      <c r="B100">
        <v>737</v>
      </c>
    </row>
    <row r="101" spans="1:2" x14ac:dyDescent="0.25">
      <c r="A101">
        <v>0</v>
      </c>
      <c r="B101">
        <v>738</v>
      </c>
    </row>
    <row r="102" spans="1:2" x14ac:dyDescent="0.25">
      <c r="A102">
        <v>0</v>
      </c>
      <c r="B102">
        <v>748</v>
      </c>
    </row>
    <row r="103" spans="1:2" x14ac:dyDescent="0.25">
      <c r="A103">
        <v>0</v>
      </c>
      <c r="B103">
        <v>761</v>
      </c>
    </row>
    <row r="104" spans="1:2" x14ac:dyDescent="0.25">
      <c r="A104">
        <v>0</v>
      </c>
      <c r="B104">
        <v>776</v>
      </c>
    </row>
    <row r="105" spans="1:2" x14ac:dyDescent="0.25">
      <c r="A105">
        <v>0</v>
      </c>
      <c r="B105">
        <v>783</v>
      </c>
    </row>
    <row r="106" spans="1:2" x14ac:dyDescent="0.25">
      <c r="A106">
        <v>0</v>
      </c>
      <c r="B106">
        <v>786</v>
      </c>
    </row>
    <row r="107" spans="1:2" x14ac:dyDescent="0.25">
      <c r="A107">
        <v>0</v>
      </c>
      <c r="B107">
        <v>787</v>
      </c>
    </row>
    <row r="108" spans="1:2" x14ac:dyDescent="0.25">
      <c r="A108">
        <v>0</v>
      </c>
      <c r="B108">
        <v>790</v>
      </c>
    </row>
    <row r="109" spans="1:2" x14ac:dyDescent="0.25">
      <c r="A109">
        <v>0</v>
      </c>
      <c r="B109">
        <v>796</v>
      </c>
    </row>
    <row r="110" spans="1:2" x14ac:dyDescent="0.25">
      <c r="A110">
        <v>0</v>
      </c>
      <c r="B110">
        <v>799</v>
      </c>
    </row>
    <row r="111" spans="1:2" x14ac:dyDescent="0.25">
      <c r="A111">
        <v>0</v>
      </c>
      <c r="B111">
        <v>801</v>
      </c>
    </row>
    <row r="112" spans="1:2" x14ac:dyDescent="0.25">
      <c r="A112">
        <v>0</v>
      </c>
      <c r="B112">
        <v>802</v>
      </c>
    </row>
    <row r="113" spans="1:2" x14ac:dyDescent="0.25">
      <c r="A113">
        <v>0</v>
      </c>
      <c r="B113">
        <v>804</v>
      </c>
    </row>
    <row r="114" spans="1:2" x14ac:dyDescent="0.25">
      <c r="A114">
        <v>0</v>
      </c>
      <c r="B114">
        <v>805</v>
      </c>
    </row>
    <row r="115" spans="1:2" x14ac:dyDescent="0.25">
      <c r="A115">
        <v>0</v>
      </c>
      <c r="B115">
        <v>808</v>
      </c>
    </row>
    <row r="116" spans="1:2" x14ac:dyDescent="0.25">
      <c r="A116">
        <v>0</v>
      </c>
      <c r="B116">
        <v>810</v>
      </c>
    </row>
    <row r="117" spans="1:2" x14ac:dyDescent="0.25">
      <c r="A117">
        <v>0</v>
      </c>
      <c r="B117">
        <v>812</v>
      </c>
    </row>
    <row r="118" spans="1:2" x14ac:dyDescent="0.25">
      <c r="A118">
        <v>0</v>
      </c>
      <c r="B118">
        <v>818</v>
      </c>
    </row>
    <row r="119" spans="1:2" x14ac:dyDescent="0.25">
      <c r="A119">
        <v>0</v>
      </c>
      <c r="B119">
        <v>819</v>
      </c>
    </row>
    <row r="120" spans="1:2" x14ac:dyDescent="0.25">
      <c r="A120">
        <v>0</v>
      </c>
      <c r="B120">
        <v>821</v>
      </c>
    </row>
    <row r="121" spans="1:2" x14ac:dyDescent="0.25">
      <c r="A121">
        <v>0</v>
      </c>
      <c r="B121">
        <v>822</v>
      </c>
    </row>
    <row r="122" spans="1:2" x14ac:dyDescent="0.25">
      <c r="A122">
        <v>0</v>
      </c>
      <c r="B122">
        <v>832</v>
      </c>
    </row>
    <row r="123" spans="1:2" x14ac:dyDescent="0.25">
      <c r="A123">
        <v>0</v>
      </c>
      <c r="B123">
        <v>837</v>
      </c>
    </row>
    <row r="124" spans="1:2" x14ac:dyDescent="0.25">
      <c r="A124">
        <v>0</v>
      </c>
      <c r="B124">
        <v>843</v>
      </c>
    </row>
    <row r="125" spans="1:2" x14ac:dyDescent="0.25">
      <c r="A125">
        <v>0</v>
      </c>
      <c r="B125">
        <v>849</v>
      </c>
    </row>
    <row r="126" spans="1:2" x14ac:dyDescent="0.25">
      <c r="A126">
        <v>0</v>
      </c>
      <c r="B126">
        <v>850</v>
      </c>
    </row>
    <row r="127" spans="1:2" x14ac:dyDescent="0.25">
      <c r="A127">
        <v>0</v>
      </c>
      <c r="B127">
        <v>852</v>
      </c>
    </row>
    <row r="128" spans="1:2" x14ac:dyDescent="0.25">
      <c r="A128">
        <v>0</v>
      </c>
      <c r="B128">
        <v>853</v>
      </c>
    </row>
    <row r="129" spans="1:2" x14ac:dyDescent="0.25">
      <c r="A129">
        <v>0</v>
      </c>
      <c r="B129">
        <v>855</v>
      </c>
    </row>
    <row r="130" spans="1:2" x14ac:dyDescent="0.25">
      <c r="A130">
        <v>0</v>
      </c>
      <c r="B130">
        <v>859</v>
      </c>
    </row>
    <row r="131" spans="1:2" x14ac:dyDescent="0.25">
      <c r="A131">
        <v>0</v>
      </c>
      <c r="B131">
        <v>879</v>
      </c>
    </row>
    <row r="132" spans="1:2" x14ac:dyDescent="0.25">
      <c r="A132">
        <v>0</v>
      </c>
      <c r="B132">
        <v>882</v>
      </c>
    </row>
    <row r="133" spans="1:2" x14ac:dyDescent="0.25">
      <c r="A133">
        <v>0</v>
      </c>
      <c r="B133">
        <v>884</v>
      </c>
    </row>
    <row r="134" spans="1:2" x14ac:dyDescent="0.25">
      <c r="A134">
        <v>0</v>
      </c>
      <c r="B134">
        <v>890</v>
      </c>
    </row>
    <row r="135" spans="1:2" x14ac:dyDescent="0.25">
      <c r="A135">
        <v>0</v>
      </c>
      <c r="B135">
        <v>892</v>
      </c>
    </row>
    <row r="136" spans="1:2" x14ac:dyDescent="0.25">
      <c r="A136">
        <v>0</v>
      </c>
      <c r="B136">
        <v>894</v>
      </c>
    </row>
    <row r="137" spans="1:2" x14ac:dyDescent="0.25">
      <c r="A137">
        <v>0</v>
      </c>
      <c r="B137">
        <v>897</v>
      </c>
    </row>
    <row r="138" spans="1:2" x14ac:dyDescent="0.25">
      <c r="A138">
        <v>0</v>
      </c>
      <c r="B138">
        <v>900</v>
      </c>
    </row>
    <row r="139" spans="1:2" x14ac:dyDescent="0.25">
      <c r="A139">
        <v>0</v>
      </c>
      <c r="B139">
        <v>907</v>
      </c>
    </row>
    <row r="140" spans="1:2" x14ac:dyDescent="0.25">
      <c r="A140">
        <v>0</v>
      </c>
      <c r="B140">
        <v>908</v>
      </c>
    </row>
    <row r="141" spans="1:2" x14ac:dyDescent="0.25">
      <c r="A141">
        <v>0</v>
      </c>
      <c r="B141">
        <v>911</v>
      </c>
    </row>
    <row r="142" spans="1:2" x14ac:dyDescent="0.25">
      <c r="A142">
        <v>0</v>
      </c>
      <c r="B142">
        <v>913</v>
      </c>
    </row>
    <row r="143" spans="1:2" x14ac:dyDescent="0.25">
      <c r="A143">
        <v>2</v>
      </c>
      <c r="B143">
        <v>21</v>
      </c>
    </row>
    <row r="144" spans="1:2" x14ac:dyDescent="0.25">
      <c r="A144">
        <v>2</v>
      </c>
      <c r="B144">
        <v>28</v>
      </c>
    </row>
    <row r="145" spans="1:2" x14ac:dyDescent="0.25">
      <c r="A145">
        <v>2</v>
      </c>
      <c r="B145">
        <v>40</v>
      </c>
    </row>
    <row r="146" spans="1:2" x14ac:dyDescent="0.25">
      <c r="A146">
        <v>2</v>
      </c>
      <c r="B146">
        <v>42</v>
      </c>
    </row>
    <row r="147" spans="1:2" x14ac:dyDescent="0.25">
      <c r="A147">
        <v>2</v>
      </c>
      <c r="B147">
        <v>45</v>
      </c>
    </row>
    <row r="148" spans="1:2" x14ac:dyDescent="0.25">
      <c r="A148">
        <v>2</v>
      </c>
      <c r="B148">
        <v>49</v>
      </c>
    </row>
    <row r="149" spans="1:2" x14ac:dyDescent="0.25">
      <c r="A149">
        <v>2</v>
      </c>
      <c r="B149">
        <v>57</v>
      </c>
    </row>
    <row r="150" spans="1:2" x14ac:dyDescent="0.25">
      <c r="A150">
        <v>2</v>
      </c>
      <c r="B150">
        <v>75</v>
      </c>
    </row>
    <row r="151" spans="1:2" x14ac:dyDescent="0.25">
      <c r="A151">
        <v>2</v>
      </c>
      <c r="B151">
        <v>83</v>
      </c>
    </row>
    <row r="152" spans="1:2" x14ac:dyDescent="0.25">
      <c r="A152">
        <v>2</v>
      </c>
      <c r="B152">
        <v>91</v>
      </c>
    </row>
    <row r="153" spans="1:2" x14ac:dyDescent="0.25">
      <c r="A153">
        <v>2</v>
      </c>
      <c r="B153">
        <v>93</v>
      </c>
    </row>
    <row r="154" spans="1:2" x14ac:dyDescent="0.25">
      <c r="A154">
        <v>2</v>
      </c>
      <c r="B154">
        <v>105</v>
      </c>
    </row>
    <row r="155" spans="1:2" x14ac:dyDescent="0.25">
      <c r="A155">
        <v>2</v>
      </c>
      <c r="B155">
        <v>109</v>
      </c>
    </row>
    <row r="156" spans="1:2" x14ac:dyDescent="0.25">
      <c r="A156">
        <v>2</v>
      </c>
      <c r="B156">
        <v>129</v>
      </c>
    </row>
    <row r="157" spans="1:2" x14ac:dyDescent="0.25">
      <c r="A157">
        <v>2</v>
      </c>
      <c r="B157">
        <v>142</v>
      </c>
    </row>
    <row r="158" spans="1:2" x14ac:dyDescent="0.25">
      <c r="A158">
        <v>2</v>
      </c>
      <c r="B158">
        <v>153</v>
      </c>
    </row>
    <row r="159" spans="1:2" x14ac:dyDescent="0.25">
      <c r="A159">
        <v>2</v>
      </c>
      <c r="B159">
        <v>161</v>
      </c>
    </row>
    <row r="160" spans="1:2" x14ac:dyDescent="0.25">
      <c r="A160">
        <v>2</v>
      </c>
      <c r="B160">
        <v>223</v>
      </c>
    </row>
    <row r="161" spans="1:2" x14ac:dyDescent="0.25">
      <c r="A161">
        <v>2</v>
      </c>
      <c r="B161">
        <v>233</v>
      </c>
    </row>
    <row r="162" spans="1:2" x14ac:dyDescent="0.25">
      <c r="A162">
        <v>2</v>
      </c>
      <c r="B162">
        <v>315</v>
      </c>
    </row>
    <row r="163" spans="1:2" x14ac:dyDescent="0.25">
      <c r="A163">
        <v>2</v>
      </c>
      <c r="B163">
        <v>318</v>
      </c>
    </row>
    <row r="164" spans="1:2" x14ac:dyDescent="0.25">
      <c r="A164">
        <v>2</v>
      </c>
      <c r="B164">
        <v>362</v>
      </c>
    </row>
    <row r="165" spans="1:2" x14ac:dyDescent="0.25">
      <c r="A165">
        <v>2</v>
      </c>
      <c r="B165">
        <v>371</v>
      </c>
    </row>
    <row r="166" spans="1:2" x14ac:dyDescent="0.25">
      <c r="A166">
        <v>2</v>
      </c>
      <c r="B166">
        <v>374</v>
      </c>
    </row>
    <row r="167" spans="1:2" x14ac:dyDescent="0.25">
      <c r="A167">
        <v>2</v>
      </c>
      <c r="B167">
        <v>377</v>
      </c>
    </row>
    <row r="168" spans="1:2" x14ac:dyDescent="0.25">
      <c r="A168">
        <v>2</v>
      </c>
      <c r="B168">
        <v>385</v>
      </c>
    </row>
    <row r="169" spans="1:2" x14ac:dyDescent="0.25">
      <c r="A169">
        <v>2</v>
      </c>
      <c r="B169">
        <v>392</v>
      </c>
    </row>
    <row r="170" spans="1:2" x14ac:dyDescent="0.25">
      <c r="A170">
        <v>2</v>
      </c>
      <c r="B170">
        <v>395</v>
      </c>
    </row>
    <row r="171" spans="1:2" x14ac:dyDescent="0.25">
      <c r="A171">
        <v>2</v>
      </c>
      <c r="B171">
        <v>399</v>
      </c>
    </row>
    <row r="172" spans="1:2" x14ac:dyDescent="0.25">
      <c r="A172">
        <v>2</v>
      </c>
      <c r="B172">
        <v>406</v>
      </c>
    </row>
    <row r="173" spans="1:2" x14ac:dyDescent="0.25">
      <c r="A173">
        <v>2</v>
      </c>
      <c r="B173">
        <v>437</v>
      </c>
    </row>
    <row r="174" spans="1:2" x14ac:dyDescent="0.25">
      <c r="A174">
        <v>2</v>
      </c>
      <c r="B174">
        <v>461</v>
      </c>
    </row>
    <row r="175" spans="1:2" x14ac:dyDescent="0.25">
      <c r="A175">
        <v>2</v>
      </c>
      <c r="B175">
        <v>486</v>
      </c>
    </row>
    <row r="176" spans="1:2" x14ac:dyDescent="0.25">
      <c r="A176">
        <v>2</v>
      </c>
      <c r="B176">
        <v>530</v>
      </c>
    </row>
    <row r="177" spans="1:2" x14ac:dyDescent="0.25">
      <c r="A177">
        <v>2</v>
      </c>
      <c r="B177">
        <v>535</v>
      </c>
    </row>
    <row r="178" spans="1:2" x14ac:dyDescent="0.25">
      <c r="A178">
        <v>2</v>
      </c>
      <c r="B178">
        <v>642</v>
      </c>
    </row>
    <row r="179" spans="1:2" x14ac:dyDescent="0.25">
      <c r="A179">
        <v>2</v>
      </c>
      <c r="B179">
        <v>703</v>
      </c>
    </row>
    <row r="180" spans="1:2" x14ac:dyDescent="0.25">
      <c r="A180">
        <v>2</v>
      </c>
      <c r="B180">
        <v>705</v>
      </c>
    </row>
    <row r="181" spans="1:2" x14ac:dyDescent="0.25">
      <c r="A181">
        <v>2</v>
      </c>
      <c r="B181">
        <v>707</v>
      </c>
    </row>
    <row r="182" spans="1:2" x14ac:dyDescent="0.25">
      <c r="A182">
        <v>2</v>
      </c>
      <c r="B182">
        <v>714</v>
      </c>
    </row>
    <row r="183" spans="1:2" x14ac:dyDescent="0.25">
      <c r="A183">
        <v>2</v>
      </c>
      <c r="B183">
        <v>716</v>
      </c>
    </row>
    <row r="184" spans="1:2" x14ac:dyDescent="0.25">
      <c r="A184">
        <v>2</v>
      </c>
      <c r="B184">
        <v>721</v>
      </c>
    </row>
    <row r="185" spans="1:2" x14ac:dyDescent="0.25">
      <c r="A185">
        <v>2</v>
      </c>
      <c r="B185">
        <v>757</v>
      </c>
    </row>
    <row r="186" spans="1:2" x14ac:dyDescent="0.25">
      <c r="A186">
        <v>2</v>
      </c>
      <c r="B186">
        <v>765</v>
      </c>
    </row>
    <row r="187" spans="1:2" x14ac:dyDescent="0.25">
      <c r="A187">
        <v>2</v>
      </c>
      <c r="B187">
        <v>774</v>
      </c>
    </row>
    <row r="188" spans="1:2" x14ac:dyDescent="0.25">
      <c r="A188">
        <v>2</v>
      </c>
      <c r="B188">
        <v>820</v>
      </c>
    </row>
    <row r="189" spans="1:2" x14ac:dyDescent="0.25">
      <c r="A189">
        <v>2</v>
      </c>
      <c r="B189">
        <v>857</v>
      </c>
    </row>
    <row r="190" spans="1:2" x14ac:dyDescent="0.25">
      <c r="A190" t="s">
        <v>121</v>
      </c>
      <c r="B190">
        <v>31</v>
      </c>
    </row>
    <row r="191" spans="1:2" x14ac:dyDescent="0.25">
      <c r="A191" t="s">
        <v>121</v>
      </c>
      <c r="B191">
        <v>48</v>
      </c>
    </row>
    <row r="192" spans="1:2" x14ac:dyDescent="0.25">
      <c r="A192" t="s">
        <v>121</v>
      </c>
      <c r="B192">
        <v>177</v>
      </c>
    </row>
    <row r="193" spans="1:2" x14ac:dyDescent="0.25">
      <c r="A193" t="s">
        <v>121</v>
      </c>
      <c r="B193">
        <v>217</v>
      </c>
    </row>
    <row r="194" spans="1:2" x14ac:dyDescent="0.25">
      <c r="A194" t="s">
        <v>121</v>
      </c>
      <c r="B194">
        <v>228</v>
      </c>
    </row>
    <row r="195" spans="1:2" x14ac:dyDescent="0.25">
      <c r="A195" t="s">
        <v>121</v>
      </c>
      <c r="B195">
        <v>317</v>
      </c>
    </row>
    <row r="196" spans="1:2" x14ac:dyDescent="0.25">
      <c r="A196" t="s">
        <v>121</v>
      </c>
      <c r="B196">
        <v>321</v>
      </c>
    </row>
    <row r="197" spans="1:2" x14ac:dyDescent="0.25">
      <c r="A197" t="s">
        <v>121</v>
      </c>
      <c r="B197">
        <v>332</v>
      </c>
    </row>
    <row r="198" spans="1:2" x14ac:dyDescent="0.25">
      <c r="A198" t="s">
        <v>121</v>
      </c>
      <c r="B198">
        <v>335</v>
      </c>
    </row>
    <row r="199" spans="1:2" x14ac:dyDescent="0.25">
      <c r="A199" t="s">
        <v>121</v>
      </c>
      <c r="B199">
        <v>360</v>
      </c>
    </row>
    <row r="200" spans="1:2" x14ac:dyDescent="0.25">
      <c r="A200" t="s">
        <v>121</v>
      </c>
      <c r="B200">
        <v>390</v>
      </c>
    </row>
    <row r="201" spans="1:2" x14ac:dyDescent="0.25">
      <c r="A201" t="s">
        <v>121</v>
      </c>
      <c r="B201">
        <v>397</v>
      </c>
    </row>
    <row r="202" spans="1:2" x14ac:dyDescent="0.25">
      <c r="A202" t="s">
        <v>121</v>
      </c>
      <c r="B202">
        <v>528</v>
      </c>
    </row>
    <row r="203" spans="1:2" x14ac:dyDescent="0.25">
      <c r="A203" t="s">
        <v>121</v>
      </c>
      <c r="B203">
        <v>551</v>
      </c>
    </row>
    <row r="204" spans="1:2" x14ac:dyDescent="0.25">
      <c r="A204" t="s">
        <v>121</v>
      </c>
      <c r="B204">
        <v>861</v>
      </c>
    </row>
    <row r="205" spans="1:2" x14ac:dyDescent="0.25">
      <c r="A205" t="s">
        <v>121</v>
      </c>
      <c r="B205">
        <v>887</v>
      </c>
    </row>
  </sheetData>
  <sortState ref="A1:B205">
    <sortCondition ref="A1:A205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"/>
  <sheetViews>
    <sheetView topLeftCell="A13" workbookViewId="0">
      <selection activeCell="F9" sqref="F9"/>
    </sheetView>
  </sheetViews>
  <sheetFormatPr defaultRowHeight="15" x14ac:dyDescent="0.25"/>
  <sheetData>
    <row r="1" spans="1:2" x14ac:dyDescent="0.25">
      <c r="A1" s="45">
        <v>2</v>
      </c>
      <c r="B1">
        <v>26</v>
      </c>
    </row>
    <row r="2" spans="1:2" x14ac:dyDescent="0.25">
      <c r="A2" s="45">
        <v>2</v>
      </c>
      <c r="B2">
        <v>40</v>
      </c>
    </row>
    <row r="3" spans="1:2" x14ac:dyDescent="0.25">
      <c r="A3" s="45">
        <v>2</v>
      </c>
      <c r="B3">
        <v>41</v>
      </c>
    </row>
    <row r="4" spans="1:2" x14ac:dyDescent="0.25">
      <c r="A4" s="45">
        <v>2</v>
      </c>
      <c r="B4">
        <v>59</v>
      </c>
    </row>
    <row r="5" spans="1:2" x14ac:dyDescent="0.25">
      <c r="A5" s="45">
        <v>2</v>
      </c>
      <c r="B5">
        <v>69</v>
      </c>
    </row>
    <row r="6" spans="1:2" x14ac:dyDescent="0.25">
      <c r="A6" s="45">
        <v>2</v>
      </c>
      <c r="B6">
        <v>73</v>
      </c>
    </row>
    <row r="7" spans="1:2" x14ac:dyDescent="0.25">
      <c r="A7" s="45">
        <v>2</v>
      </c>
      <c r="B7">
        <v>83</v>
      </c>
    </row>
    <row r="8" spans="1:2" x14ac:dyDescent="0.25">
      <c r="A8" s="45">
        <v>2</v>
      </c>
      <c r="B8">
        <v>101</v>
      </c>
    </row>
    <row r="9" spans="1:2" x14ac:dyDescent="0.25">
      <c r="A9" s="45">
        <v>2</v>
      </c>
      <c r="B9">
        <v>105</v>
      </c>
    </row>
    <row r="10" spans="1:2" x14ac:dyDescent="0.25">
      <c r="A10" s="45">
        <v>2</v>
      </c>
      <c r="B10">
        <v>129</v>
      </c>
    </row>
    <row r="11" spans="1:2" x14ac:dyDescent="0.25">
      <c r="A11" s="45">
        <v>2</v>
      </c>
      <c r="B11">
        <v>153</v>
      </c>
    </row>
    <row r="12" spans="1:2" x14ac:dyDescent="0.25">
      <c r="A12" s="45">
        <v>2</v>
      </c>
      <c r="B12">
        <v>181</v>
      </c>
    </row>
    <row r="13" spans="1:2" x14ac:dyDescent="0.25">
      <c r="A13" s="45">
        <v>2</v>
      </c>
      <c r="B13">
        <v>208</v>
      </c>
    </row>
    <row r="14" spans="1:2" x14ac:dyDescent="0.25">
      <c r="A14" s="45">
        <v>2</v>
      </c>
      <c r="B14">
        <v>217</v>
      </c>
    </row>
    <row r="15" spans="1:2" x14ac:dyDescent="0.25">
      <c r="A15" s="45">
        <v>2</v>
      </c>
      <c r="B15">
        <v>227</v>
      </c>
    </row>
    <row r="16" spans="1:2" x14ac:dyDescent="0.25">
      <c r="A16" s="45">
        <v>2</v>
      </c>
      <c r="B16">
        <v>229</v>
      </c>
    </row>
    <row r="17" spans="1:2" x14ac:dyDescent="0.25">
      <c r="A17" s="45">
        <v>2</v>
      </c>
      <c r="B17">
        <v>237</v>
      </c>
    </row>
    <row r="18" spans="1:2" x14ac:dyDescent="0.25">
      <c r="A18" s="45">
        <v>2</v>
      </c>
      <c r="B18">
        <v>239</v>
      </c>
    </row>
    <row r="19" spans="1:2" x14ac:dyDescent="0.25">
      <c r="A19" s="45">
        <v>2</v>
      </c>
      <c r="B19">
        <v>280</v>
      </c>
    </row>
    <row r="20" spans="1:2" x14ac:dyDescent="0.25">
      <c r="A20" s="45">
        <v>2</v>
      </c>
      <c r="B20">
        <v>304</v>
      </c>
    </row>
    <row r="21" spans="1:2" x14ac:dyDescent="0.25">
      <c r="A21" s="45">
        <v>2</v>
      </c>
      <c r="B21">
        <v>307</v>
      </c>
    </row>
    <row r="22" spans="1:2" x14ac:dyDescent="0.25">
      <c r="A22" s="45">
        <v>2</v>
      </c>
      <c r="B22">
        <v>313</v>
      </c>
    </row>
    <row r="23" spans="1:2" x14ac:dyDescent="0.25">
      <c r="A23" s="45">
        <v>2</v>
      </c>
      <c r="B23">
        <v>317</v>
      </c>
    </row>
    <row r="24" spans="1:2" x14ac:dyDescent="0.25">
      <c r="A24" s="45">
        <v>2</v>
      </c>
      <c r="B24">
        <v>318</v>
      </c>
    </row>
    <row r="25" spans="1:2" x14ac:dyDescent="0.25">
      <c r="A25" s="45">
        <v>2</v>
      </c>
      <c r="B25">
        <v>319</v>
      </c>
    </row>
    <row r="26" spans="1:2" x14ac:dyDescent="0.25">
      <c r="A26" s="45">
        <v>2</v>
      </c>
      <c r="B26">
        <v>324</v>
      </c>
    </row>
    <row r="27" spans="1:2" x14ac:dyDescent="0.25">
      <c r="A27" s="45">
        <v>2</v>
      </c>
      <c r="B27">
        <v>325</v>
      </c>
    </row>
    <row r="28" spans="1:2" x14ac:dyDescent="0.25">
      <c r="A28" s="45">
        <v>2</v>
      </c>
      <c r="B28">
        <v>340</v>
      </c>
    </row>
    <row r="29" spans="1:2" x14ac:dyDescent="0.25">
      <c r="A29" s="45">
        <v>2</v>
      </c>
      <c r="B29">
        <v>348</v>
      </c>
    </row>
    <row r="30" spans="1:2" x14ac:dyDescent="0.25">
      <c r="A30" s="45">
        <v>2</v>
      </c>
      <c r="B30">
        <v>350</v>
      </c>
    </row>
    <row r="31" spans="1:2" x14ac:dyDescent="0.25">
      <c r="A31" s="45">
        <v>2</v>
      </c>
      <c r="B31">
        <v>354</v>
      </c>
    </row>
    <row r="32" spans="1:2" x14ac:dyDescent="0.25">
      <c r="A32" s="45">
        <v>2</v>
      </c>
      <c r="B32">
        <v>355</v>
      </c>
    </row>
    <row r="33" spans="1:2" x14ac:dyDescent="0.25">
      <c r="A33" s="45">
        <v>2</v>
      </c>
      <c r="B33">
        <v>357</v>
      </c>
    </row>
    <row r="34" spans="1:2" x14ac:dyDescent="0.25">
      <c r="A34" s="45">
        <v>2</v>
      </c>
      <c r="B34">
        <v>358</v>
      </c>
    </row>
    <row r="35" spans="1:2" x14ac:dyDescent="0.25">
      <c r="A35" s="45">
        <v>2</v>
      </c>
      <c r="B35">
        <v>365</v>
      </c>
    </row>
    <row r="36" spans="1:2" x14ac:dyDescent="0.25">
      <c r="A36" s="45">
        <v>2</v>
      </c>
      <c r="B36">
        <v>367</v>
      </c>
    </row>
    <row r="37" spans="1:2" x14ac:dyDescent="0.25">
      <c r="A37" s="45">
        <v>2</v>
      </c>
      <c r="B37">
        <v>380</v>
      </c>
    </row>
    <row r="38" spans="1:2" x14ac:dyDescent="0.25">
      <c r="A38" s="45">
        <v>2</v>
      </c>
      <c r="B38">
        <v>386</v>
      </c>
    </row>
    <row r="39" spans="1:2" x14ac:dyDescent="0.25">
      <c r="A39" s="45">
        <v>2</v>
      </c>
      <c r="B39">
        <v>427</v>
      </c>
    </row>
    <row r="40" spans="1:2" x14ac:dyDescent="0.25">
      <c r="A40" s="45">
        <v>2</v>
      </c>
      <c r="B40">
        <v>439</v>
      </c>
    </row>
    <row r="41" spans="1:2" x14ac:dyDescent="0.25">
      <c r="A41" s="45">
        <v>2</v>
      </c>
      <c r="B41">
        <v>491</v>
      </c>
    </row>
    <row r="42" spans="1:2" x14ac:dyDescent="0.25">
      <c r="A42" s="45">
        <v>2</v>
      </c>
      <c r="B42">
        <v>505</v>
      </c>
    </row>
    <row r="43" spans="1:2" x14ac:dyDescent="0.25">
      <c r="A43" s="45">
        <v>2</v>
      </c>
      <c r="B43">
        <v>509</v>
      </c>
    </row>
    <row r="44" spans="1:2" x14ac:dyDescent="0.25">
      <c r="A44" s="45">
        <v>2</v>
      </c>
      <c r="B44">
        <v>513</v>
      </c>
    </row>
    <row r="45" spans="1:2" x14ac:dyDescent="0.25">
      <c r="A45" s="45">
        <v>2</v>
      </c>
      <c r="B45">
        <v>531</v>
      </c>
    </row>
    <row r="46" spans="1:2" x14ac:dyDescent="0.25">
      <c r="A46" s="45">
        <v>2</v>
      </c>
      <c r="B46">
        <v>535</v>
      </c>
    </row>
    <row r="47" spans="1:2" x14ac:dyDescent="0.25">
      <c r="A47" s="45">
        <v>2</v>
      </c>
      <c r="B47">
        <v>555</v>
      </c>
    </row>
    <row r="48" spans="1:2" x14ac:dyDescent="0.25">
      <c r="A48" s="45">
        <v>2</v>
      </c>
      <c r="B48">
        <v>584</v>
      </c>
    </row>
    <row r="49" spans="1:2" x14ac:dyDescent="0.25">
      <c r="A49" s="45">
        <v>2</v>
      </c>
      <c r="B49">
        <v>589</v>
      </c>
    </row>
    <row r="50" spans="1:2" x14ac:dyDescent="0.25">
      <c r="A50" s="45">
        <v>2</v>
      </c>
      <c r="B50">
        <v>639</v>
      </c>
    </row>
    <row r="51" spans="1:2" x14ac:dyDescent="0.25">
      <c r="A51" s="45">
        <v>2</v>
      </c>
      <c r="B51">
        <v>642</v>
      </c>
    </row>
    <row r="52" spans="1:2" x14ac:dyDescent="0.25">
      <c r="A52" s="45">
        <v>2</v>
      </c>
      <c r="B52">
        <v>707</v>
      </c>
    </row>
    <row r="53" spans="1:2" x14ac:dyDescent="0.25">
      <c r="A53" s="45">
        <v>2</v>
      </c>
      <c r="B53">
        <v>737</v>
      </c>
    </row>
    <row r="54" spans="1:2" x14ac:dyDescent="0.25">
      <c r="A54" s="45">
        <v>2</v>
      </c>
      <c r="B54">
        <v>748</v>
      </c>
    </row>
    <row r="55" spans="1:2" x14ac:dyDescent="0.25">
      <c r="A55" s="45">
        <v>2</v>
      </c>
      <c r="B55">
        <v>761</v>
      </c>
    </row>
    <row r="56" spans="1:2" x14ac:dyDescent="0.25">
      <c r="A56" s="45">
        <v>2</v>
      </c>
      <c r="B56">
        <v>765</v>
      </c>
    </row>
    <row r="57" spans="1:2" x14ac:dyDescent="0.25">
      <c r="A57" s="45">
        <v>2</v>
      </c>
      <c r="B57">
        <v>783</v>
      </c>
    </row>
    <row r="58" spans="1:2" x14ac:dyDescent="0.25">
      <c r="A58" s="45">
        <v>2</v>
      </c>
      <c r="B58">
        <v>787</v>
      </c>
    </row>
    <row r="59" spans="1:2" x14ac:dyDescent="0.25">
      <c r="A59" s="45">
        <v>2</v>
      </c>
      <c r="B59">
        <v>799</v>
      </c>
    </row>
    <row r="60" spans="1:2" x14ac:dyDescent="0.25">
      <c r="A60" s="45">
        <v>2</v>
      </c>
      <c r="B60">
        <v>801</v>
      </c>
    </row>
    <row r="61" spans="1:2" x14ac:dyDescent="0.25">
      <c r="A61" s="45">
        <v>2</v>
      </c>
      <c r="B61">
        <v>810</v>
      </c>
    </row>
    <row r="62" spans="1:2" x14ac:dyDescent="0.25">
      <c r="A62" s="45">
        <v>2</v>
      </c>
      <c r="B62">
        <v>812</v>
      </c>
    </row>
    <row r="63" spans="1:2" x14ac:dyDescent="0.25">
      <c r="A63" s="45">
        <v>2</v>
      </c>
      <c r="B63">
        <v>818</v>
      </c>
    </row>
    <row r="64" spans="1:2" x14ac:dyDescent="0.25">
      <c r="A64" s="45">
        <v>2</v>
      </c>
      <c r="B64">
        <v>821</v>
      </c>
    </row>
    <row r="65" spans="1:2" x14ac:dyDescent="0.25">
      <c r="A65" s="45">
        <v>2</v>
      </c>
      <c r="B65">
        <v>843</v>
      </c>
    </row>
    <row r="66" spans="1:2" x14ac:dyDescent="0.25">
      <c r="A66" s="45">
        <v>2</v>
      </c>
      <c r="B66">
        <v>850</v>
      </c>
    </row>
    <row r="67" spans="1:2" x14ac:dyDescent="0.25">
      <c r="A67" s="45">
        <v>2</v>
      </c>
      <c r="B67">
        <v>859</v>
      </c>
    </row>
    <row r="68" spans="1:2" x14ac:dyDescent="0.25">
      <c r="A68" s="45">
        <v>2</v>
      </c>
      <c r="B68">
        <v>879</v>
      </c>
    </row>
    <row r="69" spans="1:2" x14ac:dyDescent="0.25">
      <c r="A69" s="45">
        <v>2</v>
      </c>
      <c r="B69">
        <v>882</v>
      </c>
    </row>
    <row r="70" spans="1:2" x14ac:dyDescent="0.25">
      <c r="A70" s="45">
        <v>2</v>
      </c>
      <c r="B70">
        <v>892</v>
      </c>
    </row>
    <row r="71" spans="1:2" x14ac:dyDescent="0.25">
      <c r="A71" s="44" t="s">
        <v>121</v>
      </c>
      <c r="B71">
        <v>31</v>
      </c>
    </row>
    <row r="72" spans="1:2" x14ac:dyDescent="0.25">
      <c r="A72" s="44" t="s">
        <v>121</v>
      </c>
      <c r="B72">
        <v>176</v>
      </c>
    </row>
    <row r="73" spans="1:2" x14ac:dyDescent="0.25">
      <c r="A73" s="44" t="s">
        <v>121</v>
      </c>
      <c r="B73">
        <v>321</v>
      </c>
    </row>
    <row r="74" spans="1:2" x14ac:dyDescent="0.25">
      <c r="A74" s="44" t="s">
        <v>121</v>
      </c>
      <c r="B74">
        <v>385</v>
      </c>
    </row>
    <row r="75" spans="1:2" x14ac:dyDescent="0.25">
      <c r="A75" s="44" t="s">
        <v>121</v>
      </c>
      <c r="B75">
        <v>390</v>
      </c>
    </row>
    <row r="76" spans="1:2" x14ac:dyDescent="0.25">
      <c r="A76" s="44" t="s">
        <v>121</v>
      </c>
      <c r="B76">
        <v>392</v>
      </c>
    </row>
    <row r="77" spans="1:2" x14ac:dyDescent="0.25">
      <c r="A77" s="44" t="s">
        <v>121</v>
      </c>
      <c r="B77">
        <v>409</v>
      </c>
    </row>
    <row r="78" spans="1:2" x14ac:dyDescent="0.25">
      <c r="A78" s="44" t="s">
        <v>121</v>
      </c>
      <c r="B78">
        <v>630</v>
      </c>
    </row>
    <row r="79" spans="1:2" x14ac:dyDescent="0.25">
      <c r="A79" s="44" t="s">
        <v>121</v>
      </c>
      <c r="B79">
        <v>732</v>
      </c>
    </row>
    <row r="80" spans="1:2" x14ac:dyDescent="0.25">
      <c r="A80" s="44" t="s">
        <v>121</v>
      </c>
      <c r="B80">
        <v>802</v>
      </c>
    </row>
    <row r="81" spans="1:2" x14ac:dyDescent="0.25">
      <c r="A81" s="44" t="s">
        <v>121</v>
      </c>
      <c r="B81">
        <v>853</v>
      </c>
    </row>
    <row r="82" spans="1:2" x14ac:dyDescent="0.25">
      <c r="A82" s="44" t="s">
        <v>121</v>
      </c>
      <c r="B82">
        <v>907</v>
      </c>
    </row>
    <row r="83" spans="1:2" x14ac:dyDescent="0.25">
      <c r="A83" s="44" t="s">
        <v>121</v>
      </c>
      <c r="B83">
        <v>913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D5" sqref="D5"/>
    </sheetView>
  </sheetViews>
  <sheetFormatPr defaultRowHeight="15" x14ac:dyDescent="0.25"/>
  <sheetData>
    <row r="1" spans="1:2" x14ac:dyDescent="0.25">
      <c r="A1" s="45">
        <v>2</v>
      </c>
      <c r="B1">
        <v>42</v>
      </c>
    </row>
    <row r="2" spans="1:2" x14ac:dyDescent="0.25">
      <c r="A2" s="45">
        <v>2</v>
      </c>
      <c r="B2">
        <v>45</v>
      </c>
    </row>
    <row r="3" spans="1:2" x14ac:dyDescent="0.25">
      <c r="A3" s="45">
        <v>2</v>
      </c>
      <c r="B3">
        <v>57</v>
      </c>
    </row>
    <row r="4" spans="1:2" x14ac:dyDescent="0.25">
      <c r="A4" s="45">
        <v>2</v>
      </c>
      <c r="B4">
        <v>59</v>
      </c>
    </row>
    <row r="5" spans="1:2" x14ac:dyDescent="0.25">
      <c r="A5" s="45">
        <v>2</v>
      </c>
      <c r="B5">
        <v>75</v>
      </c>
    </row>
    <row r="6" spans="1:2" x14ac:dyDescent="0.25">
      <c r="A6" s="45">
        <v>2</v>
      </c>
      <c r="B6">
        <v>93</v>
      </c>
    </row>
    <row r="7" spans="1:2" x14ac:dyDescent="0.25">
      <c r="A7" s="45">
        <v>2</v>
      </c>
      <c r="B7">
        <v>109</v>
      </c>
    </row>
    <row r="8" spans="1:2" x14ac:dyDescent="0.25">
      <c r="A8" s="45">
        <v>2</v>
      </c>
      <c r="B8">
        <v>142</v>
      </c>
    </row>
    <row r="9" spans="1:2" x14ac:dyDescent="0.25">
      <c r="A9" s="45">
        <v>2</v>
      </c>
      <c r="B9">
        <v>161</v>
      </c>
    </row>
    <row r="10" spans="1:2" x14ac:dyDescent="0.25">
      <c r="A10" s="45">
        <v>2</v>
      </c>
      <c r="B10">
        <v>324</v>
      </c>
    </row>
    <row r="11" spans="1:2" x14ac:dyDescent="0.25">
      <c r="A11" s="45">
        <v>2</v>
      </c>
      <c r="B11">
        <v>335</v>
      </c>
    </row>
    <row r="12" spans="1:2" x14ac:dyDescent="0.25">
      <c r="A12" s="45">
        <v>2</v>
      </c>
      <c r="B12">
        <v>357</v>
      </c>
    </row>
    <row r="13" spans="1:2" x14ac:dyDescent="0.25">
      <c r="A13" s="45">
        <v>2</v>
      </c>
      <c r="B13">
        <v>385</v>
      </c>
    </row>
    <row r="14" spans="1:2" x14ac:dyDescent="0.25">
      <c r="A14" s="45">
        <v>2</v>
      </c>
      <c r="B14">
        <v>392</v>
      </c>
    </row>
    <row r="15" spans="1:2" x14ac:dyDescent="0.25">
      <c r="A15" s="45">
        <v>2</v>
      </c>
      <c r="B15">
        <v>395</v>
      </c>
    </row>
    <row r="16" spans="1:2" x14ac:dyDescent="0.25">
      <c r="A16" s="45">
        <v>2</v>
      </c>
      <c r="B16">
        <v>399</v>
      </c>
    </row>
    <row r="17" spans="1:2" x14ac:dyDescent="0.25">
      <c r="A17" s="45">
        <v>2</v>
      </c>
      <c r="B17">
        <v>406</v>
      </c>
    </row>
    <row r="18" spans="1:2" x14ac:dyDescent="0.25">
      <c r="A18" s="45">
        <v>2</v>
      </c>
      <c r="B18">
        <v>595</v>
      </c>
    </row>
    <row r="19" spans="1:2" x14ac:dyDescent="0.25">
      <c r="A19" s="45">
        <v>2</v>
      </c>
      <c r="B19">
        <v>703</v>
      </c>
    </row>
    <row r="20" spans="1:2" x14ac:dyDescent="0.25">
      <c r="A20" s="45">
        <v>2</v>
      </c>
      <c r="B20">
        <v>705</v>
      </c>
    </row>
    <row r="21" spans="1:2" x14ac:dyDescent="0.25">
      <c r="A21" s="45">
        <v>2</v>
      </c>
      <c r="B21">
        <v>716</v>
      </c>
    </row>
    <row r="22" spans="1:2" x14ac:dyDescent="0.25">
      <c r="A22" s="45">
        <v>2</v>
      </c>
      <c r="B22">
        <v>820</v>
      </c>
    </row>
    <row r="23" spans="1:2" x14ac:dyDescent="0.25">
      <c r="A23" s="45">
        <v>2</v>
      </c>
      <c r="B23">
        <v>857</v>
      </c>
    </row>
    <row r="24" spans="1:2" x14ac:dyDescent="0.25">
      <c r="A24" s="44" t="s">
        <v>121</v>
      </c>
      <c r="B24">
        <v>26</v>
      </c>
    </row>
    <row r="25" spans="1:2" x14ac:dyDescent="0.25">
      <c r="A25" s="44" t="s">
        <v>121</v>
      </c>
      <c r="B25">
        <v>287</v>
      </c>
    </row>
    <row r="26" spans="1:2" x14ac:dyDescent="0.25">
      <c r="A26" s="44" t="s">
        <v>121</v>
      </c>
      <c r="B26">
        <v>318</v>
      </c>
    </row>
    <row r="27" spans="1:2" x14ac:dyDescent="0.25">
      <c r="A27" s="44" t="s">
        <v>121</v>
      </c>
      <c r="B27">
        <v>332</v>
      </c>
    </row>
    <row r="28" spans="1:2" x14ac:dyDescent="0.25">
      <c r="A28" s="44" t="s">
        <v>121</v>
      </c>
      <c r="B28">
        <v>336</v>
      </c>
    </row>
    <row r="29" spans="1:2" x14ac:dyDescent="0.25">
      <c r="A29" s="44" t="s">
        <v>121</v>
      </c>
      <c r="B29">
        <v>340</v>
      </c>
    </row>
    <row r="30" spans="1:2" x14ac:dyDescent="0.25">
      <c r="A30" s="44" t="s">
        <v>121</v>
      </c>
      <c r="B30">
        <v>397</v>
      </c>
    </row>
    <row r="31" spans="1:2" x14ac:dyDescent="0.25">
      <c r="A31" s="44" t="s">
        <v>121</v>
      </c>
      <c r="B31">
        <v>855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workbookViewId="0">
      <selection activeCell="E4" sqref="E4"/>
    </sheetView>
  </sheetViews>
  <sheetFormatPr defaultRowHeight="15" x14ac:dyDescent="0.25"/>
  <sheetData>
    <row r="1" spans="1:2" x14ac:dyDescent="0.25">
      <c r="A1" s="45">
        <v>2</v>
      </c>
      <c r="B1">
        <v>26</v>
      </c>
    </row>
    <row r="2" spans="1:2" x14ac:dyDescent="0.25">
      <c r="A2" s="45">
        <v>2</v>
      </c>
      <c r="B2">
        <v>101</v>
      </c>
    </row>
    <row r="3" spans="1:2" x14ac:dyDescent="0.25">
      <c r="A3" s="45">
        <v>2</v>
      </c>
      <c r="B3">
        <v>138</v>
      </c>
    </row>
    <row r="4" spans="1:2" x14ac:dyDescent="0.25">
      <c r="A4" s="45">
        <v>2</v>
      </c>
      <c r="B4">
        <v>189</v>
      </c>
    </row>
    <row r="5" spans="1:2" x14ac:dyDescent="0.25">
      <c r="A5" s="45">
        <v>2</v>
      </c>
      <c r="B5">
        <v>208</v>
      </c>
    </row>
    <row r="6" spans="1:2" x14ac:dyDescent="0.25">
      <c r="A6" s="45">
        <v>2</v>
      </c>
      <c r="B6">
        <v>228</v>
      </c>
    </row>
    <row r="7" spans="1:2" x14ac:dyDescent="0.25">
      <c r="A7" s="45">
        <v>2</v>
      </c>
      <c r="B7">
        <v>229</v>
      </c>
    </row>
    <row r="8" spans="1:2" x14ac:dyDescent="0.25">
      <c r="A8" s="45">
        <v>2</v>
      </c>
      <c r="B8">
        <v>237</v>
      </c>
    </row>
    <row r="9" spans="1:2" x14ac:dyDescent="0.25">
      <c r="A9" s="45">
        <v>2</v>
      </c>
      <c r="B9">
        <v>239</v>
      </c>
    </row>
    <row r="10" spans="1:2" x14ac:dyDescent="0.25">
      <c r="A10" s="45">
        <v>2</v>
      </c>
      <c r="B10">
        <v>280</v>
      </c>
    </row>
    <row r="11" spans="1:2" x14ac:dyDescent="0.25">
      <c r="A11" s="45">
        <v>2</v>
      </c>
      <c r="B11">
        <v>304</v>
      </c>
    </row>
    <row r="12" spans="1:2" x14ac:dyDescent="0.25">
      <c r="A12" s="45">
        <v>2</v>
      </c>
      <c r="B12">
        <v>319</v>
      </c>
    </row>
    <row r="13" spans="1:2" x14ac:dyDescent="0.25">
      <c r="A13" s="45">
        <v>2</v>
      </c>
      <c r="B13">
        <v>336</v>
      </c>
    </row>
    <row r="14" spans="1:2" x14ac:dyDescent="0.25">
      <c r="A14" s="45">
        <v>2</v>
      </c>
      <c r="B14">
        <v>338</v>
      </c>
    </row>
    <row r="15" spans="1:2" x14ac:dyDescent="0.25">
      <c r="A15" s="45">
        <v>2</v>
      </c>
      <c r="B15">
        <v>340</v>
      </c>
    </row>
    <row r="16" spans="1:2" x14ac:dyDescent="0.25">
      <c r="A16" s="45">
        <v>2</v>
      </c>
      <c r="B16">
        <v>348</v>
      </c>
    </row>
    <row r="17" spans="1:2" x14ac:dyDescent="0.25">
      <c r="A17" s="45">
        <v>2</v>
      </c>
      <c r="B17">
        <v>350</v>
      </c>
    </row>
    <row r="18" spans="1:2" x14ac:dyDescent="0.25">
      <c r="A18" s="45">
        <v>2</v>
      </c>
      <c r="B18">
        <v>357</v>
      </c>
    </row>
    <row r="19" spans="1:2" x14ac:dyDescent="0.25">
      <c r="A19" s="45">
        <v>2</v>
      </c>
      <c r="B19">
        <v>358</v>
      </c>
    </row>
    <row r="20" spans="1:2" x14ac:dyDescent="0.25">
      <c r="A20" s="45">
        <v>2</v>
      </c>
      <c r="B20">
        <v>365</v>
      </c>
    </row>
    <row r="21" spans="1:2" x14ac:dyDescent="0.25">
      <c r="A21" s="45">
        <v>2</v>
      </c>
      <c r="B21">
        <v>367</v>
      </c>
    </row>
    <row r="22" spans="1:2" x14ac:dyDescent="0.25">
      <c r="A22" s="45">
        <v>2</v>
      </c>
      <c r="B22">
        <v>386</v>
      </c>
    </row>
    <row r="23" spans="1:2" x14ac:dyDescent="0.25">
      <c r="A23" s="45">
        <v>2</v>
      </c>
      <c r="B23">
        <v>391</v>
      </c>
    </row>
    <row r="24" spans="1:2" x14ac:dyDescent="0.25">
      <c r="A24" s="45">
        <v>2</v>
      </c>
      <c r="B24">
        <v>427</v>
      </c>
    </row>
    <row r="25" spans="1:2" x14ac:dyDescent="0.25">
      <c r="A25" s="45">
        <v>2</v>
      </c>
      <c r="B25">
        <v>439</v>
      </c>
    </row>
    <row r="26" spans="1:2" x14ac:dyDescent="0.25">
      <c r="A26" s="45">
        <v>2</v>
      </c>
      <c r="B26">
        <v>441</v>
      </c>
    </row>
    <row r="27" spans="1:2" x14ac:dyDescent="0.25">
      <c r="A27" s="45">
        <v>2</v>
      </c>
      <c r="B27">
        <v>491</v>
      </c>
    </row>
    <row r="28" spans="1:2" x14ac:dyDescent="0.25">
      <c r="A28" s="45">
        <v>2</v>
      </c>
      <c r="B28">
        <v>509</v>
      </c>
    </row>
    <row r="29" spans="1:2" x14ac:dyDescent="0.25">
      <c r="A29" s="45">
        <v>2</v>
      </c>
      <c r="B29">
        <v>513</v>
      </c>
    </row>
    <row r="30" spans="1:2" x14ac:dyDescent="0.25">
      <c r="A30" s="45">
        <v>2</v>
      </c>
      <c r="B30">
        <v>517</v>
      </c>
    </row>
    <row r="31" spans="1:2" x14ac:dyDescent="0.25">
      <c r="A31" s="45">
        <v>2</v>
      </c>
      <c r="B31">
        <v>555</v>
      </c>
    </row>
    <row r="32" spans="1:2" x14ac:dyDescent="0.25">
      <c r="A32" s="45">
        <v>2</v>
      </c>
      <c r="B32">
        <v>732</v>
      </c>
    </row>
    <row r="33" spans="1:2" x14ac:dyDescent="0.25">
      <c r="A33" s="45">
        <v>2</v>
      </c>
      <c r="B33">
        <v>786</v>
      </c>
    </row>
    <row r="34" spans="1:2" x14ac:dyDescent="0.25">
      <c r="A34" s="45">
        <v>2</v>
      </c>
      <c r="B34">
        <v>810</v>
      </c>
    </row>
    <row r="35" spans="1:2" x14ac:dyDescent="0.25">
      <c r="A35" s="45">
        <v>2</v>
      </c>
      <c r="B35">
        <v>821</v>
      </c>
    </row>
    <row r="36" spans="1:2" x14ac:dyDescent="0.25">
      <c r="A36" s="45">
        <v>2</v>
      </c>
      <c r="B36">
        <v>850</v>
      </c>
    </row>
    <row r="37" spans="1:2" x14ac:dyDescent="0.25">
      <c r="A37" s="44" t="s">
        <v>121</v>
      </c>
      <c r="B37">
        <v>325</v>
      </c>
    </row>
    <row r="38" spans="1:2" x14ac:dyDescent="0.25">
      <c r="A38" s="44" t="s">
        <v>121</v>
      </c>
      <c r="B38">
        <v>361</v>
      </c>
    </row>
    <row r="39" spans="1:2" x14ac:dyDescent="0.25">
      <c r="A39" s="44" t="s">
        <v>121</v>
      </c>
      <c r="B39">
        <v>373</v>
      </c>
    </row>
    <row r="40" spans="1:2" x14ac:dyDescent="0.25">
      <c r="A40" s="44" t="s">
        <v>121</v>
      </c>
      <c r="B40">
        <v>377</v>
      </c>
    </row>
    <row r="41" spans="1:2" x14ac:dyDescent="0.25">
      <c r="A41" s="44" t="s">
        <v>121</v>
      </c>
      <c r="B41">
        <v>392</v>
      </c>
    </row>
    <row r="42" spans="1:2" x14ac:dyDescent="0.25">
      <c r="A42" s="44" t="s">
        <v>121</v>
      </c>
      <c r="B42">
        <v>397</v>
      </c>
    </row>
    <row r="43" spans="1:2" x14ac:dyDescent="0.25">
      <c r="A43" s="44" t="s">
        <v>121</v>
      </c>
      <c r="B43">
        <v>630</v>
      </c>
    </row>
    <row r="44" spans="1:2" x14ac:dyDescent="0.25">
      <c r="A44" s="44" t="s">
        <v>121</v>
      </c>
      <c r="B44">
        <v>634</v>
      </c>
    </row>
    <row r="45" spans="1:2" x14ac:dyDescent="0.25">
      <c r="A45" s="44" t="s">
        <v>121</v>
      </c>
      <c r="B45">
        <v>853</v>
      </c>
    </row>
    <row r="46" spans="1:2" x14ac:dyDescent="0.25">
      <c r="A46" s="44" t="s">
        <v>121</v>
      </c>
      <c r="B46">
        <v>884</v>
      </c>
    </row>
    <row r="47" spans="1:2" x14ac:dyDescent="0.25">
      <c r="A47" s="44" t="s">
        <v>121</v>
      </c>
      <c r="B47">
        <v>892</v>
      </c>
    </row>
    <row r="48" spans="1:2" x14ac:dyDescent="0.25">
      <c r="A48" s="44" t="s">
        <v>121</v>
      </c>
      <c r="B48">
        <v>911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G12" sqref="G12"/>
    </sheetView>
  </sheetViews>
  <sheetFormatPr defaultRowHeight="15" x14ac:dyDescent="0.25"/>
  <sheetData>
    <row r="1" spans="1:2" x14ac:dyDescent="0.25">
      <c r="A1" s="45">
        <v>2</v>
      </c>
      <c r="B1">
        <v>21</v>
      </c>
    </row>
    <row r="2" spans="1:2" x14ac:dyDescent="0.25">
      <c r="A2" s="45">
        <v>2</v>
      </c>
      <c r="B2">
        <v>42</v>
      </c>
    </row>
    <row r="3" spans="1:2" x14ac:dyDescent="0.25">
      <c r="A3" s="45">
        <v>2</v>
      </c>
      <c r="B3">
        <v>45</v>
      </c>
    </row>
    <row r="4" spans="1:2" x14ac:dyDescent="0.25">
      <c r="A4" s="45">
        <v>2</v>
      </c>
      <c r="B4">
        <v>57</v>
      </c>
    </row>
    <row r="5" spans="1:2" x14ac:dyDescent="0.25">
      <c r="A5" s="45">
        <v>2</v>
      </c>
      <c r="B5">
        <v>75</v>
      </c>
    </row>
    <row r="6" spans="1:2" x14ac:dyDescent="0.25">
      <c r="A6" s="45">
        <v>2</v>
      </c>
      <c r="B6">
        <v>109</v>
      </c>
    </row>
    <row r="7" spans="1:2" x14ac:dyDescent="0.25">
      <c r="A7" s="45">
        <v>2</v>
      </c>
      <c r="B7">
        <v>142</v>
      </c>
    </row>
    <row r="8" spans="1:2" x14ac:dyDescent="0.25">
      <c r="A8" s="45">
        <v>2</v>
      </c>
      <c r="B8">
        <v>161</v>
      </c>
    </row>
    <row r="9" spans="1:2" x14ac:dyDescent="0.25">
      <c r="A9" s="45">
        <v>2</v>
      </c>
      <c r="B9">
        <v>335</v>
      </c>
    </row>
    <row r="10" spans="1:2" x14ac:dyDescent="0.25">
      <c r="A10" s="45">
        <v>2</v>
      </c>
      <c r="B10">
        <v>357</v>
      </c>
    </row>
    <row r="11" spans="1:2" x14ac:dyDescent="0.25">
      <c r="A11" s="45">
        <v>2</v>
      </c>
      <c r="B11">
        <v>385</v>
      </c>
    </row>
    <row r="12" spans="1:2" x14ac:dyDescent="0.25">
      <c r="A12" s="45">
        <v>2</v>
      </c>
      <c r="B12">
        <v>392</v>
      </c>
    </row>
    <row r="13" spans="1:2" x14ac:dyDescent="0.25">
      <c r="A13" s="45">
        <v>2</v>
      </c>
      <c r="B13">
        <v>395</v>
      </c>
    </row>
    <row r="14" spans="1:2" x14ac:dyDescent="0.25">
      <c r="A14" s="45">
        <v>2</v>
      </c>
      <c r="B14">
        <v>399</v>
      </c>
    </row>
    <row r="15" spans="1:2" x14ac:dyDescent="0.25">
      <c r="A15" s="45">
        <v>2</v>
      </c>
      <c r="B15">
        <v>406</v>
      </c>
    </row>
    <row r="16" spans="1:2" x14ac:dyDescent="0.25">
      <c r="A16" s="45">
        <v>2</v>
      </c>
      <c r="B16">
        <v>441</v>
      </c>
    </row>
    <row r="17" spans="1:2" x14ac:dyDescent="0.25">
      <c r="A17" s="45">
        <v>2</v>
      </c>
      <c r="B17">
        <v>443</v>
      </c>
    </row>
    <row r="18" spans="1:2" x14ac:dyDescent="0.25">
      <c r="A18" s="45">
        <v>2</v>
      </c>
      <c r="B18">
        <v>502</v>
      </c>
    </row>
    <row r="19" spans="1:2" x14ac:dyDescent="0.25">
      <c r="A19" s="45">
        <v>2</v>
      </c>
      <c r="B19">
        <v>596</v>
      </c>
    </row>
    <row r="20" spans="1:2" x14ac:dyDescent="0.25">
      <c r="A20" s="45">
        <v>2</v>
      </c>
      <c r="B20">
        <v>705</v>
      </c>
    </row>
    <row r="21" spans="1:2" x14ac:dyDescent="0.25">
      <c r="A21" s="45">
        <v>2</v>
      </c>
      <c r="B21">
        <v>716</v>
      </c>
    </row>
    <row r="22" spans="1:2" x14ac:dyDescent="0.25">
      <c r="A22" s="45">
        <v>2</v>
      </c>
      <c r="B22">
        <v>765</v>
      </c>
    </row>
    <row r="23" spans="1:2" x14ac:dyDescent="0.25">
      <c r="A23" s="45">
        <v>2</v>
      </c>
      <c r="B23">
        <v>819</v>
      </c>
    </row>
    <row r="24" spans="1:2" x14ac:dyDescent="0.25">
      <c r="A24" s="45">
        <v>2</v>
      </c>
      <c r="B24">
        <v>820</v>
      </c>
    </row>
    <row r="25" spans="1:2" x14ac:dyDescent="0.25">
      <c r="A25" s="45">
        <v>2</v>
      </c>
      <c r="B25">
        <v>857</v>
      </c>
    </row>
    <row r="26" spans="1:2" x14ac:dyDescent="0.25">
      <c r="A26" s="44" t="s">
        <v>121</v>
      </c>
      <c r="B26">
        <v>233</v>
      </c>
    </row>
    <row r="27" spans="1:2" x14ac:dyDescent="0.25">
      <c r="A27" s="44" t="s">
        <v>121</v>
      </c>
      <c r="B27">
        <v>332</v>
      </c>
    </row>
    <row r="28" spans="1:2" x14ac:dyDescent="0.25">
      <c r="A28" s="44" t="s">
        <v>121</v>
      </c>
      <c r="B28">
        <v>397</v>
      </c>
    </row>
    <row r="29" spans="1:2" x14ac:dyDescent="0.25">
      <c r="A29" s="44" t="s">
        <v>121</v>
      </c>
      <c r="B29">
        <v>855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Sheet9</vt:lpstr>
      <vt:lpstr>Klumpfuss</vt:lpstr>
      <vt:lpstr>Kruppel</vt:lpstr>
      <vt:lpstr>Dati</vt:lpstr>
      <vt:lpstr>12235901</vt:lpstr>
      <vt:lpstr>12210654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2016-02-11T19:57:25Z</dcterms:created>
  <dcterms:modified xsi:type="dcterms:W3CDTF">2016-03-25T15:31:12Z</dcterms:modified>
</cp:coreProperties>
</file>