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Downloads\"/>
    </mc:Choice>
  </mc:AlternateContent>
  <xr:revisionPtr revIDLastSave="0" documentId="13_ncr:1_{DBFD0575-3453-4A5D-BC2D-C929BE43CE1D}" xr6:coauthVersionLast="47" xr6:coauthVersionMax="47" xr10:uidLastSave="{00000000-0000-0000-0000-000000000000}"/>
  <bookViews>
    <workbookView xWindow="780" yWindow="780" windowWidth="14640" windowHeight="13950" xr2:uid="{B1CE91EC-0DE3-4F38-BC70-60547E21D489}"/>
  </bookViews>
  <sheets>
    <sheet name="Data" sheetId="12" r:id="rId1"/>
    <sheet name="table" sheetId="3" r:id="rId2"/>
    <sheet name="FCC" sheetId="13" r:id="rId3"/>
    <sheet name="BCC" sheetId="14" r:id="rId4"/>
    <sheet name="HCP" sheetId="1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7" i="12" l="1"/>
  <c r="E481" i="12"/>
  <c r="E475" i="12"/>
  <c r="B475" i="12"/>
  <c r="B469" i="12"/>
  <c r="E463" i="12"/>
  <c r="B463" i="12"/>
  <c r="B457" i="12"/>
  <c r="E451" i="12"/>
  <c r="H445" i="12"/>
  <c r="E445" i="12"/>
  <c r="B445" i="12"/>
  <c r="H439" i="12"/>
  <c r="E439" i="12"/>
  <c r="B439" i="12"/>
  <c r="B433" i="12"/>
  <c r="B427" i="12"/>
  <c r="B421" i="12"/>
  <c r="B415" i="12"/>
  <c r="H409" i="12"/>
  <c r="B409" i="12"/>
  <c r="H403" i="12"/>
  <c r="B403" i="12"/>
  <c r="E397" i="12"/>
  <c r="B397" i="12"/>
  <c r="E391" i="12"/>
  <c r="B391" i="12"/>
  <c r="H385" i="12"/>
  <c r="B385" i="12"/>
  <c r="H373" i="12"/>
  <c r="E373" i="12"/>
  <c r="B373" i="12"/>
  <c r="H367" i="12"/>
  <c r="H361" i="12"/>
  <c r="E361" i="12"/>
  <c r="B361" i="12"/>
  <c r="H355" i="12"/>
  <c r="H349" i="12"/>
  <c r="B349" i="12"/>
  <c r="H343" i="12"/>
  <c r="B343" i="12"/>
  <c r="H337" i="12"/>
  <c r="E337" i="12"/>
  <c r="H331" i="12"/>
  <c r="H325" i="12"/>
  <c r="B325" i="12"/>
  <c r="H313" i="12"/>
  <c r="B313" i="12"/>
  <c r="B307" i="12"/>
  <c r="B301" i="12"/>
  <c r="B295" i="12"/>
  <c r="H289" i="12"/>
  <c r="E289" i="12"/>
  <c r="H283" i="12"/>
  <c r="E283" i="12"/>
  <c r="E277" i="12"/>
  <c r="E265" i="12"/>
  <c r="H265" i="12"/>
  <c r="B265" i="12"/>
  <c r="E259" i="12"/>
  <c r="B259" i="12"/>
  <c r="H253" i="12"/>
  <c r="B253" i="12"/>
  <c r="H247" i="12"/>
  <c r="H241" i="12"/>
  <c r="B241" i="12"/>
  <c r="B235" i="12"/>
  <c r="B229" i="12"/>
  <c r="H223" i="12"/>
  <c r="B223" i="12"/>
  <c r="H217" i="12"/>
  <c r="B217" i="12"/>
  <c r="E211" i="12"/>
  <c r="B211" i="12"/>
  <c r="E205" i="12"/>
  <c r="B205" i="12"/>
  <c r="H199" i="12"/>
  <c r="E199" i="12"/>
  <c r="B199" i="12"/>
  <c r="H193" i="12"/>
  <c r="B193" i="12"/>
  <c r="H187" i="12"/>
  <c r="E187" i="12"/>
  <c r="B187" i="12"/>
  <c r="E181" i="12"/>
  <c r="B181" i="12"/>
  <c r="E175" i="12"/>
  <c r="B175" i="12"/>
  <c r="E169" i="12"/>
  <c r="H157" i="12"/>
  <c r="E157" i="12"/>
  <c r="B157" i="12"/>
  <c r="B139" i="12"/>
  <c r="H145" i="12"/>
  <c r="H139" i="12"/>
  <c r="H133" i="12"/>
  <c r="E133" i="12"/>
  <c r="B133" i="12"/>
  <c r="H127" i="12"/>
  <c r="B127" i="12"/>
  <c r="H121" i="12"/>
  <c r="E121" i="12"/>
  <c r="B121" i="12"/>
  <c r="E79" i="12"/>
  <c r="B115" i="12"/>
  <c r="E109" i="12"/>
  <c r="B109" i="12"/>
  <c r="E103" i="12"/>
  <c r="B103" i="12"/>
  <c r="H97" i="12"/>
  <c r="E97" i="12"/>
  <c r="B97" i="12"/>
  <c r="H91" i="12"/>
  <c r="E91" i="12"/>
  <c r="B91" i="12"/>
  <c r="H85" i="12"/>
  <c r="E85" i="12"/>
  <c r="B85" i="12"/>
  <c r="B79" i="12"/>
  <c r="B73" i="12"/>
  <c r="H61" i="12"/>
  <c r="E61" i="12"/>
  <c r="B61" i="12"/>
  <c r="E55" i="12"/>
  <c r="B55" i="12"/>
  <c r="H49" i="12"/>
  <c r="E49" i="12"/>
  <c r="H43" i="12"/>
  <c r="E43" i="12"/>
  <c r="B43" i="12"/>
  <c r="E32" i="12"/>
  <c r="H25" i="12"/>
  <c r="E25" i="12"/>
  <c r="H19" i="12"/>
  <c r="E19" i="12"/>
  <c r="H13" i="12"/>
  <c r="E13" i="12"/>
  <c r="B13" i="12"/>
  <c r="B9" i="3"/>
  <c r="J427" i="12"/>
  <c r="H330" i="12"/>
  <c r="H96" i="12"/>
  <c r="H90" i="12"/>
  <c r="H42" i="12"/>
  <c r="AB4" i="3" l="1"/>
  <c r="AB46" i="3"/>
  <c r="AB76" i="3"/>
  <c r="AB77" i="3"/>
  <c r="AB45" i="3"/>
  <c r="AB79" i="3"/>
  <c r="AB38" i="3"/>
  <c r="AB70" i="3"/>
  <c r="AB17" i="3"/>
  <c r="AB13" i="3"/>
  <c r="AB7" i="3"/>
  <c r="AC6" i="3"/>
  <c r="AD4" i="3" l="1"/>
  <c r="B37" i="3" l="1"/>
  <c r="AC37" i="3" s="1"/>
  <c r="AB37" i="3" s="1"/>
  <c r="AD37" i="3" s="1"/>
  <c r="AC28" i="3"/>
  <c r="AB28" i="3" s="1"/>
  <c r="AD28" i="3" s="1"/>
  <c r="B17" i="3"/>
  <c r="B10" i="3"/>
  <c r="AC10" i="3" s="1"/>
  <c r="AB10" i="3" s="1"/>
  <c r="AD17" i="3"/>
  <c r="AC9" i="3"/>
  <c r="AB9" i="3" s="1"/>
  <c r="C7" i="3"/>
  <c r="B7" i="3" s="1"/>
  <c r="AC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 s="1"/>
  <c r="AB55" i="3" s="1"/>
  <c r="AD55" i="3" s="1"/>
  <c r="B44" i="3"/>
  <c r="AC44" i="3" s="1"/>
  <c r="AB44" i="3" s="1"/>
  <c r="AD44" i="3" s="1"/>
  <c r="B21" i="3"/>
  <c r="AC21" i="3" s="1"/>
  <c r="B8" i="3"/>
  <c r="AD8" i="3" s="1"/>
  <c r="B42" i="3"/>
  <c r="AC42" i="3" s="1"/>
  <c r="AB42" i="3" s="1"/>
  <c r="AD42" i="3" s="1"/>
  <c r="AI26" i="3"/>
  <c r="AC38" i="3"/>
  <c r="AD38" i="3" s="1"/>
  <c r="AD12" i="3"/>
  <c r="AD5" i="3"/>
  <c r="AI82" i="3"/>
  <c r="AH82" i="3" s="1"/>
  <c r="AI76" i="3"/>
  <c r="AH76" i="3" s="1"/>
  <c r="AI77" i="3"/>
  <c r="AH77" i="3" s="1"/>
  <c r="AI78" i="3"/>
  <c r="AH78" i="3" s="1"/>
  <c r="AI79" i="3"/>
  <c r="AH79" i="3" s="1"/>
  <c r="AI75" i="3"/>
  <c r="AH75" i="3" s="1"/>
  <c r="AI71" i="3"/>
  <c r="AH71" i="3" s="1"/>
  <c r="AI72" i="3"/>
  <c r="AH72" i="3" s="1"/>
  <c r="AI73" i="3"/>
  <c r="AH73" i="3" s="1"/>
  <c r="AI70" i="3"/>
  <c r="AH70" i="3" s="1"/>
  <c r="AI66" i="3"/>
  <c r="AH66" i="3" s="1"/>
  <c r="AI62" i="3"/>
  <c r="AH62" i="3" s="1"/>
  <c r="AI61" i="3"/>
  <c r="AH61" i="3" s="1"/>
  <c r="AI56" i="3"/>
  <c r="AH56" i="3" s="1"/>
  <c r="AI54" i="3"/>
  <c r="AH54" i="3" s="1"/>
  <c r="AI53" i="3"/>
  <c r="AH53" i="3" s="1"/>
  <c r="AI46" i="3"/>
  <c r="AH46" i="3" s="1"/>
  <c r="AI47" i="3"/>
  <c r="AH47" i="3" s="1"/>
  <c r="AI48" i="3"/>
  <c r="AH48" i="3" s="1"/>
  <c r="AI45" i="3"/>
  <c r="AH45" i="3" s="1"/>
  <c r="AI43" i="3"/>
  <c r="AH43" i="3" s="1"/>
  <c r="AI39" i="3"/>
  <c r="AH39" i="3" s="1"/>
  <c r="AI40" i="3"/>
  <c r="AH40" i="3" s="1"/>
  <c r="AI41" i="3"/>
  <c r="AH41" i="3" s="1"/>
  <c r="AI38" i="3"/>
  <c r="AH38" i="3" s="1"/>
  <c r="AI36" i="3"/>
  <c r="AH36" i="3" s="1"/>
  <c r="AI32" i="3"/>
  <c r="AH32" i="3" s="1"/>
  <c r="AI27" i="3"/>
  <c r="AH27" i="3" s="1"/>
  <c r="AI28" i="3"/>
  <c r="AH28" i="3" s="1"/>
  <c r="AI29" i="3"/>
  <c r="AH29" i="3" s="1"/>
  <c r="AI30" i="3"/>
  <c r="AH30" i="3" s="1"/>
  <c r="AI23" i="3"/>
  <c r="AH23" i="3" s="1"/>
  <c r="AI24" i="3"/>
  <c r="AH24" i="3" s="1"/>
  <c r="AI22" i="3"/>
  <c r="AH22" i="3" s="1"/>
  <c r="AI20" i="3"/>
  <c r="AH20" i="3" s="1"/>
  <c r="AI19" i="3"/>
  <c r="AH19" i="3" s="1"/>
  <c r="AI13" i="3"/>
  <c r="AH13" i="3" s="1"/>
  <c r="AI14" i="3"/>
  <c r="AH14" i="3" s="1"/>
  <c r="AI15" i="3"/>
  <c r="AH15" i="3" s="1"/>
  <c r="AI12" i="3"/>
  <c r="AH12" i="3" s="1"/>
  <c r="AI6" i="3"/>
  <c r="AH6" i="3" s="1"/>
  <c r="AC82" i="3"/>
  <c r="AB82" i="3" s="1"/>
  <c r="AD82" i="3" s="1"/>
  <c r="AC76" i="3"/>
  <c r="AD76" i="3" s="1"/>
  <c r="AD77" i="3"/>
  <c r="AC78" i="3"/>
  <c r="AB78" i="3" s="1"/>
  <c r="AD78" i="3" s="1"/>
  <c r="AC79" i="3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D45" i="3" s="1"/>
  <c r="AC43" i="3"/>
  <c r="AB43" i="3" s="1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C22" i="3"/>
  <c r="AB22" i="3" s="1"/>
  <c r="AD22" i="3" s="1"/>
  <c r="AC23" i="3"/>
  <c r="AB23" i="3" s="1"/>
  <c r="AD23" i="3" s="1"/>
  <c r="AC24" i="3"/>
  <c r="AB24" i="3" s="1"/>
  <c r="AD24" i="3" s="1"/>
  <c r="AC13" i="3"/>
  <c r="AD13" i="3" s="1"/>
  <c r="AD14" i="3"/>
  <c r="AD15" i="3"/>
  <c r="L53" i="3"/>
  <c r="H53" i="3" s="1"/>
  <c r="M53" i="3"/>
  <c r="I53" i="3" s="1"/>
  <c r="N53" i="3"/>
  <c r="J53" i="3" s="1"/>
  <c r="AI5" i="3"/>
  <c r="AH5" i="3" s="1"/>
  <c r="AB6" i="3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B20" i="3" l="1"/>
  <c r="AD20" i="3" s="1"/>
  <c r="AB21" i="3"/>
  <c r="AD21" i="3" s="1"/>
  <c r="AD79" i="3"/>
  <c r="AD6" i="3"/>
</calcChain>
</file>

<file path=xl/sharedStrings.xml><?xml version="1.0" encoding="utf-8"?>
<sst xmlns="http://schemas.openxmlformats.org/spreadsheetml/2006/main" count="2345" uniqueCount="325">
  <si>
    <t>B</t>
    <phoneticPr fontId="1"/>
  </si>
  <si>
    <t>C</t>
    <phoneticPr fontId="1"/>
  </si>
  <si>
    <t>a</t>
    <phoneticPr fontId="1"/>
  </si>
  <si>
    <t>d</t>
    <phoneticPr fontId="1"/>
  </si>
  <si>
    <t>E0[eV/atom]</t>
    <phoneticPr fontId="1"/>
  </si>
  <si>
    <t>V0[A^3/atom]</t>
    <phoneticPr fontId="1"/>
  </si>
  <si>
    <t>FCC</t>
    <phoneticPr fontId="1"/>
  </si>
  <si>
    <t>MEAM</t>
    <phoneticPr fontId="1"/>
  </si>
  <si>
    <t>Abell</t>
    <phoneticPr fontId="1"/>
  </si>
  <si>
    <t>Li</t>
    <phoneticPr fontId="1"/>
  </si>
  <si>
    <t>Cu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</si>
  <si>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</si>
  <si>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</si>
  <si>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</si>
  <si>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</si>
  <si>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</si>
  <si>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</si>
  <si>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</si>
  <si>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</si>
  <si>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</si>
  <si>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</si>
  <si>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</si>
  <si>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</si>
  <si>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</si>
  <si>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</si>
  <si>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</si>
  <si>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</si>
  <si>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</si>
  <si>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</si>
  <si>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</si>
  <si>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</si>
  <si>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</si>
  <si>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</si>
  <si>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</si>
  <si>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</si>
  <si>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</si>
  <si>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</si>
  <si>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</si>
  <si>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</si>
  <si>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</si>
  <si>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</si>
  <si>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</si>
  <si>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</si>
  <si>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</si>
  <si>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</si>
  <si>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</si>
  <si>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</si>
  <si>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</si>
  <si>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</si>
  <si>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</si>
  <si>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</si>
  <si>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</si>
  <si>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</si>
  <si>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</si>
  <si>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</si>
  <si>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</si>
  <si>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</si>
  <si>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</si>
  <si>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</si>
  <si>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</si>
  <si>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</si>
  <si>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</si>
  <si>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</si>
  <si>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</si>
  <si>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</si>
  <si>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</si>
  <si>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</si>
  <si>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</si>
  <si>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</si>
  <si>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</si>
  <si>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</si>
  <si>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</si>
  <si>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</si>
  <si>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</si>
  <si>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</si>
  <si>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</si>
  <si>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</si>
  <si>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</si>
  <si>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</si>
  <si>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</si>
  <si>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</si>
  <si>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d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</si>
  <si>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</si>
  <si>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</si>
  <si>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</si>
  <si>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</si>
  <si>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</si>
  <si>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</si>
  <si>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</si>
  <si>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</si>
  <si>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</si>
  <si>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</si>
  <si>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</si>
  <si>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</si>
  <si>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</si>
  <si>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</si>
  <si>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</si>
  <si>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</si>
  <si>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</si>
  <si>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</si>
  <si>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</si>
  <si>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</si>
  <si>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</si>
  <si>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</si>
  <si>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</si>
  <si>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</si>
  <si>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</si>
  <si>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</si>
  <si>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</si>
  <si>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</si>
  <si>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</si>
  <si>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</si>
  <si>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</si>
  <si>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</si>
  <si>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</si>
  <si>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</si>
  <si>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</si>
  <si>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</si>
  <si>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</si>
  <si>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</si>
  <si>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</si>
  <si>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</si>
  <si>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</si>
  <si>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</si>
  <si>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</si>
  <si>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</si>
  <si>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</si>
  <si>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</si>
  <si>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</si>
  <si>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</si>
  <si>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</si>
  <si>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</si>
  <si>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</si>
  <si>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</si>
  <si>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</si>
  <si>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</si>
  <si>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</si>
  <si>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</si>
  <si>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</si>
  <si>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</si>
  <si>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c/a</t>
    <phoneticPr fontId="1"/>
  </si>
  <si>
    <t>c</t>
    <phoneticPr fontId="1"/>
  </si>
  <si>
    <t>H</t>
  </si>
  <si>
    <t>SC</t>
    <phoneticPr fontId="1"/>
  </si>
  <si>
    <t>c/a=2.03</t>
    <phoneticPr fontId="1"/>
  </si>
  <si>
    <t>Hg</t>
    <phoneticPr fontId="1"/>
  </si>
  <si>
    <t>Simplehexagonal</t>
  </si>
  <si>
    <t>1e12 [dyne/cm^2] = 1e2 [GPa]</t>
    <phoneticPr fontId="1"/>
  </si>
  <si>
    <t>maybe, B = Bulk modulus [eV/A^3]</t>
    <phoneticPr fontId="1"/>
  </si>
  <si>
    <t>1 [eV/A^3] = 160.21766 [GPa]</t>
    <phoneticPr fontId="1"/>
  </si>
  <si>
    <t>1e12 [dyne/cm^2] = 1e2/160.21766 [eV/A^3]</t>
    <phoneticPr fontId="1"/>
  </si>
  <si>
    <t>Data: [1] Materials Project(murnaghan), and [2] Y. Wang et al., Calphad 28 (2004) 79-90.: https://doi.org/10.1016/j.calphad.2004.05.002</t>
    <phoneticPr fontId="1"/>
  </si>
  <si>
    <t>Be [2]</t>
    <phoneticPr fontId="1"/>
  </si>
  <si>
    <t>B [2]</t>
    <phoneticPr fontId="1"/>
  </si>
  <si>
    <t>Ref [SC]: https://arxiv.org/pdf/1312.4047</t>
    <phoneticPr fontId="1"/>
  </si>
  <si>
    <t>C [2]</t>
    <phoneticPr fontId="1"/>
  </si>
  <si>
    <t>Al [2]</t>
    <phoneticPr fontId="1"/>
  </si>
  <si>
    <t>P [2]</t>
    <phoneticPr fontId="1"/>
  </si>
  <si>
    <t>Ref (SC): https://iopscience.iop.org/article/10.1088/0953-8984/24/22/225002/pdf</t>
    <phoneticPr fontId="1"/>
  </si>
  <si>
    <t>S [2]</t>
    <phoneticPr fontId="1"/>
  </si>
  <si>
    <t>V [2]</t>
    <phoneticPr fontId="1"/>
  </si>
  <si>
    <t>Mn [2]</t>
    <phoneticPr fontId="1"/>
  </si>
  <si>
    <t>Zn [2]</t>
    <phoneticPr fontId="1"/>
  </si>
  <si>
    <t>Ga [2]</t>
    <phoneticPr fontId="1"/>
  </si>
  <si>
    <t>As [2]</t>
    <phoneticPr fontId="1"/>
  </si>
  <si>
    <t>Se [2]</t>
    <phoneticPr fontId="1"/>
  </si>
  <si>
    <t>Br [2]</t>
    <phoneticPr fontId="1"/>
  </si>
  <si>
    <t>Y [2]</t>
    <phoneticPr fontId="1"/>
  </si>
  <si>
    <t>Nb [2]</t>
    <phoneticPr fontId="1"/>
  </si>
  <si>
    <t>Mo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</si>
  <si>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</si>
  <si>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</si>
  <si>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</si>
  <si>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</si>
  <si>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</si>
  <si>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</si>
  <si>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Sn [2]</t>
    <phoneticPr fontId="1"/>
  </si>
  <si>
    <t>Te [2]</t>
    <phoneticPr fontId="1"/>
  </si>
  <si>
    <t>I [2]</t>
    <phoneticPr fontId="1"/>
  </si>
  <si>
    <t>La [2]</t>
    <phoneticPr fontId="1"/>
  </si>
  <si>
    <t>Nd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</si>
  <si>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</si>
  <si>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</si>
  <si>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</si>
  <si>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</si>
  <si>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</si>
  <si>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</si>
  <si>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</si>
  <si>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Ref (HCP): https://www.nature.com/articles/srep10213.pdf</t>
    <phoneticPr fontId="1"/>
  </si>
  <si>
    <t>Bi [2]</t>
    <phoneticPr fontId="1"/>
  </si>
  <si>
    <t>Th [2]</t>
    <phoneticPr fontId="1"/>
  </si>
  <si>
    <t>Pa [2]</t>
    <phoneticPr fontId="1"/>
  </si>
  <si>
    <t>Pu [2]</t>
    <phoneticPr fontId="1"/>
  </si>
  <si>
    <t>Ref [B, SC]: https://journals.aps.org/prb/pdf/10.1103/PhysRevB.50.15606</t>
    <phoneticPr fontId="1"/>
  </si>
  <si>
    <t>Ref [B]: https://periodictable.com/Elements/052/data.html</t>
    <phoneticPr fontId="1"/>
  </si>
  <si>
    <t>B = 64 [Gpa]</t>
    <phoneticPr fontId="1"/>
  </si>
  <si>
    <t>Ref [B]: https://periodictable.com/Elements/069/data.html</t>
    <phoneticPr fontId="1"/>
  </si>
  <si>
    <t>B = 45 [GPa]</t>
    <phoneticPr fontId="1"/>
  </si>
  <si>
    <t>Ref [B]: https://periodictable.com/Elements/070/data.html</t>
    <phoneticPr fontId="1"/>
  </si>
  <si>
    <t>B = 31 [GPa]</t>
    <phoneticPr fontId="1"/>
  </si>
  <si>
    <t>Ac [2]</t>
    <phoneticPr fontId="1"/>
  </si>
  <si>
    <t>U [2]</t>
    <phoneticPr fontId="1"/>
  </si>
  <si>
    <t>Np [2]</t>
    <phoneticPr fontId="1"/>
  </si>
  <si>
    <t>Ref [B]: https://doi.org/10.1016/j.jallcom.2017.01.052</t>
    <phoneticPr fontId="1"/>
  </si>
  <si>
    <t>B= 50.5 [GPa]</t>
    <phoneticPr fontId="1"/>
  </si>
  <si>
    <t>Note: MP (FCC 14 [GPa], BCC 14 [GPa], HCP 14 [GPa])</t>
    <phoneticPr fontId="1"/>
  </si>
  <si>
    <t>Note: MP (BCC 124 [GPa], HCP 122 [GPa])</t>
    <phoneticPr fontId="1"/>
  </si>
  <si>
    <t>Bulk Modulus KV [GPa] (MP = Materials Project)</t>
    <phoneticPr fontId="1"/>
  </si>
  <si>
    <t>Note: MP (FCC 12 [GPa], BCC 8 [GPa], HCP 9 [GPa])</t>
    <phoneticPr fontId="1"/>
  </si>
  <si>
    <t>Note: MP (BCC 36 [GPa], HCP 37 [GPa])</t>
    <phoneticPr fontId="1"/>
  </si>
  <si>
    <t>Note: MP (FCC 83 [GPa], BCC 69 [GPa])</t>
    <phoneticPr fontId="1"/>
  </si>
  <si>
    <t>Note: MP (FCC 83 [GPa], BCC 94 [GPa], HCP 86 [GPa])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</si>
  <si>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</si>
  <si>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</si>
  <si>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</si>
  <si>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</si>
  <si>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</si>
  <si>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Note: MP (FCC 179 [GPa], BCC 179 [GPa])</t>
    <phoneticPr fontId="1"/>
  </si>
  <si>
    <t>Note: MP (FCC 241 [GPa], BCC 259 [GPa])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</si>
  <si>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</si>
  <si>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</si>
  <si>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</si>
  <si>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</si>
  <si>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</si>
  <si>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Note: MP (HCP 75 [GPa])</t>
    <phoneticPr fontId="1"/>
  </si>
  <si>
    <t>Note: MP (FCC 65 [GPa], BCC 58 [GPa], HCP 49 [GPa])</t>
    <phoneticPr fontId="1"/>
  </si>
  <si>
    <t>Note: MP (BCC 74 [GPa])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</si>
  <si>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</si>
  <si>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</si>
  <si>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</si>
  <si>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Note: MP (FCC 39 [GPa], HCP 41 [GPa])</t>
    <phoneticPr fontId="1"/>
  </si>
  <si>
    <t>Note: MP (FCC 90 [GPa], BCC 89 [GPa], HCP 94 [GPa])</t>
    <phoneticPr fontId="1"/>
  </si>
  <si>
    <t>Note: MP (FCC 167 [GPa], BCC 174 [GPa])</t>
    <phoneticPr fontId="1"/>
  </si>
  <si>
    <t>Note: MP (FCC 243 [GPa], BCC 262 [GPa])</t>
    <phoneticPr fontId="1"/>
  </si>
  <si>
    <t>Note: MP (FCC 376 [GPa], HCP 300 [GPa])</t>
    <phoneticPr fontId="1"/>
  </si>
  <si>
    <t>Note: MP (FCC 309 [GPa], HCP 308 [GPa])</t>
    <phoneticPr fontId="1"/>
  </si>
  <si>
    <t>Note: MP (FCC 253 [GPa])</t>
    <phoneticPr fontId="1"/>
  </si>
  <si>
    <t>Note: MP (FCC 160 [GPa])</t>
    <phoneticPr fontId="1"/>
  </si>
  <si>
    <t>Note: MP (FCC 88 [GPa], HCP 88 [GPa])</t>
    <phoneticPr fontId="1"/>
  </si>
  <si>
    <t>Note: MP (HCP 45 [GPa])</t>
    <phoneticPr fontId="1"/>
  </si>
  <si>
    <t>Note: MP (FCC 93 [GPa], BCC 44 [GPa])</t>
    <phoneticPr fontId="1"/>
  </si>
  <si>
    <t>Note: MP (FCC 58 [GPa], BCC 65 [GPa], HCP 60 [GPa])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</si>
  <si>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</si>
  <si>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</si>
  <si>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</si>
  <si>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Note: MP (FCC 23 [GPa])</t>
    <phoneticPr fontId="1"/>
  </si>
  <si>
    <t>Note: MP (FCC 32 [GPa])</t>
    <phoneticPr fontId="1"/>
  </si>
  <si>
    <t>Note: MP (FCC 34 [GPa], BCC 33 [GPa])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</si>
  <si>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</si>
  <si>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</si>
  <si>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</si>
  <si>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</si>
  <si>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</si>
  <si>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</si>
  <si>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Note: MP (HCP 46 [GPa])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</si>
  <si>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</si>
  <si>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</si>
  <si>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</si>
  <si>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</si>
  <si>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Note: MP (FCC 363 [GPa], HCP 365 [GPa])</t>
    <phoneticPr fontId="1"/>
  </si>
  <si>
    <t>Note: MP (FCC 408 [GPa], HCP 402 [GPa])</t>
    <phoneticPr fontId="1"/>
  </si>
  <si>
    <t>Note: MP (FCC 346 [GPa])</t>
    <phoneticPr fontId="1"/>
  </si>
  <si>
    <t>Note: MP (FCC 247 [GPa])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</si>
  <si>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</si>
  <si>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</si>
  <si>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</si>
  <si>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</si>
  <si>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Note: MP (BCC 53 [GPa])</t>
    <phoneticPr fontId="1"/>
  </si>
  <si>
    <t>Note: MP (FCC 24 [GPa])</t>
    <phoneticPr fontId="1"/>
  </si>
  <si>
    <t>Note: MP (FCC 56 [GPa], BCC 62 [GPa])</t>
    <phoneticPr fontId="1"/>
  </si>
  <si>
    <t>Note: MP (FCC 95 [GPa])</t>
    <phoneticPr fontId="1"/>
  </si>
  <si>
    <t>Note: MP (FCC 105 [GPa], BCC 133 [GPa])</t>
    <phoneticPr fontId="1"/>
  </si>
  <si>
    <t>Note: MP (BCC 198 [GPa])</t>
    <phoneticPr fontId="1"/>
  </si>
  <si>
    <t>Note: MP (FCC 152 [GPa])</t>
    <phoneticPr fontId="1"/>
  </si>
  <si>
    <t>E</t>
    <phoneticPr fontId="1"/>
  </si>
  <si>
    <t>Bv</t>
    <phoneticPr fontId="1"/>
  </si>
  <si>
    <t>Gv</t>
    <phoneticPr fontId="1"/>
  </si>
  <si>
    <t>C11</t>
    <phoneticPr fontId="1"/>
  </si>
  <si>
    <t>C12</t>
    <phoneticPr fontId="1"/>
  </si>
  <si>
    <t>C13</t>
    <phoneticPr fontId="1"/>
  </si>
  <si>
    <t>C22</t>
    <phoneticPr fontId="1"/>
  </si>
  <si>
    <t>C23</t>
    <phoneticPr fontId="1"/>
  </si>
  <si>
    <t>C33</t>
    <phoneticPr fontId="1"/>
  </si>
  <si>
    <t>C44</t>
    <phoneticPr fontId="1"/>
  </si>
  <si>
    <t>C55</t>
    <phoneticPr fontId="1"/>
  </si>
  <si>
    <t>C66</t>
    <phoneticPr fontId="1"/>
  </si>
  <si>
    <t>He</t>
    <phoneticPr fontId="1"/>
  </si>
  <si>
    <t>Ne</t>
    <phoneticPr fontId="1"/>
  </si>
  <si>
    <t>Ar</t>
    <phoneticPr fontId="1"/>
  </si>
  <si>
    <t>Kr</t>
    <phoneticPr fontId="1"/>
  </si>
  <si>
    <t>Xe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</si>
  <si>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</si>
  <si>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</si>
  <si>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</si>
  <si>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</si>
  <si>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</si>
  <si>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2NN</t>
    <phoneticPr fontId="1"/>
  </si>
  <si>
    <t>1NN</t>
    <phoneticPr fontId="1"/>
  </si>
  <si>
    <t>C:2.453</t>
    <phoneticPr fontId="1"/>
  </si>
  <si>
    <t>C:3.139</t>
    <phoneticPr fontId="1"/>
  </si>
  <si>
    <t>C:2.524</t>
    <phoneticPr fontId="1"/>
  </si>
  <si>
    <t>B: 1.068, C:5.301</t>
    <phoneticPr fontId="1"/>
  </si>
  <si>
    <t>B:1.551, C:3.122</t>
    <phoneticPr fontId="1"/>
  </si>
  <si>
    <t>B:0.022, C:2.667</t>
    <phoneticPr fontId="1"/>
  </si>
  <si>
    <t>B:0.206, C:2.899</t>
    <phoneticPr fontId="1"/>
  </si>
  <si>
    <t>B:0.394, C:2.739</t>
    <phoneticPr fontId="1"/>
  </si>
  <si>
    <t>B:0.353, C:3.587</t>
    <phoneticPr fontId="1"/>
  </si>
  <si>
    <t>B:0.284, C:3.304</t>
    <phoneticPr fontId="1"/>
  </si>
  <si>
    <t>B:0.135, C:3.662</t>
    <phoneticPr fontId="1"/>
  </si>
  <si>
    <t>Note: MP (FCC 34 [GPa], HCP 117 [GPa])</t>
    <phoneticPr fontId="1"/>
  </si>
  <si>
    <t>B:0.283, C:3.540</t>
    <phoneticPr fontId="1"/>
  </si>
  <si>
    <t>B:0.306, C:3.377</t>
    <phoneticPr fontId="1"/>
  </si>
  <si>
    <t>B:0.113, C:3.835</t>
    <phoneticPr fontId="1"/>
  </si>
  <si>
    <t>B:0.155, C:1.561</t>
    <phoneticPr fontId="1"/>
  </si>
  <si>
    <t>Note: MP (FCC 37 [GPa])</t>
    <phoneticPr fontId="1"/>
  </si>
  <si>
    <t>B:0.196, C:1.935</t>
    <phoneticPr fontId="1"/>
  </si>
  <si>
    <t>B:0.222, C:2.034</t>
    <phoneticPr fontId="1"/>
  </si>
  <si>
    <t>B:0.245, C:2.155</t>
    <phoneticPr fontId="1"/>
  </si>
  <si>
    <t>B:0.252, C:2.173</t>
    <phoneticPr fontId="1"/>
  </si>
  <si>
    <t>B:0.041, C:5.086</t>
    <phoneticPr fontId="1"/>
  </si>
  <si>
    <t>B: 0.260, C:3.494</t>
    <phoneticPr fontId="1"/>
  </si>
  <si>
    <t>B: 0.151, C:2.049</t>
    <phoneticPr fontId="1"/>
  </si>
  <si>
    <t>B: 0.899, C:3.971</t>
    <phoneticPr fontId="1"/>
  </si>
  <si>
    <t>B: 1.272, C: 4.274</t>
    <phoneticPr fontId="1"/>
  </si>
  <si>
    <t>1 [Mbar] = 100 [GPa] = 100/160.21766 [eV/A^3]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</si>
</sst>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2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5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5" borderId="1" xfId="0" applyNumberFormat="1" applyFill="1" applyBorder="1">
      <alignment vertical="center"/>
    </xf>
    <xf numFmtId="2" fontId="0" fillId="3" borderId="1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6" xfId="0" applyNumberFormat="1" applyBorder="1">
      <alignment vertical="center"/>
    </xf>
    <xf numFmtId="0" fontId="2" fillId="4" borderId="1" xfId="0" applyFon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2" fillId="6" borderId="1" xfId="0" applyFont="1" applyFill="1" applyBorder="1">
      <alignment vertical="center"/>
    </xf>
    <xf numFmtId="177" fontId="0" fillId="6" borderId="1" xfId="0" applyNumberFormat="1" applyFill="1" applyBorder="1">
      <alignment vertical="center"/>
    </xf>
    <xf numFmtId="0" fontId="3" fillId="0" borderId="2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7" fontId="4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  <xf numFmtId="0" fontId="5" fillId="7" borderId="1" xfId="0" applyFont="1" applyFill="1" applyBorder="1">
      <alignment vertical="center"/>
    </xf>
    <xf numFmtId="177" fontId="5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7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ab\OneDrive\&#12487;&#12473;&#12463;&#12488;&#12483;&#12503;\lammps_metal\smatb\morse\Rose_function_fit-1NN-morse.xlsx" TargetMode="External"/><Relationship Id="rId1" Type="http://schemas.openxmlformats.org/officeDocument/2006/relationships/externalLinkPath" Target="/Users/manab/OneDrive/&#12487;&#12473;&#12463;&#12488;&#12483;&#12503;/lammps_metal/smatb/morse/Rose_function_fit-1NN-mor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t_1NN_FCC"/>
      <sheetName val="fit_1NN_BCC"/>
      <sheetName val="fit_1NN_HCP"/>
      <sheetName val="fit_1NN_SC"/>
      <sheetName val="table"/>
      <sheetName val="Data"/>
      <sheetName val="FCC"/>
      <sheetName val="BCC"/>
      <sheetName val="HCP"/>
    </sheetNames>
    <sheetDataSet>
      <sheetData sheetId="0"/>
      <sheetData sheetId="1"/>
      <sheetData sheetId="2"/>
      <sheetData sheetId="3">
        <row r="18">
          <cell r="H18" t="str">
            <v>Eu(r) [eV/atom]</v>
          </cell>
          <cell r="K18" t="str">
            <v>E(morse)[eV]</v>
          </cell>
          <cell r="M18" t="str">
            <v>E(fit)</v>
          </cell>
        </row>
        <row r="19">
          <cell r="D19">
            <v>-1</v>
          </cell>
          <cell r="E19">
            <v>5.4963814220097572E-2</v>
          </cell>
          <cell r="G19">
            <v>2.2795240277648579</v>
          </cell>
          <cell r="H19">
            <v>0.76897673922769716</v>
          </cell>
          <cell r="K19">
            <v>0.764839898080794</v>
          </cell>
          <cell r="M19">
            <v>0.764839898080794</v>
          </cell>
        </row>
        <row r="20">
          <cell r="D20">
            <v>-0.98</v>
          </cell>
          <cell r="E20">
            <v>-2.5819749812030237E-3</v>
          </cell>
          <cell r="G20">
            <v>2.2942643130177691</v>
          </cell>
          <cell r="H20">
            <v>-3.6123379172019021E-2</v>
          </cell>
          <cell r="K20">
            <v>-4.1250528802109443E-2</v>
          </cell>
          <cell r="M20">
            <v>-4.1250528802109443E-2</v>
          </cell>
        </row>
        <row r="21">
          <cell r="D21">
            <v>-0.96</v>
          </cell>
          <cell r="E21">
            <v>-5.7746143190308664E-2</v>
          </cell>
          <cell r="G21">
            <v>2.3090045982706804</v>
          </cell>
          <cell r="H21">
            <v>-0.8079031909183324</v>
          </cell>
          <cell r="K21">
            <v>-0.81386174727105498</v>
          </cell>
          <cell r="M21">
            <v>-0.81386174727105498</v>
          </cell>
        </row>
        <row r="22">
          <cell r="D22">
            <v>-0.94</v>
          </cell>
          <cell r="E22">
            <v>-0.11060538970848119</v>
          </cell>
          <cell r="G22">
            <v>2.3237448835235917</v>
          </cell>
          <cell r="H22">
            <v>-1.5474357652554771</v>
          </cell>
          <cell r="K22">
            <v>-1.5540813884437483</v>
          </cell>
          <cell r="M22">
            <v>-1.5540813884437483</v>
          </cell>
        </row>
        <row r="23">
          <cell r="D23">
            <v>-0.92</v>
          </cell>
          <cell r="E23">
            <v>-0.16123416305908669</v>
          </cell>
          <cell r="G23">
            <v>2.3384851687765029</v>
          </cell>
          <cell r="H23">
            <v>-2.2557626816944585</v>
          </cell>
          <cell r="K23">
            <v>-2.2629646018563676</v>
          </cell>
          <cell r="M23">
            <v>-2.2629646018563676</v>
          </cell>
        </row>
        <row r="24">
          <cell r="D24">
            <v>-0.9</v>
          </cell>
          <cell r="E24">
            <v>-0.20970472393808473</v>
          </cell>
          <cell r="G24">
            <v>2.3532254540294142</v>
          </cell>
          <cell r="H24">
            <v>-2.933894910728168</v>
          </cell>
          <cell r="K24">
            <v>-2.9415349911735547</v>
          </cell>
          <cell r="M24">
            <v>-2.9415349911735547</v>
          </cell>
        </row>
        <row r="25">
          <cell r="D25">
            <v>-0.88</v>
          </cell>
          <cell r="E25">
            <v>-0.25608720645776456</v>
          </cell>
          <cell r="G25">
            <v>2.3679657392823255</v>
          </cell>
          <cell r="H25">
            <v>-3.5828136706680009</v>
          </cell>
          <cell r="K25">
            <v>-3.5907855233928316</v>
          </cell>
          <cell r="M25">
            <v>-3.5907855233928316</v>
          </cell>
        </row>
        <row r="26">
          <cell r="D26">
            <v>-0.86</v>
          </cell>
          <cell r="E26">
            <v>-0.30044967772893172</v>
          </cell>
          <cell r="G26">
            <v>2.3827060245352367</v>
          </cell>
          <cell r="H26">
            <v>-4.2034712612343927</v>
          </cell>
          <cell r="K26">
            <v>-4.2116794122880066</v>
          </cell>
          <cell r="M26">
            <v>-4.2116794122880066</v>
          </cell>
        </row>
        <row r="27">
          <cell r="D27">
            <v>-0.84</v>
          </cell>
          <cell r="E27">
            <v>-0.34285819582556426</v>
          </cell>
          <cell r="G27">
            <v>2.397446309788148</v>
          </cell>
          <cell r="H27">
            <v>-4.7967918745171394</v>
          </cell>
          <cell r="K27">
            <v>-4.8051509768154403</v>
          </cell>
          <cell r="M27">
            <v>-4.8051509768154403</v>
          </cell>
        </row>
        <row r="28">
          <cell r="D28">
            <v>-0.82</v>
          </cell>
          <cell r="E28">
            <v>-0.38337686617482036</v>
          </cell>
          <cell r="G28">
            <v>2.4121865950410593</v>
          </cell>
          <cell r="H28">
            <v>-5.3636723839054419</v>
          </cell>
          <cell r="K28">
            <v>-5.3721064751870102</v>
          </cell>
          <cell r="M28">
            <v>-5.3721064751870102</v>
          </cell>
        </row>
        <row r="29">
          <cell r="D29">
            <v>-0.8</v>
          </cell>
          <cell r="E29">
            <v>-0.42206789641416254</v>
          </cell>
          <cell r="G29">
            <v>2.4269268802939701</v>
          </cell>
          <cell r="H29">
            <v>-5.9049831115719824</v>
          </cell>
          <cell r="K29">
            <v>-5.9134249152932767</v>
          </cell>
          <cell r="M29">
            <v>-5.9134249152932767</v>
          </cell>
        </row>
        <row r="30">
          <cell r="D30">
            <v>-0.78</v>
          </cell>
          <cell r="E30">
            <v>-0.45899164975628043</v>
          </cell>
          <cell r="G30">
            <v>2.4416671655468818</v>
          </cell>
          <cell r="H30">
            <v>-6.4215685750802169</v>
          </cell>
          <cell r="K30">
            <v>-6.4299588421421419</v>
          </cell>
          <cell r="M30">
            <v>-6.4299588421421419</v>
          </cell>
        </row>
        <row r="31">
          <cell r="D31">
            <v>-0.76</v>
          </cell>
          <cell r="E31">
            <v>-0.49420669690142871</v>
          </cell>
          <cell r="G31">
            <v>2.4564074507997931</v>
          </cell>
          <cell r="H31">
            <v>-6.9142482136691283</v>
          </cell>
          <cell r="K31">
            <v>-6.9225351029586335</v>
          </cell>
          <cell r="M31">
            <v>-6.9225351029586335</v>
          </cell>
        </row>
        <row r="32">
          <cell r="D32">
            <v>-0.74</v>
          </cell>
          <cell r="E32">
            <v>-0.52776986653577607</v>
          </cell>
          <cell r="G32">
            <v>2.4711477360527043</v>
          </cell>
          <cell r="H32">
            <v>-7.3838170947554289</v>
          </cell>
          <cell r="K32">
            <v>-7.3919555905745682</v>
          </cell>
          <cell r="M32">
            <v>-7.3919555905745682</v>
          </cell>
        </row>
        <row r="33">
          <cell r="D33">
            <v>-0.72</v>
          </cell>
          <cell r="E33">
            <v>-0.55973629445334727</v>
          </cell>
          <cell r="G33">
            <v>2.4858880213056156</v>
          </cell>
          <cell r="H33">
            <v>-7.8310466011790014</v>
          </cell>
          <cell r="K33">
            <v>-7.8389979657178444</v>
          </cell>
          <cell r="M33">
            <v>-7.8389979657178444</v>
          </cell>
        </row>
        <row r="34">
          <cell r="D34">
            <v>-0.7</v>
          </cell>
          <cell r="E34">
            <v>-0.59015947133816538</v>
          </cell>
          <cell r="G34">
            <v>2.5006283065585269</v>
          </cell>
          <cell r="H34">
            <v>-8.2566850997037378</v>
          </cell>
          <cell r="K34">
            <v>-8.2644163587954367</v>
          </cell>
          <cell r="M34">
            <v>-8.2644163587954367</v>
          </cell>
        </row>
        <row r="35">
          <cell r="D35">
            <v>-0.68</v>
          </cell>
          <cell r="E35">
            <v>-0.61909128924224677</v>
          </cell>
          <cell r="G35">
            <v>2.5153685918114381</v>
          </cell>
          <cell r="H35">
            <v>-8.661458591272579</v>
          </cell>
          <cell r="K35">
            <v>-8.6689420517465194</v>
          </cell>
          <cell r="M35">
            <v>-8.6689420517465194</v>
          </cell>
        </row>
        <row r="36">
          <cell r="D36">
            <v>-0.66</v>
          </cell>
          <cell r="E36">
            <v>-0.64658208679417328</v>
          </cell>
          <cell r="G36">
            <v>2.5301088770643494</v>
          </cell>
          <cell r="H36">
            <v>-9.046071343502561</v>
          </cell>
          <cell r="K36">
            <v>-9.0532841405264648</v>
          </cell>
          <cell r="M36">
            <v>-9.0532841405264648</v>
          </cell>
        </row>
        <row r="37">
          <cell r="D37">
            <v>-0.64</v>
          </cell>
          <cell r="E37">
            <v>-0.67268069317205326</v>
          </cell>
          <cell r="G37">
            <v>2.5448491623172607</v>
          </cell>
          <cell r="H37">
            <v>-9.4112065058929293</v>
          </cell>
          <cell r="K37">
            <v>-9.4181301787667309</v>
          </cell>
          <cell r="M37">
            <v>-9.4181301787667309</v>
          </cell>
        </row>
        <row r="38">
          <cell r="D38">
            <v>-0.62</v>
          </cell>
          <cell r="E38">
            <v>-0.69743447087381338</v>
          </cell>
          <cell r="G38">
            <v>2.5595894475701719</v>
          </cell>
          <cell r="H38">
            <v>-9.757526708207175</v>
          </cell>
          <cell r="K38">
            <v>-9.7641468031402283</v>
          </cell>
          <cell r="M38">
            <v>-9.7641468031402283</v>
          </cell>
        </row>
        <row r="39">
          <cell r="D39">
            <v>-0.6</v>
          </cell>
          <cell r="E39">
            <v>-0.72088935731688863</v>
          </cell>
          <cell r="G39">
            <v>2.5743297328230832</v>
          </cell>
          <cell r="H39">
            <v>-10.085674642477661</v>
          </cell>
          <cell r="K39">
            <v>-10.091980340947174</v>
          </cell>
          <cell r="M39">
            <v>-10.091980340947174</v>
          </cell>
        </row>
        <row r="40">
          <cell r="D40">
            <v>-0.57999999999999996</v>
          </cell>
          <cell r="E40">
            <v>-0.7430899052985519</v>
          </cell>
          <cell r="G40">
            <v>2.5890700180759945</v>
          </cell>
          <cell r="H40">
            <v>-10.396273629069922</v>
          </cell>
          <cell r="K40">
            <v>-10.402257400421632</v>
          </cell>
          <cell r="M40">
            <v>-10.402257400421632</v>
          </cell>
        </row>
        <row r="41">
          <cell r="D41">
            <v>-0.56000000000000005</v>
          </cell>
          <cell r="E41">
            <v>-0.76407932234730025</v>
          </cell>
          <cell r="G41">
            <v>2.6038103033289057</v>
          </cell>
          <cell r="H41">
            <v>-10.689928167232139</v>
          </cell>
          <cell r="K41">
            <v>-10.695585444245548</v>
          </cell>
          <cell r="M41">
            <v>-10.695585444245548</v>
          </cell>
        </row>
        <row r="42">
          <cell r="D42">
            <v>-0.54</v>
          </cell>
          <cell r="E42">
            <v>-0.78389950899492433</v>
          </cell>
          <cell r="G42">
            <v>2.618550588581817</v>
          </cell>
          <cell r="H42">
            <v>-10.967224470544387</v>
          </cell>
          <cell r="K42">
            <v>-10.97255334674254</v>
          </cell>
          <cell r="M42">
            <v>-10.97255334674254</v>
          </cell>
        </row>
        <row r="43">
          <cell r="D43">
            <v>-0.52</v>
          </cell>
          <cell r="E43">
            <v>-0.80259109599810841</v>
          </cell>
          <cell r="G43">
            <v>2.6332908738347283</v>
          </cell>
          <cell r="H43">
            <v>-11.228730987671137</v>
          </cell>
          <cell r="K43">
            <v>-11.233731935211644</v>
          </cell>
          <cell r="M43">
            <v>-11.233731935211644</v>
          </cell>
        </row>
        <row r="44">
          <cell r="D44">
            <v>-0.5</v>
          </cell>
          <cell r="E44">
            <v>-0.82019348053765928</v>
          </cell>
          <cell r="G44">
            <v>2.6480311590876395</v>
          </cell>
          <cell r="H44">
            <v>-11.474998908810177</v>
          </cell>
          <cell r="K44">
            <v>-11.479674515847076</v>
          </cell>
          <cell r="M44">
            <v>-11.479674515847076</v>
          </cell>
        </row>
        <row r="45">
          <cell r="D45">
            <v>-0.48</v>
          </cell>
          <cell r="E45">
            <v>-0.83674486142271798</v>
          </cell>
          <cell r="G45">
            <v>2.6627714443405508</v>
          </cell>
          <cell r="H45">
            <v>-11.70656265822068</v>
          </cell>
          <cell r="K45">
            <v>-11.710917384678655</v>
          </cell>
          <cell r="M45">
            <v>-11.710917384678655</v>
          </cell>
        </row>
        <row r="46">
          <cell r="D46">
            <v>-0.46</v>
          </cell>
          <cell r="E46">
            <v>-0.85228227332660023</v>
          </cell>
          <cell r="G46">
            <v>2.6775117295934621</v>
          </cell>
          <cell r="H46">
            <v>-11.923940373203134</v>
          </cell>
          <cell r="K46">
            <v>-11.927980323954575</v>
          </cell>
          <cell r="M46">
            <v>-11.927980323954575</v>
          </cell>
        </row>
        <row r="47">
          <cell r="D47">
            <v>-0.44</v>
          </cell>
          <cell r="E47">
            <v>-0.86684162008020793</v>
          </cell>
          <cell r="G47">
            <v>2.6922520148463733</v>
          </cell>
          <cell r="H47">
            <v>-12.127634369894158</v>
          </cell>
          <cell r="K47">
            <v>-12.131367084376876</v>
          </cell>
          <cell r="M47">
            <v>-12.131367084376876</v>
          </cell>
        </row>
        <row r="48">
          <cell r="D48">
            <v>-0.41999999999999899</v>
          </cell>
          <cell r="E48">
            <v>-0.88045770704827497</v>
          </cell>
          <cell r="G48">
            <v>2.7069923000992855</v>
          </cell>
          <cell r="H48">
            <v>-12.318131596229595</v>
          </cell>
          <cell r="K48">
            <v>-12.321565853588332</v>
          </cell>
          <cell r="M48">
            <v>-12.321565853588332</v>
          </cell>
        </row>
        <row r="49">
          <cell r="D49">
            <v>-0.39999999999999902</v>
          </cell>
          <cell r="E49">
            <v>-0.89316427261304443</v>
          </cell>
          <cell r="G49">
            <v>2.7217325853521963</v>
          </cell>
          <cell r="H49">
            <v>-12.495904072420061</v>
          </cell>
          <cell r="K49">
            <v>-12.499049711297936</v>
          </cell>
          <cell r="M49">
            <v>-12.499049711297936</v>
          </cell>
        </row>
        <row r="50">
          <cell r="D50">
            <v>-0.37999999999999901</v>
          </cell>
          <cell r="E50">
            <v>-0.90499401878934238</v>
          </cell>
          <cell r="G50">
            <v>2.736472870605108</v>
          </cell>
          <cell r="H50">
            <v>-12.661409319274174</v>
          </cell>
          <cell r="K50">
            <v>-12.664277071422209</v>
          </cell>
          <cell r="M50">
            <v>-12.664277071422209</v>
          </cell>
        </row>
        <row r="51">
          <cell r="D51">
            <v>-0.35999999999999899</v>
          </cell>
          <cell r="E51">
            <v>-0.91597864099435944</v>
          </cell>
          <cell r="G51">
            <v>2.7512131558580193</v>
          </cell>
          <cell r="H51">
            <v>-12.815090774695685</v>
          </cell>
          <cell r="K51">
            <v>-12.817692111607812</v>
          </cell>
          <cell r="M51">
            <v>-12.817692111607812</v>
          </cell>
        </row>
        <row r="52">
          <cell r="D52">
            <v>-0.33999999999999903</v>
          </cell>
          <cell r="E52">
            <v>-0.92614885699486305</v>
          </cell>
          <cell r="G52">
            <v>2.7659534411109301</v>
          </cell>
          <cell r="H52">
            <v>-12.957378198672332</v>
          </cell>
          <cell r="K52">
            <v>-12.959725190491707</v>
          </cell>
          <cell r="M52">
            <v>-12.959725190491707</v>
          </cell>
        </row>
        <row r="53">
          <cell r="D53">
            <v>-0.31999999999999901</v>
          </cell>
          <cell r="E53">
            <v>-0.93553443505395184</v>
          </cell>
          <cell r="G53">
            <v>2.7806937263638418</v>
          </cell>
          <cell r="H53">
            <v>-13.088688067065821</v>
          </cell>
          <cell r="K53">
            <v>-13.090793253044634</v>
          </cell>
          <cell r="M53">
            <v>-13.090793253044634</v>
          </cell>
        </row>
        <row r="54">
          <cell r="D54">
            <v>-0.29999999999999899</v>
          </cell>
          <cell r="E54">
            <v>-0.94416422129888811</v>
          </cell>
          <cell r="G54">
            <v>2.7954340116167531</v>
          </cell>
          <cell r="H54">
            <v>-13.209423954504226</v>
          </cell>
          <cell r="K54">
            <v>-13.211300224333833</v>
          </cell>
          <cell r="M54">
            <v>-13.211300224333833</v>
          </cell>
        </row>
        <row r="55">
          <cell r="D55">
            <v>-0.27999999999999903</v>
          </cell>
          <cell r="E55">
            <v>-0.95206616633097063</v>
          </cell>
          <cell r="G55">
            <v>2.8101742968696644</v>
          </cell>
          <cell r="H55">
            <v>-13.319976906670078</v>
          </cell>
          <cell r="K55">
            <v>-13.321637392032155</v>
          </cell>
          <cell r="M55">
            <v>-13.321637392032155</v>
          </cell>
        </row>
        <row r="56">
          <cell r="D56">
            <v>-0.25999999999999901</v>
          </cell>
          <cell r="E56">
            <v>-0.95926735109787054</v>
          </cell>
          <cell r="G56">
            <v>2.8249145821225756</v>
          </cell>
          <cell r="H56">
            <v>-13.420725802269867</v>
          </cell>
          <cell r="K56">
            <v>-13.422183777990725</v>
          </cell>
          <cell r="M56">
            <v>-13.422183777990725</v>
          </cell>
        </row>
        <row r="57">
          <cell r="D57">
            <v>-0.23999999999999899</v>
          </cell>
          <cell r="E57">
            <v>-0.96579401204829929</v>
          </cell>
          <cell r="G57">
            <v>2.8396548673754869</v>
          </cell>
          <cell r="H57">
            <v>-13.512037704962937</v>
          </cell>
          <cell r="K57">
            <v>-13.513306499184115</v>
          </cell>
          <cell r="M57">
            <v>-13.513306499184115</v>
          </cell>
        </row>
        <row r="58">
          <cell r="D58">
            <v>-0.219999999999999</v>
          </cell>
          <cell r="E58">
            <v>-0.97167156558836776</v>
          </cell>
          <cell r="G58">
            <v>2.8543951526283982</v>
          </cell>
          <cell r="H58">
            <v>-13.594268205520619</v>
          </cell>
          <cell r="K58">
            <v>-13.595361118327865</v>
          </cell>
          <cell r="M58">
            <v>-13.595361118327865</v>
          </cell>
        </row>
        <row r="59">
          <cell r="D59">
            <v>-0.19999999999999901</v>
          </cell>
          <cell r="E59">
            <v>-0.97692463185847644</v>
          </cell>
          <cell r="G59">
            <v>2.869135437881309</v>
          </cell>
          <cell r="H59">
            <v>-13.6677617544792</v>
          </cell>
          <cell r="K59">
            <v>-13.668691984460018</v>
          </cell>
          <cell r="M59">
            <v>-13.668691984460018</v>
          </cell>
        </row>
        <row r="60">
          <cell r="D60">
            <v>-0.17999999999999899</v>
          </cell>
          <cell r="E60">
            <v>-0.98157705784908567</v>
          </cell>
          <cell r="G60">
            <v>2.8838757231342207</v>
          </cell>
          <cell r="H60">
            <v>-13.732851985543419</v>
          </cell>
          <cell r="K60">
            <v>-13.733632563770104</v>
          </cell>
          <cell r="M60">
            <v>-13.733632563770104</v>
          </cell>
        </row>
        <row r="61">
          <cell r="D61">
            <v>-0.159999999999999</v>
          </cell>
          <cell r="E61">
            <v>-0.98565193987322175</v>
          </cell>
          <cell r="G61">
            <v>2.898616008387132</v>
          </cell>
          <cell r="H61">
            <v>-13.789862029990296</v>
          </cell>
          <cell r="K61">
            <v>-13.790505760950897</v>
          </cell>
          <cell r="M61">
            <v>-13.790505760950897</v>
          </cell>
        </row>
        <row r="62">
          <cell r="D62">
            <v>-0.13999999999999899</v>
          </cell>
          <cell r="E62">
            <v>-0.98917164541311486</v>
          </cell>
          <cell r="G62">
            <v>2.9133562936400432</v>
          </cell>
          <cell r="H62">
            <v>-13.839104822316726</v>
          </cell>
          <cell r="K62">
            <v>-13.839624231340949</v>
          </cell>
          <cell r="M62">
            <v>-13.839624231340949</v>
          </cell>
        </row>
        <row r="63">
          <cell r="D63">
            <v>-0.119999999999999</v>
          </cell>
          <cell r="E63">
            <v>-0.99215783435789684</v>
          </cell>
          <cell r="G63">
            <v>2.9280965788929545</v>
          </cell>
          <cell r="H63">
            <v>-13.88088339736759</v>
          </cell>
          <cell r="K63">
            <v>-13.881290684117793</v>
          </cell>
          <cell r="M63">
            <v>-13.881290684117793</v>
          </cell>
        </row>
        <row r="64">
          <cell r="D64">
            <v>-9.9999999999999006E-2</v>
          </cell>
          <cell r="E64">
            <v>-0.99463147964883747</v>
          </cell>
          <cell r="G64">
            <v>2.9428368641458653</v>
          </cell>
          <cell r="H64">
            <v>-13.915491179175026</v>
          </cell>
          <cell r="K64">
            <v>-13.915798176794976</v>
          </cell>
          <cell r="M64">
            <v>-13.915798176794976</v>
          </cell>
        </row>
        <row r="65">
          <cell r="D65">
            <v>-7.9999999999999002E-2</v>
          </cell>
          <cell r="E65">
            <v>-0.99661288734817499</v>
          </cell>
          <cell r="G65">
            <v>2.957577149398777</v>
          </cell>
          <cell r="H65">
            <v>-13.943212261733377</v>
          </cell>
          <cell r="K65">
            <v>-13.943430401268698</v>
          </cell>
          <cell r="M65">
            <v>-13.943430401268698</v>
          </cell>
        </row>
        <row r="66">
          <cell r="D66">
            <v>-5.9999999999999103E-2</v>
          </cell>
          <cell r="E66">
            <v>-0.99812171614715162</v>
          </cell>
          <cell r="G66">
            <v>2.9723174346516879</v>
          </cell>
          <cell r="H66">
            <v>-13.964321681928338</v>
          </cell>
          <cell r="K66">
            <v>-13.964461961652857</v>
          </cell>
          <cell r="M66">
            <v>-13.964461961652857</v>
          </cell>
        </row>
        <row r="67">
          <cell r="D67">
            <v>-3.9999999999999002E-2</v>
          </cell>
          <cell r="E67">
            <v>-0.99917699632847168</v>
          </cell>
          <cell r="G67">
            <v>2.9870577199045996</v>
          </cell>
          <cell r="H67">
            <v>-13.979085684833118</v>
          </cell>
          <cell r="K67">
            <v>-13.979158644134884</v>
          </cell>
          <cell r="M67">
            <v>-13.979158644134884</v>
          </cell>
        </row>
        <row r="68">
          <cell r="D68">
            <v>-1.9999999999999001E-2</v>
          </cell>
          <cell r="E68">
            <v>-0.99979714819798471</v>
          </cell>
          <cell r="G68">
            <v>3.0017980051575108</v>
          </cell>
          <cell r="H68">
            <v>-13.987761981578727</v>
          </cell>
          <cell r="K68">
            <v>-13.987777679077961</v>
          </cell>
          <cell r="M68">
            <v>-13.987777679077961</v>
          </cell>
        </row>
        <row r="69">
          <cell r="D69">
            <v>0</v>
          </cell>
          <cell r="E69">
            <v>-1</v>
          </cell>
          <cell r="G69">
            <v>3.0165382904104212</v>
          </cell>
          <cell r="H69">
            <v>-13.990600000000001</v>
          </cell>
          <cell r="K69">
            <v>-13.990567995588984</v>
          </cell>
          <cell r="M69">
            <v>-13.990567995588984</v>
          </cell>
        </row>
        <row r="70">
          <cell r="D70">
            <v>0.02</v>
          </cell>
          <cell r="E70">
            <v>-0.99980280533027688</v>
          </cell>
          <cell r="G70">
            <v>3.0312785756633325</v>
          </cell>
          <cell r="H70">
            <v>-13.987841128253772</v>
          </cell>
          <cell r="K70">
            <v>-13.98777046876552</v>
          </cell>
          <cell r="M70">
            <v>-13.98777046876552</v>
          </cell>
        </row>
        <row r="71">
          <cell r="D71">
            <v>0.04</v>
          </cell>
          <cell r="E71">
            <v>-0.99922226006033454</v>
          </cell>
          <cell r="G71">
            <v>3.0460188609162442</v>
          </cell>
          <cell r="H71">
            <v>-13.979718951600116</v>
          </cell>
          <cell r="K71">
            <v>-13.979618159828936</v>
          </cell>
          <cell r="M71">
            <v>-13.979618159828936</v>
          </cell>
        </row>
        <row r="72">
          <cell r="D72">
            <v>6.0000000000000102E-2</v>
          </cell>
          <cell r="E72">
            <v>-0.99827451878638729</v>
          </cell>
          <cell r="G72">
            <v>3.060759146169155</v>
          </cell>
          <cell r="H72">
            <v>-13.96645948253283</v>
          </cell>
          <cell r="K72">
            <v>-13.966336549345113</v>
          </cell>
          <cell r="M72">
            <v>-13.966336549345113</v>
          </cell>
        </row>
        <row r="73">
          <cell r="D73">
            <v>8.0000000000000099E-2</v>
          </cell>
          <cell r="E73">
            <v>-0.99697521081584195</v>
          </cell>
          <cell r="G73">
            <v>3.0754994314220663</v>
          </cell>
          <cell r="H73">
            <v>-13.948281384440119</v>
          </cell>
          <cell r="K73">
            <v>-13.948143763728428</v>
          </cell>
          <cell r="M73">
            <v>-13.948143763728428</v>
          </cell>
        </row>
        <row r="74">
          <cell r="D74">
            <v>0.1</v>
          </cell>
          <cell r="E74">
            <v>-0.9953394557039591</v>
          </cell>
          <cell r="G74">
            <v>3.0902397166749771</v>
          </cell>
          <cell r="H74">
            <v>-13.92539618897181</v>
          </cell>
          <cell r="K74">
            <v>-13.925250795219361</v>
          </cell>
          <cell r="M74">
            <v>-13.925250795219361</v>
          </cell>
        </row>
        <row r="75">
          <cell r="D75">
            <v>0.12</v>
          </cell>
          <cell r="E75">
            <v>-0.99338187835293923</v>
          </cell>
          <cell r="G75">
            <v>3.1049800019278888</v>
          </cell>
          <cell r="H75">
            <v>-13.898008507284631</v>
          </cell>
          <cell r="K75">
            <v>-13.897861715520458</v>
          </cell>
          <cell r="M75">
            <v>-13.897861715520458</v>
          </cell>
        </row>
        <row r="76">
          <cell r="D76">
            <v>0.14000000000000001</v>
          </cell>
          <cell r="E76">
            <v>-0.99111662368537157</v>
          </cell>
          <cell r="G76">
            <v>3.1197202871808001</v>
          </cell>
          <cell r="H76">
            <v>-13.86631623533256</v>
          </cell>
          <cell r="K76">
            <v>-13.8661738832705</v>
          </cell>
          <cell r="M76">
            <v>-13.8661738832705</v>
          </cell>
        </row>
        <row r="77">
          <cell r="D77">
            <v>0.16</v>
          </cell>
          <cell r="E77">
            <v>-0.98855737090366735</v>
          </cell>
          <cell r="G77">
            <v>3.1344605724337109</v>
          </cell>
          <cell r="H77">
            <v>-13.830510753364848</v>
          </cell>
          <cell r="K77">
            <v>-13.830378145531441</v>
          </cell>
          <cell r="M77">
            <v>-13.830378145531441</v>
          </cell>
        </row>
        <row r="78">
          <cell r="D78">
            <v>0.18</v>
          </cell>
          <cell r="E78">
            <v>-0.98571734734678207</v>
          </cell>
          <cell r="G78">
            <v>3.1492008576866231</v>
          </cell>
          <cell r="H78">
            <v>-13.79077711978989</v>
          </cell>
          <cell r="K78">
            <v>-13.790659033457832</v>
          </cell>
          <cell r="M78">
            <v>-13.790659033457832</v>
          </cell>
        </row>
        <row r="79">
          <cell r="D79">
            <v>0.2</v>
          </cell>
          <cell r="E79">
            <v>-0.98260934195523975</v>
          </cell>
          <cell r="G79">
            <v>3.1639411429395339</v>
          </cell>
          <cell r="H79">
            <v>-13.747294259558977</v>
          </cell>
          <cell r="K79">
            <v>-13.747194952313839</v>
          </cell>
          <cell r="M79">
            <v>-13.747194952313839</v>
          </cell>
        </row>
        <row r="80">
          <cell r="D80">
            <v>0.22</v>
          </cell>
          <cell r="E80">
            <v>-0.97924571835517205</v>
          </cell>
          <cell r="G80">
            <v>3.1786814281924451</v>
          </cell>
          <cell r="H80">
            <v>-13.700235147219871</v>
          </cell>
          <cell r="K80">
            <v>-13.700158365997977</v>
          </cell>
          <cell r="M80">
            <v>-13.700158365997977</v>
          </cell>
        </row>
        <row r="81">
          <cell r="D81">
            <v>0.24</v>
          </cell>
          <cell r="E81">
            <v>-0.97563842757179953</v>
          </cell>
          <cell r="G81">
            <v>3.1934217134453569</v>
          </cell>
          <cell r="H81">
            <v>-13.649766984786018</v>
          </cell>
          <cell r="K81">
            <v>-13.649715976231583</v>
          </cell>
          <cell r="M81">
            <v>-13.649715976231583</v>
          </cell>
        </row>
        <row r="82">
          <cell r="D82">
            <v>0.26</v>
          </cell>
          <cell r="E82">
            <v>-0.97179902038250987</v>
          </cell>
          <cell r="G82">
            <v>3.2081619986982677</v>
          </cell>
          <cell r="H82">
            <v>-13.596051374563542</v>
          </cell>
          <cell r="K82">
            <v>-13.596028896562355</v>
          </cell>
          <cell r="M82">
            <v>-13.596028896562355</v>
          </cell>
        </row>
        <row r="83">
          <cell r="D83">
            <v>0.28000000000000003</v>
          </cell>
          <cell r="E83">
            <v>-0.96773865931940739</v>
          </cell>
          <cell r="G83">
            <v>3.2229022839511789</v>
          </cell>
          <cell r="H83">
            <v>-13.5392444870741</v>
          </cell>
          <cell r="K83">
            <v>-13.539252821330152</v>
          </cell>
          <cell r="M83">
            <v>-13.539252821330152</v>
          </cell>
        </row>
        <row r="84">
          <cell r="D84">
            <v>0.3</v>
          </cell>
          <cell r="E84">
            <v>-0.96346813033095091</v>
          </cell>
          <cell r="G84">
            <v>3.2376425692040898</v>
          </cell>
          <cell r="H84">
            <v>-13.479497224208203</v>
          </cell>
          <cell r="K84">
            <v>-13.479538189738156</v>
          </cell>
          <cell r="M84">
            <v>-13.479538189738156</v>
          </cell>
        </row>
        <row r="85">
          <cell r="D85">
            <v>0.32</v>
          </cell>
          <cell r="E85">
            <v>-0.95899785411203986</v>
          </cell>
          <cell r="G85">
            <v>3.2523828544570019</v>
          </cell>
          <cell r="H85">
            <v>-13.416955377739907</v>
          </cell>
          <cell r="K85">
            <v>-13.417030345168321</v>
          </cell>
          <cell r="M85">
            <v>-13.417030345168321</v>
          </cell>
        </row>
        <row r="86">
          <cell r="D86">
            <v>0.34</v>
          </cell>
          <cell r="E86">
            <v>-0.95433789711165373</v>
          </cell>
          <cell r="G86">
            <v>3.2671231397099127</v>
          </cell>
          <cell r="H86">
            <v>-13.351759783330303</v>
          </cell>
          <cell r="K86">
            <v>-13.351869689876359</v>
          </cell>
          <cell r="M86">
            <v>-13.351869689876359</v>
          </cell>
        </row>
        <row r="87">
          <cell r="D87">
            <v>0.36</v>
          </cell>
          <cell r="E87">
            <v>-0.94949798222690884</v>
          </cell>
          <cell r="G87">
            <v>3.281863424962824</v>
          </cell>
          <cell r="H87">
            <v>-13.284046470143792</v>
          </cell>
          <cell r="K87">
            <v>-13.284191835197381</v>
          </cell>
          <cell r="M87">
            <v>-13.284191835197381</v>
          </cell>
        </row>
        <row r="88">
          <cell r="D88">
            <v>0.38</v>
          </cell>
          <cell r="E88">
            <v>-0.94448749919216157</v>
          </cell>
          <cell r="G88">
            <v>3.2966037102157357</v>
          </cell>
          <cell r="H88">
            <v>-13.213946806197855</v>
          </cell>
          <cell r="K88">
            <v>-13.214127747389986</v>
          </cell>
          <cell r="M88">
            <v>-13.214127747389986</v>
          </cell>
        </row>
        <row r="89">
          <cell r="D89">
            <v>0.4</v>
          </cell>
          <cell r="E89">
            <v>-0.93931551467154795</v>
          </cell>
          <cell r="G89">
            <v>3.3113439954686466</v>
          </cell>
          <cell r="H89">
            <v>-13.14158763956376</v>
          </cell>
          <cell r="K89">
            <v>-13.141803889242738</v>
          </cell>
          <cell r="M89">
            <v>-13.141803889242738</v>
          </cell>
        </row>
        <row r="90">
          <cell r="D90">
            <v>0.42</v>
          </cell>
          <cell r="E90">
            <v>-0.93399078206313568</v>
          </cell>
          <cell r="G90">
            <v>3.3260842807215578</v>
          </cell>
          <cell r="H90">
            <v>-13.067091435532507</v>
          </cell>
          <cell r="K90">
            <v>-13.067342357563501</v>
          </cell>
          <cell r="M90">
            <v>-13.067342357563501</v>
          </cell>
        </row>
        <row r="91">
          <cell r="D91">
            <v>0.44</v>
          </cell>
          <cell r="E91">
            <v>-0.9285217510226349</v>
          </cell>
          <cell r="G91">
            <v>3.3408245659744686</v>
          </cell>
          <cell r="H91">
            <v>-12.990576409857276</v>
          </cell>
          <cell r="K91">
            <v>-12.990861016668918</v>
          </cell>
          <cell r="M91">
            <v>-12.990861016668918</v>
          </cell>
        </row>
        <row r="92">
          <cell r="D92">
            <v>0.46</v>
          </cell>
          <cell r="E92">
            <v>-0.92291657671440541</v>
          </cell>
          <cell r="G92">
            <v>3.3555648512273804</v>
          </cell>
          <cell r="H92">
            <v>-12.91215665818056</v>
          </cell>
          <cell r="K92">
            <v>-12.912473627987715</v>
          </cell>
          <cell r="M92">
            <v>-12.912473627987715</v>
          </cell>
        </row>
        <row r="93">
          <cell r="D93">
            <v>0.48</v>
          </cell>
          <cell r="E93">
            <v>-0.91718312879729214</v>
          </cell>
          <cell r="G93">
            <v>3.3703051364802916</v>
          </cell>
          <cell r="H93">
            <v>-12.831942281751397</v>
          </cell>
          <cell r="K93">
            <v>-12.832289975888598</v>
          </cell>
          <cell r="M93">
            <v>-12.832289975888598</v>
          </cell>
        </row>
        <row r="94">
          <cell r="D94">
            <v>0.5</v>
          </cell>
          <cell r="E94">
            <v>-0.91132900015261253</v>
          </cell>
          <cell r="G94">
            <v>3.3850454217332029</v>
          </cell>
          <cell r="H94">
            <v>-12.750039509535142</v>
          </cell>
          <cell r="K94">
            <v>-12.750415989840123</v>
          </cell>
          <cell r="M94">
            <v>-12.750415989840123</v>
          </cell>
        </row>
        <row r="95">
          <cell r="D95">
            <v>0.52</v>
          </cell>
          <cell r="E95">
            <v>-0.9053615153614285</v>
          </cell>
          <cell r="G95">
            <v>3.3997857069861146</v>
          </cell>
          <cell r="H95">
            <v>-12.666550816815603</v>
          </cell>
          <cell r="K95">
            <v>-12.666953863007169</v>
          </cell>
          <cell r="M95">
            <v>-12.666953863007169</v>
          </cell>
        </row>
        <row r="96">
          <cell r="D96">
            <v>0.54</v>
          </cell>
          <cell r="E96">
            <v>-0.89928773893803826</v>
          </cell>
          <cell r="G96">
            <v>3.4145259922390254</v>
          </cell>
          <cell r="H96">
            <v>-12.58157504038652</v>
          </cell>
          <cell r="K96">
            <v>-12.582002167385458</v>
          </cell>
          <cell r="M96">
            <v>-12.582002167385458</v>
          </cell>
        </row>
        <row r="97">
          <cell r="D97">
            <v>0.56000000000000005</v>
          </cell>
          <cell r="E97">
            <v>-0.8931144833264415</v>
          </cell>
          <cell r="G97">
            <v>3.4292662774919367</v>
          </cell>
          <cell r="H97">
            <v>-12.495207490426912</v>
          </cell>
          <cell r="K97">
            <v>-12.495655965572787</v>
          </cell>
          <cell r="M97">
            <v>-12.495655965572787</v>
          </cell>
        </row>
        <row r="98">
          <cell r="D98">
            <v>0.57999999999999996</v>
          </cell>
          <cell r="E98">
            <v>-0.88684831666634423</v>
          </cell>
          <cell r="G98">
            <v>3.4440065627448475</v>
          </cell>
          <cell r="H98">
            <v>-12.407540059152156</v>
          </cell>
          <cell r="K98">
            <v>-12.40800691927304</v>
          </cell>
          <cell r="M98">
            <v>-12.40800691927304</v>
          </cell>
        </row>
        <row r="99">
          <cell r="D99">
            <v>0.6</v>
          </cell>
          <cell r="E99">
            <v>-0.88049557033509873</v>
          </cell>
          <cell r="G99">
            <v>3.4587468479977592</v>
          </cell>
          <cell r="H99">
            <v>-12.318661326330233</v>
          </cell>
          <cell r="K99">
            <v>-12.319143394625925</v>
          </cell>
          <cell r="M99">
            <v>-12.319143394625925</v>
          </cell>
        </row>
        <row r="100">
          <cell r="D100">
            <v>0.62</v>
          </cell>
          <cell r="E100">
            <v>-0.87406234627179491</v>
          </cell>
          <cell r="G100">
            <v>3.4734871332506705</v>
          </cell>
          <cell r="H100">
            <v>-12.228656661750174</v>
          </cell>
          <cell r="K100">
            <v>-12.229150564453249</v>
          </cell>
          <cell r="M100">
            <v>-12.229150564453249</v>
          </cell>
        </row>
        <row r="101">
          <cell r="D101">
            <v>0.64</v>
          </cell>
          <cell r="E101">
            <v>-0.86755452408955613</v>
          </cell>
          <cell r="G101">
            <v>3.4882274185035813</v>
          </cell>
          <cell r="H101">
            <v>-12.137608324727344</v>
          </cell>
          <cell r="K101">
            <v>-12.138110507509566</v>
          </cell>
          <cell r="M101">
            <v>-12.138110507509566</v>
          </cell>
        </row>
        <row r="102">
          <cell r="D102">
            <v>0.66</v>
          </cell>
          <cell r="E102">
            <v>-0.86097776798192727</v>
          </cell>
          <cell r="G102">
            <v>3.5029677037564935</v>
          </cell>
          <cell r="H102">
            <v>-12.045595560727952</v>
          </cell>
          <cell r="K102">
            <v>-12.04610230482283</v>
          </cell>
          <cell r="M102">
            <v>-12.04610230482283</v>
          </cell>
        </row>
        <row r="103">
          <cell r="D103">
            <v>0.68</v>
          </cell>
          <cell r="E103">
            <v>-0.85433753342908558</v>
          </cell>
          <cell r="G103">
            <v>3.5177079890094043</v>
          </cell>
          <cell r="H103">
            <v>-11.952694695192966</v>
          </cell>
          <cell r="K103">
            <v>-11.953202133208208</v>
          </cell>
          <cell r="M103">
            <v>-11.953202133208208</v>
          </cell>
        </row>
        <row r="104">
          <cell r="D104">
            <v>0.7</v>
          </cell>
          <cell r="E104">
            <v>-0.84763907370944391</v>
          </cell>
          <cell r="G104">
            <v>3.5324482742623156</v>
          </cell>
          <cell r="H104">
            <v>-11.858979224639347</v>
          </cell>
          <cell r="K104">
            <v>-11.859483356035646</v>
          </cell>
          <cell r="M104">
            <v>-11.859483356035646</v>
          </cell>
        </row>
        <row r="105">
          <cell r="D105">
            <v>0.72</v>
          </cell>
          <cell r="E105">
            <v>-0.84088744622207556</v>
          </cell>
          <cell r="G105">
            <v>3.5471885595152264</v>
          </cell>
          <cell r="H105">
            <v>-11.764519905114572</v>
          </cell>
          <cell r="K105">
            <v>-11.765016611329948</v>
          </cell>
          <cell r="M105">
            <v>-11.765016611329948</v>
          </cell>
        </row>
        <row r="106">
          <cell r="D106">
            <v>0.74</v>
          </cell>
          <cell r="E106">
            <v>-0.83408751862523134</v>
          </cell>
          <cell r="G106">
            <v>3.5619288447681381</v>
          </cell>
          <cell r="H106">
            <v>-11.669384838078162</v>
          </cell>
          <cell r="K106">
            <v>-11.669869897279444</v>
          </cell>
          <cell r="M106">
            <v>-11.669869897279444</v>
          </cell>
        </row>
        <row r="107">
          <cell r="D107">
            <v>0.76</v>
          </cell>
          <cell r="E107">
            <v>-0.82724397479608569</v>
          </cell>
          <cell r="G107">
            <v>3.5766691300210494</v>
          </cell>
          <cell r="H107">
            <v>-11.573639553782119</v>
          </cell>
          <cell r="K107">
            <v>-11.574108655227461</v>
          </cell>
          <cell r="M107">
            <v>-11.574108655227461</v>
          </cell>
        </row>
        <row r="108">
          <cell r="D108">
            <v>0.78</v>
          </cell>
          <cell r="E108">
            <v>-0.82036132061670475</v>
          </cell>
          <cell r="G108">
            <v>3.5914094152739602</v>
          </cell>
          <cell r="H108">
            <v>-11.47734709222007</v>
          </cell>
          <cell r="K108">
            <v>-11.477795850218627</v>
          </cell>
          <cell r="M108">
            <v>-11.477795850218627</v>
          </cell>
        </row>
        <row r="109">
          <cell r="D109">
            <v>0.8</v>
          </cell>
          <cell r="E109">
            <v>-0.81344388959109482</v>
          </cell>
          <cell r="G109">
            <v>3.6061497005268723</v>
          </cell>
          <cell r="H109">
            <v>-11.38056808171317</v>
          </cell>
          <cell r="K109">
            <v>-11.380992049169988</v>
          </cell>
          <cell r="M109">
            <v>-11.380992049169988</v>
          </cell>
        </row>
        <row r="110">
          <cell r="D110">
            <v>0.82</v>
          </cell>
          <cell r="E110">
            <v>-0.80649584829805732</v>
          </cell>
          <cell r="G110">
            <v>3.6208899857797832</v>
          </cell>
          <cell r="H110">
            <v>-11.283360815198801</v>
          </cell>
          <cell r="K110">
            <v>-11.283755496735054</v>
          </cell>
          <cell r="M110">
            <v>-11.283755496735054</v>
          </cell>
        </row>
        <row r="111">
          <cell r="D111">
            <v>0.84</v>
          </cell>
          <cell r="E111">
            <v>-0.7995212016844504</v>
          </cell>
          <cell r="G111">
            <v>3.6356302710326944</v>
          </cell>
          <cell r="H111">
            <v>-11.185781324286472</v>
          </cell>
          <cell r="K111">
            <v>-11.186142188926656</v>
          </cell>
          <cell r="M111">
            <v>-11.186142188926656</v>
          </cell>
        </row>
        <row r="112">
          <cell r="D112">
            <v>0.86</v>
          </cell>
          <cell r="E112">
            <v>-0.79252379820332819</v>
          </cell>
          <cell r="G112">
            <v>3.6503705562856061</v>
          </cell>
          <cell r="H112">
            <v>-11.087883451143485</v>
          </cell>
          <cell r="K112">
            <v>-11.088205944563171</v>
          </cell>
          <cell r="M112">
            <v>-11.088205944563171</v>
          </cell>
        </row>
        <row r="113">
          <cell r="D113">
            <v>0.88</v>
          </cell>
          <cell r="E113">
            <v>-0.78550733480131119</v>
          </cell>
          <cell r="G113">
            <v>3.665110841538517</v>
          </cell>
          <cell r="H113">
            <v>-10.989718918271224</v>
          </cell>
          <cell r="K113">
            <v>-10.989998474600251</v>
          </cell>
          <cell r="M113">
            <v>-10.989998474600251</v>
          </cell>
        </row>
        <row r="114">
          <cell r="D114">
            <v>0.9</v>
          </cell>
          <cell r="E114">
            <v>-0.77847536175941812</v>
          </cell>
          <cell r="G114">
            <v>3.6798511267914282</v>
          </cell>
          <cell r="H114">
            <v>-10.891337396231316</v>
          </cell>
          <cell r="K114">
            <v>-10.891569449408848</v>
          </cell>
          <cell r="M114">
            <v>-10.891569449408848</v>
          </cell>
        </row>
        <row r="115">
          <cell r="D115">
            <v>0.92</v>
          </cell>
          <cell r="E115">
            <v>-0.77143128739148048</v>
          </cell>
          <cell r="G115">
            <v>3.6945914120443399</v>
          </cell>
          <cell r="H115">
            <v>-10.792786569379247</v>
          </cell>
          <cell r="K115">
            <v>-10.792966564058485</v>
          </cell>
          <cell r="M115">
            <v>-10.792966564058485</v>
          </cell>
        </row>
        <row r="116">
          <cell r="D116">
            <v>0.94</v>
          </cell>
          <cell r="E116">
            <v>-0.76437838260414381</v>
          </cell>
          <cell r="G116">
            <v>3.7093316972972508</v>
          </cell>
          <cell r="H116">
            <v>-10.694112199661534</v>
          </cell>
          <cell r="K116">
            <v>-10.69423560166301</v>
          </cell>
          <cell r="M116">
            <v>-10.69423560166301</v>
          </cell>
        </row>
        <row r="117">
          <cell r="D117">
            <v>0.96</v>
          </cell>
          <cell r="E117">
            <v>-0.75731978532234878</v>
          </cell>
          <cell r="G117">
            <v>3.724071982550162</v>
          </cell>
          <cell r="H117">
            <v>-10.595358188530854</v>
          </cell>
          <cell r="K117">
            <v>-10.595420494844452</v>
          </cell>
          <cell r="M117">
            <v>-10.595420494844452</v>
          </cell>
        </row>
        <row r="118">
          <cell r="D118">
            <v>0.98</v>
          </cell>
          <cell r="E118">
            <v>-0.75025850478408929</v>
          </cell>
          <cell r="G118">
            <v>3.7388122678030733</v>
          </cell>
          <cell r="H118">
            <v>-10.496566637032279</v>
          </cell>
          <cell r="K118">
            <v>-10.49656338536917</v>
          </cell>
          <cell r="M118">
            <v>-10.49656338536917</v>
          </cell>
        </row>
        <row r="119">
          <cell r="D119">
            <v>1</v>
          </cell>
          <cell r="E119">
            <v>-0.74319742570812608</v>
          </cell>
          <cell r="G119">
            <v>3.753552553055985</v>
          </cell>
          <cell r="H119">
            <v>-10.397777904112111</v>
          </cell>
          <cell r="K119">
            <v>-10.397704682008726</v>
          </cell>
          <cell r="M119">
            <v>-10.397704682008726</v>
          </cell>
        </row>
        <row r="120">
          <cell r="D120">
            <v>1.02</v>
          </cell>
          <cell r="E120">
            <v>-0.73613931233824748</v>
          </cell>
          <cell r="G120">
            <v>3.7682928383088958</v>
          </cell>
          <cell r="H120">
            <v>-10.299030663199485</v>
          </cell>
          <cell r="K120">
            <v>-10.298883116676672</v>
          </cell>
          <cell r="M120">
            <v>-10.298883116676672</v>
          </cell>
        </row>
        <row r="121">
          <cell r="D121">
            <v>1.04</v>
          </cell>
          <cell r="E121">
            <v>-0.72908681236756079</v>
          </cell>
          <cell r="G121">
            <v>3.7830331235618071</v>
          </cell>
          <cell r="H121">
            <v>-10.200361957109596</v>
          </cell>
          <cell r="K121">
            <v>-10.200135798890695</v>
          </cell>
          <cell r="M121">
            <v>-10.200135798890695</v>
          </cell>
        </row>
        <row r="122">
          <cell r="D122">
            <v>1.06</v>
          </cell>
          <cell r="E122">
            <v>-0.7220424607462087</v>
          </cell>
          <cell r="G122">
            <v>3.7977734088147179</v>
          </cell>
          <cell r="H122">
            <v>-10.101807251315908</v>
          </cell>
          <cell r="K122">
            <v>-10.101498268608546</v>
          </cell>
          <cell r="M122">
            <v>-10.101498268608546</v>
          </cell>
        </row>
        <row r="123">
          <cell r="D123">
            <v>1.08</v>
          </cell>
          <cell r="E123">
            <v>-0.71500868337581081</v>
          </cell>
          <cell r="G123">
            <v>3.8125136940676296</v>
          </cell>
          <cell r="H123">
            <v>-10.00340048563762</v>
          </cell>
          <cell r="K123">
            <v>-10.003004547484394</v>
          </cell>
          <cell r="M123">
            <v>-10.003004547484394</v>
          </cell>
        </row>
        <row r="124">
          <cell r="D124">
            <v>1.1000000000000001</v>
          </cell>
          <cell r="E124">
            <v>-0.70798780069383604</v>
          </cell>
          <cell r="G124">
            <v>3.8272539793205409</v>
          </cell>
          <cell r="H124">
            <v>-9.905174124387182</v>
          </cell>
          <cell r="K124">
            <v>-9.9046871885913124</v>
          </cell>
          <cell r="M124">
            <v>-9.9046871885913124</v>
          </cell>
        </row>
        <row r="125">
          <cell r="D125">
            <v>1.1200000000000001</v>
          </cell>
          <cell r="E125">
            <v>-0.70098203115102786</v>
          </cell>
          <cell r="G125">
            <v>3.8419942645734517</v>
          </cell>
          <cell r="H125">
            <v>-9.8071592050215717</v>
          </cell>
          <cell r="K125">
            <v>-9.8065773246539809</v>
          </cell>
          <cell r="M125">
            <v>-9.8065773246539809</v>
          </cell>
        </row>
        <row r="126">
          <cell r="D126">
            <v>1.1399999999999999</v>
          </cell>
          <cell r="E126">
            <v>-0.69399349458492121</v>
          </cell>
          <cell r="G126">
            <v>3.8567345498263639</v>
          </cell>
          <cell r="H126">
            <v>-9.7093853853397984</v>
          </cell>
          <cell r="K126">
            <v>-9.7087047148346421</v>
          </cell>
          <cell r="M126">
            <v>-9.7087047148346421</v>
          </cell>
        </row>
        <row r="127">
          <cell r="D127">
            <v>1.1599999999999999</v>
          </cell>
          <cell r="E127">
            <v>-0.68702421549239667</v>
          </cell>
          <cell r="G127">
            <v>3.8714748350792747</v>
          </cell>
          <cell r="H127">
            <v>-9.6118809892679238</v>
          </cell>
          <cell r="K127">
            <v>-9.6110977901141297</v>
          </cell>
          <cell r="M127">
            <v>-9.6110977901141297</v>
          </cell>
        </row>
        <row r="128">
          <cell r="D128">
            <v>1.18</v>
          </cell>
          <cell r="E128">
            <v>-0.68007612620414637</v>
          </cell>
          <cell r="G128">
            <v>3.886215120332186</v>
          </cell>
          <cell r="H128">
            <v>-9.5146730512717319</v>
          </cell>
          <cell r="K128">
            <v>-9.5137836973083925</v>
          </cell>
          <cell r="M128">
            <v>-9.5137836973083925</v>
          </cell>
        </row>
        <row r="129">
          <cell r="D129">
            <v>1.2</v>
          </cell>
          <cell r="E129">
            <v>-0.67315106996384566</v>
          </cell>
          <cell r="G129">
            <v>3.9009554055850977</v>
          </cell>
          <cell r="H129">
            <v>-9.4177873594361792</v>
          </cell>
          <cell r="K129">
            <v>-9.4167883417601121</v>
          </cell>
          <cell r="M129">
            <v>-9.4167883417601121</v>
          </cell>
        </row>
        <row r="130">
          <cell r="D130">
            <v>1.22</v>
          </cell>
          <cell r="E130">
            <v>-0.66625080391473634</v>
          </cell>
          <cell r="G130">
            <v>3.9156956908380085</v>
          </cell>
          <cell r="H130">
            <v>-9.3212484972495098</v>
          </cell>
          <cell r="K130">
            <v>-9.3201364287436093</v>
          </cell>
          <cell r="M130">
            <v>-9.3201364287436093</v>
          </cell>
        </row>
        <row r="131">
          <cell r="D131">
            <v>1.24</v>
          </cell>
          <cell r="E131">
            <v>-0.65937700199627591</v>
          </cell>
          <cell r="G131">
            <v>3.9304359760909198</v>
          </cell>
          <cell r="H131">
            <v>-9.225079884129098</v>
          </cell>
          <cell r="K131">
            <v>-9.2238515036202706</v>
          </cell>
          <cell r="M131">
            <v>-9.2238515036202706</v>
          </cell>
        </row>
        <row r="132">
          <cell r="D132">
            <v>1.26</v>
          </cell>
          <cell r="E132">
            <v>-0.65253125775340437</v>
          </cell>
          <cell r="G132">
            <v>3.9451762613438315</v>
          </cell>
          <cell r="H132">
            <v>-9.1293038147247803</v>
          </cell>
          <cell r="K132">
            <v>-9.1279559907806949</v>
          </cell>
          <cell r="M132">
            <v>-9.1279559907806949</v>
          </cell>
        </row>
        <row r="133">
          <cell r="D133">
            <v>1.28</v>
          </cell>
          <cell r="E133">
            <v>-0.64571508706093861</v>
          </cell>
          <cell r="G133">
            <v>3.9599165465967427</v>
          </cell>
          <cell r="H133">
            <v>-9.0339414970347676</v>
          </cell>
          <cell r="K133">
            <v>-9.0324712314087137</v>
          </cell>
          <cell r="M133">
            <v>-9.0324712314087137</v>
          </cell>
        </row>
        <row r="134">
          <cell r="D134">
            <v>1.3</v>
          </cell>
          <cell r="E134">
            <v>-0.63892993076551241</v>
          </cell>
          <cell r="G134">
            <v>3.9746568318496536</v>
          </cell>
          <cell r="H134">
            <v>-8.9390130893679789</v>
          </cell>
          <cell r="K134">
            <v>-8.9374175201013006</v>
          </cell>
          <cell r="M134">
            <v>-8.9374175201013006</v>
          </cell>
        </row>
        <row r="135">
          <cell r="D135">
            <v>1.32</v>
          </cell>
          <cell r="E135">
            <v>-0.63217715724742984</v>
          </cell>
          <cell r="G135">
            <v>3.9893971171025648</v>
          </cell>
          <cell r="H135">
            <v>-8.8445377361858917</v>
          </cell>
          <cell r="K135">
            <v>-8.8428141403777047</v>
          </cell>
          <cell r="M135">
            <v>-8.8428141403777047</v>
          </cell>
        </row>
        <row r="136">
          <cell r="D136">
            <v>1.34</v>
          </cell>
          <cell r="E136">
            <v>-0.62545806490472122</v>
          </cell>
          <cell r="G136">
            <v>4.0041374023554761</v>
          </cell>
          <cell r="H136">
            <v>-8.7505336028559935</v>
          </cell>
          <cell r="K136">
            <v>-8.7486793991099141</v>
          </cell>
          <cell r="M136">
            <v>-8.7486793991099141</v>
          </cell>
        </row>
        <row r="137">
          <cell r="D137">
            <v>1.36</v>
          </cell>
          <cell r="E137">
            <v>-0.61877388456163851</v>
          </cell>
          <cell r="G137">
            <v>4.0188776876083878</v>
          </cell>
          <cell r="H137">
            <v>-8.6570179093480597</v>
          </cell>
          <cell r="K137">
            <v>-8.6550306599058295</v>
          </cell>
          <cell r="M137">
            <v>-8.6550306599058295</v>
          </cell>
        </row>
        <row r="138">
          <cell r="D138">
            <v>1.38</v>
          </cell>
          <cell r="E138">
            <v>-0.61212578180375643</v>
          </cell>
          <cell r="G138">
            <v>4.0336179728612986</v>
          </cell>
          <cell r="H138">
            <v>-8.5640069629036333</v>
          </cell>
          <cell r="K138">
            <v>-8.5618843754755325</v>
          </cell>
          <cell r="M138">
            <v>-8.5618843754755325</v>
          </cell>
        </row>
        <row r="139">
          <cell r="D139">
            <v>1.4</v>
          </cell>
          <cell r="E139">
            <v>-0.60551485924179294</v>
          </cell>
          <cell r="G139">
            <v>4.0483582581142095</v>
          </cell>
          <cell r="H139">
            <v>-8.4715161897082272</v>
          </cell>
          <cell r="K139">
            <v>-8.469256119010165</v>
          </cell>
          <cell r="M139">
            <v>-8.469256119010165</v>
          </cell>
        </row>
        <row r="140">
          <cell r="D140">
            <v>1.42</v>
          </cell>
          <cell r="E140">
            <v>-0.59894215870619683</v>
          </cell>
          <cell r="G140">
            <v>4.0630985433671212</v>
          </cell>
          <cell r="H140">
            <v>-8.3795601655949188</v>
          </cell>
          <cell r="K140">
            <v>-8.3771606146022517</v>
          </cell>
          <cell r="M140">
            <v>-8.3771606146022517</v>
          </cell>
        </row>
        <row r="141">
          <cell r="D141">
            <v>1.44</v>
          </cell>
          <cell r="E141">
            <v>-0.59240866337449882</v>
          </cell>
          <cell r="G141">
            <v>4.0778388286200329</v>
          </cell>
          <cell r="H141">
            <v>-8.2881526458072639</v>
          </cell>
          <cell r="K141">
            <v>-8.2856117667352471</v>
          </cell>
          <cell r="M141">
            <v>-8.2856117667352471</v>
          </cell>
        </row>
        <row r="142">
          <cell r="D142">
            <v>1.46</v>
          </cell>
          <cell r="E142">
            <v>-0.58591529983336632</v>
          </cell>
          <cell r="G142">
            <v>4.0925791138729437</v>
          </cell>
          <cell r="H142">
            <v>-8.1973065938486958</v>
          </cell>
          <cell r="K142">
            <v>-8.1946226888694849</v>
          </cell>
          <cell r="M142">
            <v>-8.1946226888694849</v>
          </cell>
        </row>
        <row r="143">
          <cell r="D143">
            <v>1.48</v>
          </cell>
          <cell r="E143">
            <v>-0.57946294007724475</v>
          </cell>
          <cell r="G143">
            <v>4.1073193991258554</v>
          </cell>
          <cell r="H143">
            <v>-8.1070342094447003</v>
          </cell>
          <cell r="K143">
            <v>-8.1042057311507776</v>
          </cell>
          <cell r="M143">
            <v>-8.1042057311507776</v>
          </cell>
        </row>
        <row r="144">
          <cell r="D144">
            <v>1.5</v>
          </cell>
          <cell r="E144">
            <v>-0.5730524034454203</v>
          </cell>
          <cell r="G144">
            <v>4.1220596843787662</v>
          </cell>
          <cell r="H144">
            <v>-8.0173469556434966</v>
          </cell>
          <cell r="K144">
            <v>-8.0143725072673782</v>
          </cell>
          <cell r="M144">
            <v>-8.0143725072673782</v>
          </cell>
        </row>
        <row r="145">
          <cell r="D145">
            <v>1.52</v>
          </cell>
          <cell r="E145">
            <v>-0.56668445849928384</v>
          </cell>
          <cell r="G145">
            <v>4.1367999696316771</v>
          </cell>
          <cell r="H145">
            <v>-7.9282555850800804</v>
          </cell>
          <cell r="K145">
            <v>-7.9251339204799933</v>
          </cell>
          <cell r="M145">
            <v>-7.9251339204799933</v>
          </cell>
        </row>
        <row r="146">
          <cell r="D146">
            <v>1.54</v>
          </cell>
          <cell r="E146">
            <v>-0.56035982484153168</v>
          </cell>
          <cell r="G146">
            <v>4.1515402548845888</v>
          </cell>
          <cell r="H146">
            <v>-7.8397701654279341</v>
          </cell>
          <cell r="K146">
            <v>-7.8365001888491603</v>
          </cell>
          <cell r="M146">
            <v>-7.8365001888491603</v>
          </cell>
        </row>
        <row r="147">
          <cell r="D147">
            <v>1.56</v>
          </cell>
          <cell r="E147">
            <v>-0.55407917487898251</v>
          </cell>
          <cell r="G147">
            <v>4.1662805401375005</v>
          </cell>
          <cell r="H147">
            <v>-7.7519001040618933</v>
          </cell>
          <cell r="K147">
            <v>-7.7484808696833269</v>
          </cell>
          <cell r="M147">
            <v>-7.7484808696833269</v>
          </cell>
        </row>
        <row r="148">
          <cell r="D148">
            <v>1.58</v>
          </cell>
          <cell r="E148">
            <v>-0.54784313553065089</v>
          </cell>
          <cell r="G148">
            <v>4.1810208253904113</v>
          </cell>
          <cell r="H148">
            <v>-7.6646541719551244</v>
          </cell>
          <cell r="K148">
            <v>-7.6610848832304361</v>
          </cell>
          <cell r="M148">
            <v>-7.6610848832304361</v>
          </cell>
        </row>
        <row r="149">
          <cell r="D149">
            <v>1.6</v>
          </cell>
          <cell r="E149">
            <v>-0.54165228988266778</v>
          </cell>
          <cell r="G149">
            <v>4.195761110643323</v>
          </cell>
          <cell r="H149">
            <v>-7.5780405268324529</v>
          </cell>
          <cell r="K149">
            <v>-7.5743205356351941</v>
          </cell>
          <cell r="M149">
            <v>-7.5743205356351941</v>
          </cell>
        </row>
        <row r="150">
          <cell r="D150">
            <v>1.62</v>
          </cell>
          <cell r="E150">
            <v>-0.53550717879159415</v>
          </cell>
          <cell r="G150">
            <v>4.2105013958962338</v>
          </cell>
          <cell r="H150">
            <v>-7.4920667356016777</v>
          </cell>
          <cell r="K150">
            <v>-7.4881955411835408</v>
          </cell>
          <cell r="M150">
            <v>-7.4881955411835408</v>
          </cell>
        </row>
        <row r="151">
          <cell r="D151">
            <v>1.64</v>
          </cell>
          <cell r="E151">
            <v>-0.5294083024376306</v>
          </cell>
          <cell r="G151">
            <v>4.2252416811491456</v>
          </cell>
          <cell r="H151">
            <v>-7.4067397960839152</v>
          </cell>
          <cell r="K151">
            <v>-7.4027170438551035</v>
          </cell>
          <cell r="M151">
            <v>-7.4027170438551035</v>
          </cell>
        </row>
        <row r="152">
          <cell r="D152">
            <v>1.66</v>
          </cell>
          <cell r="E152">
            <v>-0.52335612182918734</v>
          </cell>
          <cell r="G152">
            <v>4.2399819664020564</v>
          </cell>
          <cell r="H152">
            <v>-7.3220661580634276</v>
          </cell>
          <cell r="K152">
            <v>-7.3178916382040811</v>
          </cell>
          <cell r="M152">
            <v>-7.3178916382040811</v>
          </cell>
        </row>
        <row r="153">
          <cell r="D153">
            <v>1.68</v>
          </cell>
          <cell r="E153">
            <v>-0.5173510602602307</v>
          </cell>
          <cell r="G153">
            <v>4.2547222516549672</v>
          </cell>
          <cell r="H153">
            <v>-7.2380517436767846</v>
          </cell>
          <cell r="K153">
            <v>-7.2337253895881348</v>
          </cell>
          <cell r="M153">
            <v>-7.2337253895881348</v>
          </cell>
        </row>
        <row r="154">
          <cell r="D154">
            <v>1.7</v>
          </cell>
          <cell r="E154">
            <v>-0.51139350472179257</v>
          </cell>
          <cell r="G154">
            <v>4.2694625369078789</v>
          </cell>
          <cell r="H154">
            <v>-7.1547019671607108</v>
          </cell>
          <cell r="K154">
            <v>-7.1502238537645635</v>
          </cell>
          <cell r="M154">
            <v>-7.1502238537645635</v>
          </cell>
        </row>
        <row r="155">
          <cell r="D155">
            <v>1.72</v>
          </cell>
          <cell r="E155">
            <v>-0.50548380726897635</v>
          </cell>
          <cell r="G155">
            <v>4.2842028221607897</v>
          </cell>
          <cell r="H155">
            <v>-7.0720217539773405</v>
          </cell>
          <cell r="K155">
            <v>-7.0673920958722478</v>
          </cell>
          <cell r="M155">
            <v>-7.0673920958722478</v>
          </cell>
        </row>
        <row r="156">
          <cell r="D156">
            <v>1.74</v>
          </cell>
          <cell r="E156">
            <v>-0.49962228634477407</v>
          </cell>
          <cell r="G156">
            <v>4.2989431074137014</v>
          </cell>
          <cell r="H156">
            <v>-6.9900155593351956</v>
          </cell>
          <cell r="K156">
            <v>-6.9852347088175009</v>
          </cell>
          <cell r="M156">
            <v>-6.9852347088175009</v>
          </cell>
        </row>
        <row r="157">
          <cell r="D157">
            <v>1.76</v>
          </cell>
          <cell r="E157">
            <v>-0.4938092280619526</v>
          </cell>
          <cell r="G157">
            <v>4.3136833926666132</v>
          </cell>
          <cell r="H157">
            <v>-6.908687386123554</v>
          </cell>
          <cell r="K157">
            <v>-6.9037558310814218</v>
          </cell>
          <cell r="M157">
            <v>-6.9037558310814218</v>
          </cell>
        </row>
        <row r="158">
          <cell r="D158">
            <v>1.78</v>
          </cell>
          <cell r="E158">
            <v>-0.48804488744424745</v>
          </cell>
          <cell r="G158">
            <v>4.328423677919524</v>
          </cell>
          <cell r="H158">
            <v>-6.8280408022774886</v>
          </cell>
          <cell r="K158">
            <v>-6.8229591639656757</v>
          </cell>
          <cell r="M158">
            <v>-6.8229591639656757</v>
          </cell>
        </row>
        <row r="159">
          <cell r="D159">
            <v>1.8</v>
          </cell>
          <cell r="E159">
            <v>-0.48232948962805822</v>
          </cell>
          <cell r="G159">
            <v>4.3431639631724348</v>
          </cell>
          <cell r="H159">
            <v>-6.7480789575903106</v>
          </cell>
          <cell r="K159">
            <v>-6.7428479882933932</v>
          </cell>
          <cell r="M159">
            <v>-6.7428479882933932</v>
          </cell>
        </row>
        <row r="160">
          <cell r="D160">
            <v>1.82</v>
          </cell>
          <cell r="E160">
            <v>-0.47666323102581049</v>
          </cell>
          <cell r="G160">
            <v>4.3579042484253465</v>
          </cell>
          <cell r="H160">
            <v>-6.6688045999897048</v>
          </cell>
          <cell r="K160">
            <v>-6.6634251805812132</v>
          </cell>
          <cell r="M160">
            <v>-6.6634251805812132</v>
          </cell>
        </row>
        <row r="161">
          <cell r="D161">
            <v>1.84</v>
          </cell>
          <cell r="E161">
            <v>-0.47104628045211383</v>
          </cell>
          <cell r="G161">
            <v>4.3726445336782582</v>
          </cell>
          <cell r="H161">
            <v>-6.5902200912933431</v>
          </cell>
          <cell r="K161">
            <v>-6.5846932286981268</v>
          </cell>
          <cell r="M161">
            <v>-6.5846932286981268</v>
          </cell>
        </row>
        <row r="162">
          <cell r="D162">
            <v>1.86</v>
          </cell>
          <cell r="E162">
            <v>-0.46547878021381628</v>
          </cell>
          <cell r="G162">
            <v>4.3873848189311691</v>
          </cell>
          <cell r="H162">
            <v>-6.5123274224594185</v>
          </cell>
          <cell r="K162">
            <v>-6.5066542470262512</v>
          </cell>
          <cell r="M162">
            <v>-6.5066542470262512</v>
          </cell>
        </row>
        <row r="163">
          <cell r="D163">
            <v>1.88</v>
          </cell>
          <cell r="E163">
            <v>-0.45996084716502078</v>
          </cell>
          <cell r="G163">
            <v>4.4021251041840799</v>
          </cell>
          <cell r="H163">
            <v>-6.4351282283469402</v>
          </cell>
          <cell r="K163">
            <v>-6.4293099911383402</v>
          </cell>
          <cell r="M163">
            <v>-6.4293099911383402</v>
          </cell>
        </row>
        <row r="164">
          <cell r="D164">
            <v>1.9</v>
          </cell>
          <cell r="E164">
            <v>-0.45449257372810403</v>
          </cell>
          <cell r="G164">
            <v>4.4168653894369907</v>
          </cell>
          <cell r="H164">
            <v>-6.3586238020004124</v>
          </cell>
          <cell r="K164">
            <v>-6.3526618720063341</v>
          </cell>
          <cell r="M164">
            <v>-6.3526618720063341</v>
          </cell>
        </row>
        <row r="165">
          <cell r="D165">
            <v>1.92</v>
          </cell>
          <cell r="E165">
            <v>-0.4490740288817433</v>
          </cell>
          <cell r="G165">
            <v>4.4316056746899033</v>
          </cell>
          <cell r="H165">
            <v>-6.282815108472918</v>
          </cell>
          <cell r="K165">
            <v>-6.2767109697548369</v>
          </cell>
          <cell r="M165">
            <v>-6.2767109697548369</v>
          </cell>
        </row>
        <row r="166">
          <cell r="D166">
            <v>1.94</v>
          </cell>
          <cell r="E166">
            <v>-0.44370525911693209</v>
          </cell>
          <cell r="G166">
            <v>4.4463459599428141</v>
          </cell>
          <cell r="H166">
            <v>-6.2077027982013506</v>
          </cell>
          <cell r="K166">
            <v>-6.2014580469730847</v>
          </cell>
          <cell r="M166">
            <v>-6.2014580469730847</v>
          </cell>
        </row>
        <row r="167">
          <cell r="D167">
            <v>1.96</v>
          </cell>
          <cell r="E167">
            <v>-0.43838628936193652</v>
          </cell>
          <cell r="G167">
            <v>4.4610862451957249</v>
          </cell>
          <cell r="H167">
            <v>-6.1332872199471096</v>
          </cell>
          <cell r="K167">
            <v>-6.1269035615984153</v>
          </cell>
          <cell r="M167">
            <v>-6.1269035615984153</v>
          </cell>
        </row>
        <row r="168">
          <cell r="D168">
            <v>1.98</v>
          </cell>
          <cell r="E168">
            <v>-0.43311712387711726</v>
          </cell>
          <cell r="G168">
            <v>4.4758265304486367</v>
          </cell>
          <cell r="H168">
            <v>-6.0595684333151967</v>
          </cell>
          <cell r="K168">
            <v>-6.0530476793841448</v>
          </cell>
          <cell r="M168">
            <v>-6.0530476793841448</v>
          </cell>
        </row>
        <row r="169">
          <cell r="D169">
            <v>2</v>
          </cell>
          <cell r="E169">
            <v>-0.42789774712051465</v>
          </cell>
          <cell r="G169">
            <v>4.4905668157015475</v>
          </cell>
          <cell r="H169">
            <v>-5.9865462208642732</v>
          </cell>
          <cell r="K169">
            <v>-5.9798902859641254</v>
          </cell>
          <cell r="M169">
            <v>-5.9798902859641254</v>
          </cell>
        </row>
        <row r="170">
          <cell r="D170">
            <v>2.02</v>
          </cell>
          <cell r="E170">
            <v>-0.42272812458507192</v>
          </cell>
          <cell r="G170">
            <v>4.5053071009544592</v>
          </cell>
          <cell r="H170">
            <v>-5.9142200998199081</v>
          </cell>
          <cell r="K170">
            <v>-5.9074309985259914</v>
          </cell>
          <cell r="M170">
            <v>-5.9074309985259914</v>
          </cell>
        </row>
        <row r="171">
          <cell r="D171">
            <v>2.04</v>
          </cell>
          <cell r="E171">
            <v>-0.41760820360834283</v>
          </cell>
          <cell r="G171">
            <v>4.5200473862073709</v>
          </cell>
          <cell r="H171">
            <v>-5.8425893334028816</v>
          </cell>
          <cell r="K171">
            <v>-5.8356691771048634</v>
          </cell>
          <cell r="M171">
            <v>-5.8356691771048634</v>
          </cell>
        </row>
        <row r="172">
          <cell r="D172">
            <v>2.06</v>
          </cell>
          <cell r="E172">
            <v>-0.41253791415550856</v>
          </cell>
          <cell r="G172">
            <v>4.5347876714602817</v>
          </cell>
          <cell r="H172">
            <v>-5.7716529417840574</v>
          </cell>
          <cell r="K172">
            <v>-5.7646039355087755</v>
          </cell>
          <cell r="M172">
            <v>-5.7646039355087755</v>
          </cell>
        </row>
        <row r="173">
          <cell r="D173">
            <v>2.08</v>
          </cell>
          <cell r="E173">
            <v>-0.40751716957650441</v>
          </cell>
          <cell r="G173">
            <v>4.5495279567131925</v>
          </cell>
          <cell r="H173">
            <v>-5.7014097126770427</v>
          </cell>
          <cell r="K173">
            <v>-5.6942341518868407</v>
          </cell>
          <cell r="M173">
            <v>-5.6942341518868407</v>
          </cell>
        </row>
        <row r="174">
          <cell r="D174">
            <v>2.1</v>
          </cell>
          <cell r="E174">
            <v>-0.40254586733803482</v>
          </cell>
          <cell r="G174">
            <v>4.5642682419661043</v>
          </cell>
          <cell r="H174">
            <v>-5.6318582115795106</v>
          </cell>
          <cell r="K174">
            <v>-5.6245584789509024</v>
          </cell>
          <cell r="M174">
            <v>-5.6245584789509024</v>
          </cell>
        </row>
        <row r="175">
          <cell r="D175">
            <v>2.12</v>
          </cell>
          <cell r="E175">
            <v>-0.39762388973122936</v>
          </cell>
          <cell r="G175">
            <v>4.579008527219016</v>
          </cell>
          <cell r="H175">
            <v>-5.5629967916737373</v>
          </cell>
          <cell r="K175">
            <v>-5.555575353861034</v>
          </cell>
          <cell r="M175">
            <v>-5.555575353861034</v>
          </cell>
        </row>
        <row r="176">
          <cell r="D176">
            <v>2.14</v>
          </cell>
          <cell r="E176">
            <v>-0.39275110455567758</v>
          </cell>
          <cell r="G176">
            <v>4.5937488124719268</v>
          </cell>
          <cell r="H176">
            <v>-5.4948236033966626</v>
          </cell>
          <cell r="K176">
            <v>-5.4872830077849519</v>
          </cell>
          <cell r="M176">
            <v>-5.4872830077849519</v>
          </cell>
        </row>
        <row r="177">
          <cell r="D177">
            <v>2.16</v>
          </cell>
          <cell r="E177">
            <v>-0.38792736578055215</v>
          </cell>
          <cell r="G177">
            <v>4.6084890977248385</v>
          </cell>
          <cell r="H177">
            <v>-5.4273366036893922</v>
          </cell>
          <cell r="K177">
            <v>-5.4196794751411446</v>
          </cell>
          <cell r="M177">
            <v>-5.4196794751411446</v>
          </cell>
        </row>
        <row r="178">
          <cell r="D178">
            <v>2.1800000000000002</v>
          </cell>
          <cell r="E178">
            <v>-0.38315251418351465</v>
          </cell>
          <cell r="G178">
            <v>4.6232293829777493</v>
          </cell>
          <cell r="H178">
            <v>-5.3605335649358805</v>
          </cell>
          <cell r="K178">
            <v>-5.3527626025352912</v>
          </cell>
          <cell r="M178">
            <v>-5.3527626025352912</v>
          </cell>
        </row>
        <row r="179">
          <cell r="D179">
            <v>2.2000000000000002</v>
          </cell>
          <cell r="E179">
            <v>-0.3784263779680761</v>
          </cell>
          <cell r="G179">
            <v>4.6379696682306601</v>
          </cell>
          <cell r="H179">
            <v>-5.2944120836001654</v>
          </cell>
          <cell r="K179">
            <v>-5.2865300573991236</v>
          </cell>
          <cell r="M179">
            <v>-5.2865300573991236</v>
          </cell>
        </row>
        <row r="180">
          <cell r="D180">
            <v>2.2200000000000002</v>
          </cell>
          <cell r="E180">
            <v>-0.37374877336006507</v>
          </cell>
          <cell r="G180">
            <v>4.6527099534835719</v>
          </cell>
          <cell r="H180">
            <v>-5.2289695885713261</v>
          </cell>
          <cell r="K180">
            <v>-5.2209793363407542</v>
          </cell>
          <cell r="M180">
            <v>-5.2209793363407542</v>
          </cell>
        </row>
        <row r="181">
          <cell r="D181">
            <v>2.2400000000000002</v>
          </cell>
          <cell r="E181">
            <v>-0.36911950518383851</v>
          </cell>
          <cell r="G181">
            <v>4.6674502387364836</v>
          </cell>
          <cell r="H181">
            <v>-5.1642033492250121</v>
          </cell>
          <cell r="K181">
            <v>-5.1561077732151821</v>
          </cell>
          <cell r="M181">
            <v>-5.1561077732151821</v>
          </cell>
        </row>
        <row r="182">
          <cell r="D182">
            <v>2.2599999999999998</v>
          </cell>
          <cell r="E182">
            <v>-0.36453836741885182</v>
          </cell>
          <cell r="G182">
            <v>4.6821905239893944</v>
          </cell>
          <cell r="H182">
            <v>-5.1001104832101882</v>
          </cell>
          <cell r="K182">
            <v>-5.0919125469234219</v>
          </cell>
          <cell r="M182">
            <v>-5.0919125469234219</v>
          </cell>
        </row>
        <row r="183">
          <cell r="D183">
            <v>2.2799999999999998</v>
          </cell>
          <cell r="E183">
            <v>-0.36000514373718456</v>
          </cell>
          <cell r="G183">
            <v>4.6969308092423052</v>
          </cell>
          <cell r="H183">
            <v>-5.0366879639694542</v>
          </cell>
          <cell r="K183">
            <v>-5.0283906889484493</v>
          </cell>
          <cell r="M183">
            <v>-5.0283906889484493</v>
          </cell>
        </row>
        <row r="184">
          <cell r="D184">
            <v>2.2999999999999998</v>
          </cell>
          <cell r="E184">
            <v>-0.35551960802260724</v>
          </cell>
          <cell r="G184">
            <v>4.7116710944952169</v>
          </cell>
          <cell r="H184">
            <v>-4.9739326280010898</v>
          </cell>
          <cell r="K184">
            <v>-4.9655390906360006</v>
          </cell>
          <cell r="M184">
            <v>-4.9655390906360006</v>
          </cell>
        </row>
        <row r="185">
          <cell r="D185">
            <v>2.3199999999999998</v>
          </cell>
          <cell r="E185">
            <v>-0.35108152487174837</v>
          </cell>
          <cell r="G185">
            <v>4.7264113797481286</v>
          </cell>
          <cell r="H185">
            <v>-4.9118411818706837</v>
          </cell>
          <cell r="K185">
            <v>-4.9033545102279259</v>
          </cell>
          <cell r="M185">
            <v>-4.9033545102279259</v>
          </cell>
        </row>
        <row r="186">
          <cell r="D186">
            <v>2.34</v>
          </cell>
          <cell r="E186">
            <v>-0.34669065007791477</v>
          </cell>
          <cell r="G186">
            <v>4.7411516650010395</v>
          </cell>
          <cell r="H186">
            <v>-4.8504102089800742</v>
          </cell>
          <cell r="K186">
            <v>-4.8418335796556367</v>
          </cell>
          <cell r="M186">
            <v>-4.8418335796556367</v>
          </cell>
        </row>
        <row r="187">
          <cell r="D187">
            <v>2.36</v>
          </cell>
          <cell r="E187">
            <v>-0.3423467310980941</v>
          </cell>
          <cell r="G187">
            <v>4.7558919502539503</v>
          </cell>
          <cell r="H187">
            <v>-4.7896361761009958</v>
          </cell>
          <cell r="K187">
            <v>-4.7809728111008925</v>
          </cell>
          <cell r="M187">
            <v>-4.7809728111008925</v>
          </cell>
        </row>
        <row r="188">
          <cell r="D188">
            <v>2.38</v>
          </cell>
          <cell r="E188">
            <v>-0.33804950750365864</v>
          </cell>
          <cell r="G188">
            <v>4.770632235506862</v>
          </cell>
          <cell r="H188">
            <v>-4.7295154396806867</v>
          </cell>
          <cell r="K188">
            <v>-4.7207686033311411</v>
          </cell>
          <cell r="M188">
            <v>-4.7207686033311411</v>
          </cell>
        </row>
        <row r="189">
          <cell r="D189">
            <v>2.4</v>
          </cell>
          <cell r="E189">
            <v>-0.33379871141527095</v>
          </cell>
          <cell r="G189">
            <v>4.7853725207597737</v>
          </cell>
          <cell r="H189">
            <v>-4.6700442519264902</v>
          </cell>
          <cell r="K189">
            <v>-4.6612172478161655</v>
          </cell>
          <cell r="M189">
            <v>-4.6612172478161655</v>
          </cell>
        </row>
        <row r="190">
          <cell r="D190">
            <v>2.42</v>
          </cell>
          <cell r="E190">
            <v>-0.32959406792247981</v>
          </cell>
          <cell r="G190">
            <v>4.8001128060126845</v>
          </cell>
          <cell r="H190">
            <v>-4.6112187666762461</v>
          </cell>
          <cell r="K190">
            <v>-4.6023149346328118</v>
          </cell>
          <cell r="M190">
            <v>-4.6023149346328118</v>
          </cell>
        </row>
        <row r="191">
          <cell r="D191">
            <v>2.44</v>
          </cell>
          <cell r="E191">
            <v>-0.32543529548847833</v>
          </cell>
          <cell r="G191">
            <v>4.8148530912655962</v>
          </cell>
          <cell r="H191">
            <v>-4.5530350450611046</v>
          </cell>
          <cell r="K191">
            <v>-4.5440577581642136</v>
          </cell>
          <cell r="M191">
            <v>-4.5440577581642136</v>
          </cell>
        </row>
        <row r="192">
          <cell r="D192">
            <v>2.46</v>
          </cell>
          <cell r="E192">
            <v>-0.32132210634048547</v>
          </cell>
          <cell r="G192">
            <v>4.8295933765185071</v>
          </cell>
          <cell r="H192">
            <v>-4.4954890609671958</v>
          </cell>
          <cell r="K192">
            <v>-4.4864417225998983</v>
          </cell>
          <cell r="M192">
            <v>-4.4864417225998983</v>
          </cell>
        </row>
        <row r="193">
          <cell r="D193">
            <v>2.48</v>
          </cell>
          <cell r="E193">
            <v>-0.31725420684619554</v>
          </cell>
          <cell r="G193">
            <v>4.8443336617714179</v>
          </cell>
          <cell r="H193">
            <v>-4.4385767063023831</v>
          </cell>
          <cell r="K193">
            <v>-4.4294627472428072</v>
          </cell>
          <cell r="M193">
            <v>-4.4294627472428072</v>
          </cell>
        </row>
        <row r="194">
          <cell r="D194">
            <v>2.5</v>
          </cell>
          <cell r="E194">
            <v>-0.31323129787672965</v>
          </cell>
          <cell r="G194">
            <v>4.8590739470243296</v>
          </cell>
          <cell r="H194">
            <v>-4.3822937960741744</v>
          </cell>
          <cell r="K194">
            <v>-4.3731166716292282</v>
          </cell>
          <cell r="M194">
            <v>-4.3731166716292282</v>
          </cell>
        </row>
        <row r="195">
          <cell r="D195">
            <v>2.52</v>
          </cell>
          <cell r="E195">
            <v>-0.30925307515650918</v>
          </cell>
          <cell r="G195">
            <v>4.8738142322772413</v>
          </cell>
          <cell r="H195">
            <v>-4.326636073284658</v>
          </cell>
          <cell r="K195">
            <v>-4.3173992604673916</v>
          </cell>
          <cell r="M195">
            <v>-4.3173992604673916</v>
          </cell>
        </row>
        <row r="196">
          <cell r="D196">
            <v>2.54</v>
          </cell>
          <cell r="E196">
            <v>-0.30531922960045949</v>
          </cell>
          <cell r="G196">
            <v>4.8885545175301521</v>
          </cell>
          <cell r="H196">
            <v>-4.2715992136481882</v>
          </cell>
          <cell r="K196">
            <v>-4.2623062084002941</v>
          </cell>
          <cell r="M196">
            <v>-4.2623062084002941</v>
          </cell>
        </row>
        <row r="197">
          <cell r="D197">
            <v>2.56</v>
          </cell>
          <cell r="E197">
            <v>-0.30142944763894031</v>
          </cell>
          <cell r="G197">
            <v>4.9032948027830638</v>
          </cell>
          <cell r="H197">
            <v>-4.2171788301373585</v>
          </cell>
          <cell r="K197">
            <v>-4.2078331445982053</v>
          </cell>
          <cell r="M197">
            <v>-4.2078331445982053</v>
          </cell>
        </row>
        <row r="198">
          <cell r="D198">
            <v>2.58</v>
          </cell>
          <cell r="E198">
            <v>-0.29758341153078766</v>
          </cell>
          <cell r="G198">
            <v>4.9180350880359747</v>
          </cell>
          <cell r="H198">
            <v>-4.1633704773626379</v>
          </cell>
          <cell r="K198">
            <v>-4.1539756371861909</v>
          </cell>
          <cell r="M198">
            <v>-4.1539756371861909</v>
          </cell>
        </row>
        <row r="199">
          <cell r="D199">
            <v>2.6</v>
          </cell>
          <cell r="E199">
            <v>-0.29378079966483966</v>
          </cell>
          <cell r="G199">
            <v>4.9327753732888864</v>
          </cell>
          <cell r="H199">
            <v>-4.110169655790906</v>
          </cell>
          <cell r="K199">
            <v>-4.1007291975116198</v>
          </cell>
          <cell r="M199">
            <v>-4.1007291975116198</v>
          </cell>
        </row>
        <row r="200">
          <cell r="D200">
            <v>2.62</v>
          </cell>
          <cell r="E200">
            <v>-0.29002128685031009</v>
          </cell>
          <cell r="G200">
            <v>4.9475156585417981</v>
          </cell>
          <cell r="H200">
            <v>-4.0575718158079486</v>
          </cell>
          <cell r="K200">
            <v>-4.0480892842568137</v>
          </cell>
          <cell r="M200">
            <v>-4.0480892842568137</v>
          </cell>
        </row>
        <row r="201">
          <cell r="D201">
            <v>2.64</v>
          </cell>
          <cell r="E201">
            <v>-0.28630454459636029</v>
          </cell>
          <cell r="G201">
            <v>4.962255943794708</v>
          </cell>
          <cell r="H201">
            <v>-4.0055723616298389</v>
          </cell>
          <cell r="K201">
            <v>-3.9960513074015149</v>
          </cell>
          <cell r="M201">
            <v>-3.9960513074015149</v>
          </cell>
        </row>
        <row r="202">
          <cell r="D202">
            <v>2.66</v>
          </cell>
          <cell r="E202">
            <v>-0.28263024138121168</v>
          </cell>
          <cell r="G202">
            <v>4.9769962290476197</v>
          </cell>
          <cell r="H202">
            <v>-3.9541666550679806</v>
          </cell>
          <cell r="K202">
            <v>-3.9446106320399035</v>
          </cell>
          <cell r="M202">
            <v>-3.9446106320399035</v>
          </cell>
        </row>
        <row r="203">
          <cell r="D203">
            <v>2.68</v>
          </cell>
          <cell r="E203">
            <v>-0.2789980429111294</v>
          </cell>
          <cell r="G203">
            <v>4.9917365143005306</v>
          </cell>
          <cell r="H203">
            <v>-3.9033500191524468</v>
          </cell>
          <cell r="K203">
            <v>-3.8937625820567634</v>
          </cell>
          <cell r="M203">
            <v>-3.8937625820567634</v>
          </cell>
        </row>
        <row r="204">
          <cell r="D204">
            <v>2.7</v>
          </cell>
          <cell r="E204">
            <v>-0.27540761236959937</v>
          </cell>
          <cell r="G204">
            <v>5.0064767995534423</v>
          </cell>
          <cell r="H204">
            <v>-3.8531177416181177</v>
          </cell>
          <cell r="K204">
            <v>-3.843502443667103</v>
          </cell>
          <cell r="M204">
            <v>-3.843502443667103</v>
          </cell>
        </row>
        <row r="205">
          <cell r="D205">
            <v>2.72</v>
          </cell>
          <cell r="E205">
            <v>-0.27185861065701111</v>
          </cell>
          <cell r="G205">
            <v>5.021217084806354</v>
          </cell>
          <cell r="H205">
            <v>-3.8034650782579793</v>
          </cell>
          <cell r="K205">
            <v>-3.7938254688236159</v>
          </cell>
          <cell r="M205">
            <v>-3.7938254688236159</v>
          </cell>
        </row>
        <row r="206">
          <cell r="D206">
            <v>2.74</v>
          </cell>
          <cell r="E206">
            <v>-0.26835069662114791</v>
          </cell>
          <cell r="G206">
            <v>5.0359573700592648</v>
          </cell>
          <cell r="H206">
            <v>-3.7543872561478322</v>
          </cell>
          <cell r="K206">
            <v>-3.744726878496055</v>
          </cell>
          <cell r="M206">
            <v>-3.744726878496055</v>
          </cell>
        </row>
        <row r="207">
          <cell r="D207">
            <v>2.76</v>
          </cell>
          <cell r="E207">
            <v>-0.26488352727877984</v>
          </cell>
          <cell r="G207">
            <v>5.0506976553121756</v>
          </cell>
          <cell r="H207">
            <v>-3.7058794767464978</v>
          </cell>
          <cell r="K207">
            <v>-3.6962018658266027</v>
          </cell>
          <cell r="M207">
            <v>-3.6962018658266027</v>
          </cell>
        </row>
        <row r="208">
          <cell r="D208">
            <v>2.78</v>
          </cell>
          <cell r="E208">
            <v>-0.26145675802864349</v>
          </cell>
          <cell r="G208">
            <v>5.0654379405650873</v>
          </cell>
          <cell r="H208">
            <v>-3.6579369188755391</v>
          </cell>
          <cell r="K208">
            <v>-3.6482455991651332</v>
          </cell>
          <cell r="M208">
            <v>-3.6482455991651332</v>
          </cell>
        </row>
        <row r="209">
          <cell r="D209">
            <v>2.8</v>
          </cell>
          <cell r="E209">
            <v>-0.25807004285608615</v>
          </cell>
          <cell r="G209">
            <v>5.0801782258179982</v>
          </cell>
          <cell r="H209">
            <v>-3.6105547415823587</v>
          </cell>
          <cell r="K209">
            <v>-3.6008532249881937</v>
          </cell>
          <cell r="M209">
            <v>-3.6008532249881937</v>
          </cell>
        </row>
        <row r="210">
          <cell r="D210">
            <v>2.82</v>
          </cell>
          <cell r="E210">
            <v>-0.25472303452964257</v>
          </cell>
          <cell r="G210">
            <v>5.0949185110709099</v>
          </cell>
          <cell r="H210">
            <v>-3.5637280868904169</v>
          </cell>
          <cell r="K210">
            <v>-3.5540198707053108</v>
          </cell>
          <cell r="M210">
            <v>-3.5540198707053108</v>
          </cell>
        </row>
        <row r="211">
          <cell r="D211">
            <v>2.84</v>
          </cell>
          <cell r="E211">
            <v>-0.25141538478980435</v>
          </cell>
          <cell r="G211">
            <v>5.1096587963238207</v>
          </cell>
          <cell r="H211">
            <v>-3.5174520824402373</v>
          </cell>
          <cell r="K211">
            <v>-3.5077406473563162</v>
          </cell>
          <cell r="M211">
            <v>-3.5077406473563162</v>
          </cell>
        </row>
        <row r="212">
          <cell r="D212">
            <v>2.86</v>
          </cell>
          <cell r="E212">
            <v>-0.24814674453023602</v>
          </cell>
          <cell r="G212">
            <v>5.1243990815767315</v>
          </cell>
          <cell r="H212">
            <v>-3.4717218440247204</v>
          </cell>
          <cell r="K212">
            <v>-3.4620106522030656</v>
          </cell>
          <cell r="M212">
            <v>-3.4620106522030656</v>
          </cell>
        </row>
        <row r="213">
          <cell r="D213">
            <v>2.88</v>
          </cell>
          <cell r="E213">
            <v>-0.24491676397168102</v>
          </cell>
          <cell r="G213">
            <v>5.1391393668296441</v>
          </cell>
          <cell r="H213">
            <v>-3.4265324780222008</v>
          </cell>
          <cell r="K213">
            <v>-3.4168249712189551</v>
          </cell>
          <cell r="M213">
            <v>-3.4168249712189551</v>
          </cell>
        </row>
        <row r="214">
          <cell r="D214">
            <v>2.9</v>
          </cell>
          <cell r="E214">
            <v>-0.24172509282879773</v>
          </cell>
          <cell r="G214">
            <v>5.1538796520825549</v>
          </cell>
          <cell r="H214">
            <v>-3.3818790837305777</v>
          </cell>
          <cell r="K214">
            <v>-3.3721786814795536</v>
          </cell>
          <cell r="M214">
            <v>-3.3721786814795536</v>
          </cell>
        </row>
        <row r="215">
          <cell r="D215">
            <v>2.92</v>
          </cell>
          <cell r="E215">
            <v>-0.23857138047015461</v>
          </cell>
          <cell r="G215">
            <v>5.1686199373354658</v>
          </cell>
          <cell r="H215">
            <v>-3.3377567556057448</v>
          </cell>
          <cell r="K215">
            <v>-3.3280668534573898</v>
          </cell>
          <cell r="M215">
            <v>-3.3280668534573898</v>
          </cell>
        </row>
        <row r="216">
          <cell r="D216">
            <v>2.94</v>
          </cell>
          <cell r="E216">
            <v>-0.23545527607160929</v>
          </cell>
          <cell r="G216">
            <v>5.1833602225883775</v>
          </cell>
          <cell r="H216">
            <v>-3.2941605854074574</v>
          </cell>
          <cell r="K216">
            <v>-3.2844845532241371</v>
          </cell>
          <cell r="M216">
            <v>-3.2844845532241371</v>
          </cell>
        </row>
        <row r="217">
          <cell r="D217">
            <v>2.96</v>
          </cell>
          <cell r="E217">
            <v>-0.23237642876328826</v>
          </cell>
          <cell r="G217">
            <v>5.1981005078412883</v>
          </cell>
          <cell r="H217">
            <v>-3.2510856642556609</v>
          </cell>
          <cell r="K217">
            <v>-3.2414268445630694</v>
          </cell>
          <cell r="M217">
            <v>-3.2414268445630694</v>
          </cell>
        </row>
        <row r="218">
          <cell r="D218">
            <v>2.98</v>
          </cell>
          <cell r="E218">
            <v>-0.22933448777037779</v>
          </cell>
          <cell r="G218">
            <v>5.2128407930942</v>
          </cell>
          <cell r="H218">
            <v>-3.2085270846002478</v>
          </cell>
          <cell r="K218">
            <v>-3.1988887909946992</v>
          </cell>
          <cell r="M218">
            <v>-3.1988887909946992</v>
          </cell>
        </row>
        <row r="219">
          <cell r="D219">
            <v>3</v>
          </cell>
          <cell r="E219">
            <v>-0.22632910254793082</v>
          </cell>
          <cell r="G219">
            <v>5.2275810783471117</v>
          </cell>
          <cell r="H219">
            <v>-3.1664799421070811</v>
          </cell>
          <cell r="K219">
            <v>-3.1568654577184652</v>
          </cell>
          <cell r="M219">
            <v>-3.1568654577184652</v>
          </cell>
        </row>
        <row r="220">
          <cell r="D220">
            <v>3.02</v>
          </cell>
          <cell r="E220">
            <v>-0.22335992290988751</v>
          </cell>
          <cell r="G220">
            <v>5.2423213636000225</v>
          </cell>
          <cell r="H220">
            <v>-3.1249393374630725</v>
          </cell>
          <cell r="K220">
            <v>-3.1153519134731456</v>
          </cell>
          <cell r="M220">
            <v>-3.1153519134731456</v>
          </cell>
        </row>
        <row r="221">
          <cell r="D221">
            <v>3.04</v>
          </cell>
          <cell r="E221">
            <v>-0.2204265991525016</v>
          </cell>
          <cell r="G221">
            <v>5.2570616488529334</v>
          </cell>
          <cell r="H221">
            <v>-3.0839003781029888</v>
          </cell>
          <cell r="K221">
            <v>-3.0743432323186268</v>
          </cell>
          <cell r="M221">
            <v>-3.0743432323186268</v>
          </cell>
        </row>
        <row r="222">
          <cell r="D222">
            <v>3.06</v>
          </cell>
          <cell r="E222">
            <v>-0.2175287821723591</v>
          </cell>
          <cell r="G222">
            <v>5.2718019341058451</v>
          </cell>
          <cell r="H222">
            <v>-3.0433581798606073</v>
          </cell>
          <cell r="K222">
            <v>-3.033834495341674</v>
          </cell>
          <cell r="M222">
            <v>-3.033834495341674</v>
          </cell>
        </row>
        <row r="223">
          <cell r="D223">
            <v>3.08</v>
          </cell>
          <cell r="E223">
            <v>-0.21466612357917014</v>
          </cell>
          <cell r="G223">
            <v>5.2865422193587568</v>
          </cell>
          <cell r="H223">
            <v>-3.0033078685467376</v>
          </cell>
          <cell r="K223">
            <v>-2.9938207922881013</v>
          </cell>
          <cell r="M223">
            <v>-2.9938207922881013</v>
          </cell>
        </row>
        <row r="224">
          <cell r="D224">
            <v>3.1</v>
          </cell>
          <cell r="E224">
            <v>-0.21183827580350886</v>
          </cell>
          <cell r="G224">
            <v>5.3012825046116676</v>
          </cell>
          <cell r="H224">
            <v>-2.963744581456571</v>
          </cell>
          <cell r="K224">
            <v>-2.9542972231238358</v>
          </cell>
          <cell r="M224">
            <v>-2.9542972231238358</v>
          </cell>
        </row>
        <row r="225">
          <cell r="D225">
            <v>3.12</v>
          </cell>
          <cell r="E225">
            <v>-0.2090448921996714</v>
          </cell>
          <cell r="G225">
            <v>5.3160227898645793</v>
          </cell>
          <cell r="H225">
            <v>-2.9246634688087227</v>
          </cell>
          <cell r="K225">
            <v>-2.9152588995271316</v>
          </cell>
          <cell r="M225">
            <v>-2.9152588995271316</v>
          </cell>
        </row>
        <row r="226">
          <cell r="D226">
            <v>3.14</v>
          </cell>
          <cell r="E226">
            <v>-0.20628562714381649</v>
          </cell>
          <cell r="G226">
            <v>5.3307630751174901</v>
          </cell>
          <cell r="H226">
            <v>-2.8860596951182789</v>
          </cell>
          <cell r="K226">
            <v>-2.8767009463143087</v>
          </cell>
          <cell r="M226">
            <v>-2.8767009463143087</v>
          </cell>
        </row>
        <row r="227">
          <cell r="D227">
            <v>3.16</v>
          </cell>
          <cell r="E227">
            <v>-0.20356013612754911</v>
          </cell>
          <cell r="G227">
            <v>5.345503360370401</v>
          </cell>
          <cell r="H227">
            <v>-2.8479284405060885</v>
          </cell>
          <cell r="K227">
            <v>-2.8386185028011353</v>
          </cell>
          <cell r="M227">
            <v>-2.8386185028011353</v>
          </cell>
        </row>
        <row r="228">
          <cell r="D228">
            <v>3.18</v>
          </cell>
          <cell r="E228">
            <v>-0.20086807584710117</v>
          </cell>
          <cell r="G228">
            <v>5.3602436456233127</v>
          </cell>
          <cell r="H228">
            <v>-2.8102649019464541</v>
          </cell>
          <cell r="K228">
            <v>-2.8010067241020238</v>
          </cell>
          <cell r="M228">
            <v>-2.8010067241020238</v>
          </cell>
        </row>
        <row r="229">
          <cell r="D229">
            <v>3.2</v>
          </cell>
          <cell r="E229">
            <v>-0.19820910428825977</v>
          </cell>
          <cell r="G229">
            <v>5.3749839308762244</v>
          </cell>
          <cell r="H229">
            <v>-2.7730642944553274</v>
          </cell>
          <cell r="K229">
            <v>-2.7638607823691363</v>
          </cell>
          <cell r="M229">
            <v>-2.7638607823691363</v>
          </cell>
        </row>
        <row r="230">
          <cell r="D230">
            <v>3.22</v>
          </cell>
          <cell r="E230">
            <v>-0.19558288080718811</v>
          </cell>
          <cell r="G230">
            <v>5.3897242161291352</v>
          </cell>
          <cell r="H230">
            <v>-2.7363218522210464</v>
          </cell>
          <cell r="K230">
            <v>-2.7271758679733753</v>
          </cell>
          <cell r="M230">
            <v>-2.7271758679733753</v>
          </cell>
        </row>
        <row r="231">
          <cell r="D231">
            <v>3.24</v>
          </cell>
          <cell r="E231">
            <v>-0.19298906620728126</v>
          </cell>
          <cell r="G231">
            <v>5.4044645013820469</v>
          </cell>
          <cell r="H231">
            <v>-2.7000328296795892</v>
          </cell>
          <cell r="K231">
            <v>-2.6909471906292004</v>
          </cell>
          <cell r="M231">
            <v>-2.6909471906292004</v>
          </cell>
        </row>
        <row r="232">
          <cell r="D232">
            <v>3.26</v>
          </cell>
          <cell r="E232">
            <v>-0.19042732281219193</v>
          </cell>
          <cell r="G232">
            <v>5.4192047866349577</v>
          </cell>
          <cell r="H232">
            <v>-2.6641925025362525</v>
          </cell>
          <cell r="K232">
            <v>-2.655169980465232</v>
          </cell>
          <cell r="M232">
            <v>-2.655169980465232</v>
          </cell>
        </row>
        <row r="233">
          <cell r="D233">
            <v>3.28</v>
          </cell>
          <cell r="E233">
            <v>-0.18789731453515968</v>
          </cell>
          <cell r="G233">
            <v>5.4339450718878695</v>
          </cell>
          <cell r="H233">
            <v>-2.6287961687356054</v>
          </cell>
          <cell r="K233">
            <v>-2.6198394890423757</v>
          </cell>
          <cell r="M233">
            <v>-2.6198394890423757</v>
          </cell>
        </row>
        <row r="234">
          <cell r="D234">
            <v>3.3</v>
          </cell>
          <cell r="E234">
            <v>-0.1853987069447724</v>
          </cell>
          <cell r="G234">
            <v>5.4486853571407803</v>
          </cell>
          <cell r="H234">
            <v>-2.5938391493815325</v>
          </cell>
          <cell r="K234">
            <v>-2.584950990321353</v>
          </cell>
          <cell r="M234">
            <v>-2.584950990321353</v>
          </cell>
        </row>
        <row r="235">
          <cell r="D235">
            <v>3.32</v>
          </cell>
          <cell r="E235">
            <v>-0.18293116732728304</v>
          </cell>
          <cell r="G235">
            <v>5.4634256423936911</v>
          </cell>
          <cell r="H235">
            <v>-2.559316789609086</v>
          </cell>
          <cell r="K235">
            <v>-2.5504997815812462</v>
          </cell>
          <cell r="M235">
            <v>-2.5504997815812462</v>
          </cell>
        </row>
        <row r="236">
          <cell r="D236">
            <v>3.34</v>
          </cell>
          <cell r="E236">
            <v>-0.18049436474560387</v>
          </cell>
          <cell r="G236">
            <v>5.4781659276466028</v>
          </cell>
          <cell r="H236">
            <v>-2.5252244594098459</v>
          </cell>
          <cell r="K236">
            <v>-2.5164811842908423</v>
          </cell>
          <cell r="M236">
            <v>-2.5164811842908423</v>
          </cell>
        </row>
        <row r="237">
          <cell r="D237">
            <v>3.36</v>
          </cell>
          <cell r="E237">
            <v>-0.17808797009509417</v>
          </cell>
          <cell r="G237">
            <v>5.4929062128995145</v>
          </cell>
          <cell r="H237">
            <v>-2.4915575544124247</v>
          </cell>
          <cell r="K237">
            <v>-2.4828905449343179</v>
          </cell>
          <cell r="M237">
            <v>-2.4828905449343179</v>
          </cell>
        </row>
        <row r="238">
          <cell r="D238">
            <v>3.38</v>
          </cell>
          <cell r="E238">
            <v>-0.17571165615625459</v>
          </cell>
          <cell r="G238">
            <v>5.5076464981524254</v>
          </cell>
          <cell r="H238">
            <v>-2.4583114966196957</v>
          </cell>
          <cell r="K238">
            <v>-2.449723235792872</v>
          </cell>
          <cell r="M238">
            <v>-2.449723235792872</v>
          </cell>
        </row>
        <row r="239">
          <cell r="D239">
            <v>3.4</v>
          </cell>
          <cell r="E239">
            <v>-0.17336509764443828</v>
          </cell>
          <cell r="G239">
            <v>5.5223867834053371</v>
          </cell>
          <cell r="H239">
            <v>-2.4254817351042783</v>
          </cell>
          <cell r="K239">
            <v>-2.4169746556838096</v>
          </cell>
          <cell r="M239">
            <v>-2.4169746556838096</v>
          </cell>
        </row>
        <row r="240">
          <cell r="D240">
            <v>3.42</v>
          </cell>
          <cell r="E240">
            <v>-0.17104797125668511</v>
          </cell>
          <cell r="G240">
            <v>5.5371270686582479</v>
          </cell>
          <cell r="H240">
            <v>-2.393063746663779</v>
          </cell>
          <cell r="K240">
            <v>-2.3846402306585883</v>
          </cell>
          <cell r="M240">
            <v>-2.3846402306585883</v>
          </cell>
        </row>
        <row r="241">
          <cell r="D241">
            <v>3.44</v>
          </cell>
          <cell r="E241">
            <v>-0.16875995571578153</v>
          </cell>
          <cell r="G241">
            <v>5.5518673539111587</v>
          </cell>
          <cell r="H241">
            <v>-2.3610530364372133</v>
          </cell>
          <cell r="K241">
            <v>-2.3527154146612101</v>
          </cell>
          <cell r="M241">
            <v>-2.3527154146612101</v>
          </cell>
        </row>
        <row r="242">
          <cell r="D242">
            <v>3.46</v>
          </cell>
          <cell r="E242">
            <v>-0.16650073181164643</v>
          </cell>
          <cell r="G242">
            <v>5.5666076391640704</v>
          </cell>
          <cell r="H242">
            <v>-2.3294451384840205</v>
          </cell>
          <cell r="K242">
            <v>-2.3211956901483828</v>
          </cell>
          <cell r="M242">
            <v>-2.3211956901483828</v>
          </cell>
        </row>
        <row r="243">
          <cell r="D243">
            <v>3.48</v>
          </cell>
          <cell r="E243">
            <v>-0.16426998244013863</v>
          </cell>
          <cell r="G243">
            <v>5.5813479244169812</v>
          </cell>
          <cell r="H243">
            <v>-2.2982356163270037</v>
          </cell>
          <cell r="K243">
            <v>-2.2900765686727982</v>
          </cell>
          <cell r="M243">
            <v>-2.2900765686727982</v>
          </cell>
        </row>
        <row r="244">
          <cell r="D244">
            <v>3.5</v>
          </cell>
          <cell r="E244">
            <v>-0.16206739263938108</v>
          </cell>
          <cell r="G244">
            <v>5.596088209669893</v>
          </cell>
          <cell r="H244">
            <v>-2.2674200634605253</v>
          </cell>
          <cell r="K244">
            <v>-2.2593535914307865</v>
          </cell>
          <cell r="M244">
            <v>-2.2593535914307865</v>
          </cell>
        </row>
        <row r="245">
          <cell r="D245">
            <v>3.52</v>
          </cell>
          <cell r="E245">
            <v>-0.1598926496236911</v>
          </cell>
          <cell r="G245">
            <v>5.6108284949228047</v>
          </cell>
          <cell r="H245">
            <v>-2.2369941038252126</v>
          </cell>
          <cell r="K245">
            <v>-2.2290223297756704</v>
          </cell>
          <cell r="M245">
            <v>-2.2290223297756704</v>
          </cell>
        </row>
        <row r="246">
          <cell r="D246">
            <v>3.54</v>
          </cell>
          <cell r="E246">
            <v>-0.15774544281520517</v>
          </cell>
          <cell r="G246">
            <v>5.6255687801757155</v>
          </cell>
          <cell r="H246">
            <v>-2.2069533922504094</v>
          </cell>
          <cell r="K246">
            <v>-2.1990783856980003</v>
          </cell>
          <cell r="M246">
            <v>-2.1990783856980003</v>
          </cell>
        </row>
        <row r="247">
          <cell r="D247">
            <v>3.56</v>
          </cell>
          <cell r="E247">
            <v>-0.15562546387328283</v>
          </cell>
          <cell r="G247">
            <v>5.6403090654286272</v>
          </cell>
          <cell r="H247">
            <v>-2.1772936148655506</v>
          </cell>
          <cell r="K247">
            <v>-2.1695173922738658</v>
          </cell>
          <cell r="M247">
            <v>-2.1695173922738658</v>
          </cell>
        </row>
        <row r="248">
          <cell r="D248">
            <v>3.58</v>
          </cell>
          <cell r="E248">
            <v>-0.15353240672177246</v>
          </cell>
          <cell r="G248">
            <v>5.6550493506815389</v>
          </cell>
          <cell r="H248">
            <v>-2.1480104894816296</v>
          </cell>
          <cell r="K248">
            <v>-2.1403350140824493</v>
          </cell>
          <cell r="M248">
            <v>-2.1403350140824493</v>
          </cell>
        </row>
        <row r="249">
          <cell r="D249">
            <v>3.6</v>
          </cell>
          <cell r="E249">
            <v>-0.15146596757421865</v>
          </cell>
          <cell r="G249">
            <v>5.6697896359344488</v>
          </cell>
          <cell r="H249">
            <v>-2.1190997659438637</v>
          </cell>
          <cell r="K249">
            <v>-2.1115269475939287</v>
          </cell>
          <cell r="M249">
            <v>-2.1115269475939287</v>
          </cell>
        </row>
        <row r="250">
          <cell r="D250">
            <v>3.62</v>
          </cell>
          <cell r="E250">
            <v>-0.14942584495708761</v>
          </cell>
          <cell r="G250">
            <v>5.6845299211873606</v>
          </cell>
          <cell r="H250">
            <v>-2.0905572264566299</v>
          </cell>
          <cell r="K250">
            <v>-2.0830889215287742</v>
          </cell>
          <cell r="M250">
            <v>-2.0830889215287742</v>
          </cell>
        </row>
        <row r="251">
          <cell r="D251">
            <v>3.64</v>
          </cell>
          <cell r="E251">
            <v>-0.1474117397310864</v>
          </cell>
          <cell r="G251">
            <v>5.6992702064402714</v>
          </cell>
          <cell r="H251">
            <v>-2.0623786858817375</v>
          </cell>
          <cell r="K251">
            <v>-2.0550166971895569</v>
          </cell>
          <cell r="M251">
            <v>-2.0550166971895569</v>
          </cell>
        </row>
        <row r="252">
          <cell r="D252">
            <v>3.66</v>
          </cell>
          <cell r="E252">
            <v>-0.14542335511064736</v>
          </cell>
          <cell r="G252">
            <v>5.7140104916931831</v>
          </cell>
          <cell r="H252">
            <v>-2.0345599920110233</v>
          </cell>
          <cell r="K252">
            <v>-2.0273060687662063</v>
          </cell>
          <cell r="M252">
            <v>-2.0273060687662063</v>
          </cell>
        </row>
        <row r="253">
          <cell r="D253">
            <v>3.68</v>
          </cell>
          <cell r="E253">
            <v>-0.14346039668164859</v>
          </cell>
          <cell r="G253">
            <v>5.7287507769460948</v>
          </cell>
          <cell r="H253">
            <v>-2.0070970258142729</v>
          </cell>
          <cell r="K253">
            <v>-1.9999528636157551</v>
          </cell>
          <cell r="M253">
            <v>-1.9999528636157551</v>
          </cell>
        </row>
        <row r="254">
          <cell r="D254">
            <v>3.7</v>
          </cell>
          <cell r="E254">
            <v>-0.14152257241743729</v>
          </cell>
          <cell r="G254">
            <v>5.7434910621990056</v>
          </cell>
          <cell r="H254">
            <v>-1.9799857016633982</v>
          </cell>
          <cell r="K254">
            <v>-1.9729529425174834</v>
          </cell>
          <cell r="M254">
            <v>-1.9729529425174834</v>
          </cell>
        </row>
        <row r="255">
          <cell r="D255">
            <v>3.72</v>
          </cell>
          <cell r="E255">
            <v>-0.13960959269322271</v>
          </cell>
          <cell r="G255">
            <v>5.7582313474519164</v>
          </cell>
          <cell r="H255">
            <v>-1.9532219675338018</v>
          </cell>
          <cell r="K255">
            <v>-1.9463021999044077</v>
          </cell>
          <cell r="M255">
            <v>-1.9463021999044077</v>
          </cell>
        </row>
        <row r="256">
          <cell r="D256">
            <v>3.74</v>
          </cell>
          <cell r="E256">
            <v>-0.13772117029890094</v>
          </cell>
          <cell r="G256">
            <v>5.7729716327048282</v>
          </cell>
          <cell r="H256">
            <v>-1.9268018051838038</v>
          </cell>
          <cell r="K256">
            <v>-1.9199965640719856</v>
          </cell>
          <cell r="M256">
            <v>-1.9199965640719856</v>
          </cell>
        </row>
        <row r="257">
          <cell r="D257">
            <v>3.76</v>
          </cell>
          <cell r="E257">
            <v>-0.13585702045037409</v>
          </cell>
          <cell r="G257">
            <v>5.787711917957739</v>
          </cell>
          <cell r="H257">
            <v>-1.9007212303130039</v>
          </cell>
          <cell r="K257">
            <v>-1.8940319973649442</v>
          </cell>
          <cell r="M257">
            <v>-1.8940319973649442</v>
          </cell>
        </row>
        <row r="258">
          <cell r="D258">
            <v>3.78</v>
          </cell>
          <cell r="E258">
            <v>-0.13401686079942216</v>
          </cell>
          <cell r="G258">
            <v>5.8024522032106507</v>
          </cell>
          <cell r="H258">
            <v>-1.8749762927003959</v>
          </cell>
          <cell r="K258">
            <v>-1.8684044963429838</v>
          </cell>
          <cell r="M258">
            <v>-1.8684044963429838</v>
          </cell>
        </row>
        <row r="259">
          <cell r="D259">
            <v>3.8</v>
          </cell>
          <cell r="E259">
            <v>-0.13220041144218647</v>
          </cell>
          <cell r="G259">
            <v>5.8171924884635615</v>
          </cell>
          <cell r="H259">
            <v>-1.8495630763230539</v>
          </cell>
          <cell r="K259">
            <v>-1.8431100919262722</v>
          </cell>
          <cell r="M259">
            <v>-1.8431100919262722</v>
          </cell>
        </row>
        <row r="260">
          <cell r="D260">
            <v>3.82</v>
          </cell>
          <cell r="E260">
            <v>-0.1304073949263187</v>
          </cell>
          <cell r="G260">
            <v>5.8319327737164723</v>
          </cell>
          <cell r="H260">
            <v>-1.8244776994561547</v>
          </cell>
          <cell r="K260">
            <v>-1.8181448495214216</v>
          </cell>
          <cell r="M260">
            <v>-1.8181448495214216</v>
          </cell>
        </row>
        <row r="261">
          <cell r="D261">
            <v>3.84</v>
          </cell>
          <cell r="E261">
            <v>-0.1286375362568507</v>
          </cell>
          <cell r="G261">
            <v>5.8466730589693849</v>
          </cell>
          <cell r="H261">
            <v>-1.7997163147550956</v>
          </cell>
          <cell r="K261">
            <v>-1.7935048691287701</v>
          </cell>
          <cell r="M261">
            <v>-1.7935048691287701</v>
          </cell>
        </row>
        <row r="262">
          <cell r="D262">
            <v>3.86</v>
          </cell>
          <cell r="E262">
            <v>-0.12689056290083636</v>
          </cell>
          <cell r="G262">
            <v>5.8614133442222958</v>
          </cell>
          <cell r="H262">
            <v>-1.7752751093204411</v>
          </cell>
          <cell r="K262">
            <v>-1.76918628543168</v>
          </cell>
          <cell r="M262">
            <v>-1.76918628543168</v>
          </cell>
        </row>
        <row r="263">
          <cell r="D263">
            <v>3.88</v>
          </cell>
          <cell r="E263">
            <v>-0.12516620479081594</v>
          </cell>
          <cell r="G263">
            <v>5.8761536294752066</v>
          </cell>
          <cell r="H263">
            <v>-1.7511503047463897</v>
          </cell>
          <cell r="K263">
            <v>-1.7451852678685373</v>
          </cell>
          <cell r="M263">
            <v>-1.7451852678685373</v>
          </cell>
        </row>
        <row r="264">
          <cell r="D264">
            <v>3.9</v>
          </cell>
          <cell r="E264">
            <v>-0.12346419432715192</v>
          </cell>
          <cell r="G264">
            <v>5.8908939147281183</v>
          </cell>
          <cell r="H264">
            <v>-1.7273381571534518</v>
          </cell>
          <cell r="K264">
            <v>-1.7214980206881974</v>
          </cell>
          <cell r="M264">
            <v>-1.7214980206881974</v>
          </cell>
        </row>
        <row r="265">
          <cell r="D265">
            <v>3.92</v>
          </cell>
          <cell r="E265">
            <v>-0.1217842663792829</v>
          </cell>
          <cell r="G265">
            <v>5.9056341999810291</v>
          </cell>
          <cell r="H265">
            <v>-1.7038349572059954</v>
          </cell>
          <cell r="K265">
            <v>-1.6981207829895149</v>
          </cell>
          <cell r="M265">
            <v>-1.6981207829895149</v>
          </cell>
        </row>
        <row r="266">
          <cell r="D266">
            <v>3.94</v>
          </cell>
          <cell r="E266">
            <v>-0.12012615828594167</v>
          </cell>
          <cell r="G266">
            <v>5.9203744852339408</v>
          </cell>
          <cell r="H266">
            <v>-1.6806370301152955</v>
          </cell>
          <cell r="K266">
            <v>-1.6750498287455677</v>
          </cell>
          <cell r="M266">
            <v>-1.6750498287455677</v>
          </cell>
        </row>
        <row r="267">
          <cell r="D267">
            <v>3.96</v>
          </cell>
          <cell r="E267">
            <v>-0.11848960985438077</v>
          </cell>
          <cell r="G267">
            <v>5.9351147704868525</v>
          </cell>
          <cell r="H267">
            <v>-1.6577407356286997</v>
          </cell>
          <cell r="K267">
            <v>-1.6522814668132775</v>
          </cell>
          <cell r="M267">
            <v>-1.6522814668132775</v>
          </cell>
        </row>
        <row r="268">
          <cell r="D268">
            <v>3.98</v>
          </cell>
          <cell r="E268">
            <v>-0.11687436335864863</v>
          </cell>
          <cell r="G268">
            <v>5.9498550557397634</v>
          </cell>
          <cell r="H268">
            <v>-1.6351424680055096</v>
          </cell>
          <cell r="K268">
            <v>-1.629812040928966</v>
          </cell>
          <cell r="M268">
            <v>-1.629812040928966</v>
          </cell>
        </row>
        <row r="269">
          <cell r="D269">
            <v>4</v>
          </cell>
          <cell r="E269">
            <v>-0.11528016353695714</v>
          </cell>
          <cell r="G269">
            <v>5.9645953409926742</v>
          </cell>
          <cell r="H269">
            <v>-1.6128386559801526</v>
          </cell>
          <cell r="K269">
            <v>-1.6076379296904453</v>
          </cell>
          <cell r="M269">
            <v>-1.6076379296904453</v>
          </cell>
        </row>
        <row r="270">
          <cell r="D270">
            <v>4.0199999999999996</v>
          </cell>
          <cell r="E270">
            <v>-0.11370675758818057</v>
          </cell>
          <cell r="G270">
            <v>5.9793356262455859</v>
          </cell>
          <cell r="H270">
            <v>-1.590825762713199</v>
          </cell>
          <cell r="K270">
            <v>-1.585755546526235</v>
          </cell>
          <cell r="M270">
            <v>-1.585755546526235</v>
          </cell>
        </row>
        <row r="271">
          <cell r="D271">
            <v>4.04</v>
          </cell>
          <cell r="E271">
            <v>-0.1121538951675236</v>
          </cell>
          <cell r="G271">
            <v>5.9940759114984976</v>
          </cell>
          <cell r="H271">
            <v>-1.5691002857307557</v>
          </cell>
          <cell r="K271">
            <v>-1.5641613396524279</v>
          </cell>
          <cell r="M271">
            <v>-1.5641613396524279</v>
          </cell>
        </row>
        <row r="272">
          <cell r="D272">
            <v>4.0599999999999996</v>
          </cell>
          <cell r="E272">
            <v>-0.110621328381397</v>
          </cell>
          <cell r="G272">
            <v>6.0088161967514084</v>
          </cell>
          <cell r="H272">
            <v>-1.5476587568527729</v>
          </cell>
          <cell r="K272">
            <v>-1.5428517920177391</v>
          </cell>
          <cell r="M272">
            <v>-1.5428517920177391</v>
          </cell>
        </row>
        <row r="273">
          <cell r="D273">
            <v>4.08</v>
          </cell>
          <cell r="E273">
            <v>-0.10910881178153475</v>
          </cell>
          <cell r="G273">
            <v>6.0235564820043201</v>
          </cell>
          <cell r="H273">
            <v>-1.52649774211074</v>
          </cell>
          <cell r="K273">
            <v>-1.5218234212372415</v>
          </cell>
          <cell r="M273">
            <v>-1.5218234212372415</v>
          </cell>
        </row>
        <row r="274">
          <cell r="D274">
            <v>4.0999999999999996</v>
          </cell>
          <cell r="E274">
            <v>-0.10761610235838939</v>
          </cell>
          <cell r="G274">
            <v>6.0382967672572301</v>
          </cell>
          <cell r="H274">
            <v>-1.5056138416552824</v>
          </cell>
          <cell r="K274">
            <v>-1.5010727795153163</v>
          </cell>
          <cell r="M274">
            <v>-1.5010727795153163</v>
          </cell>
        </row>
        <row r="275">
          <cell r="D275">
            <v>4.12</v>
          </cell>
          <cell r="E275">
            <v>-0.10614295953383708</v>
          </cell>
          <cell r="G275">
            <v>6.0530370525101418</v>
          </cell>
          <cell r="H275">
            <v>-1.485003689654101</v>
          </cell>
          <cell r="K275">
            <v>-1.4805964535582488</v>
          </cell>
          <cell r="M275">
            <v>-1.4805964535582488</v>
          </cell>
        </row>
        <row r="276">
          <cell r="D276">
            <v>4.1399999999999997</v>
          </cell>
          <cell r="E276">
            <v>-0.10468914515322668</v>
          </cell>
          <cell r="G276">
            <v>6.0677773377630526</v>
          </cell>
          <cell r="H276">
            <v>-1.4646639541807331</v>
          </cell>
          <cell r="K276">
            <v>-1.4603910644769786</v>
          </cell>
          <cell r="M276">
            <v>-1.4603910644769786</v>
          </cell>
        </row>
        <row r="277">
          <cell r="D277">
            <v>4.16</v>
          </cell>
          <cell r="E277">
            <v>-0.10325442347680164</v>
          </cell>
          <cell r="G277">
            <v>6.0825176230159643</v>
          </cell>
          <cell r="H277">
            <v>-1.4445913370945411</v>
          </cell>
          <cell r="K277">
            <v>-1.4404532676804132</v>
          </cell>
          <cell r="M277">
            <v>-1.4404532676804132</v>
          </cell>
        </row>
        <row r="278">
          <cell r="D278">
            <v>4.1800000000000104</v>
          </cell>
          <cell r="E278">
            <v>-0.10183856117052692</v>
          </cell>
          <cell r="G278">
            <v>6.097257908268884</v>
          </cell>
          <cell r="H278">
            <v>-1.4247825739123741</v>
          </cell>
          <cell r="K278">
            <v>-1.420779752759763</v>
          </cell>
          <cell r="M278">
            <v>-1.420779752759763</v>
          </cell>
        </row>
        <row r="279">
          <cell r="D279">
            <v>4.2</v>
          </cell>
          <cell r="E279">
            <v>-0.10044132729635243</v>
          </cell>
          <cell r="G279">
            <v>6.1119981935217877</v>
          </cell>
          <cell r="H279">
            <v>-1.4052344336723483</v>
          </cell>
          <cell r="K279">
            <v>-1.4013672433643534</v>
          </cell>
          <cell r="M279">
            <v>-1.4013672433643534</v>
          </cell>
        </row>
        <row r="280">
          <cell r="D280">
            <v>4.22</v>
          </cell>
          <cell r="E280">
            <v>-9.906249330192772E-2</v>
          </cell>
          <cell r="G280">
            <v>6.1267384787746986</v>
          </cell>
          <cell r="H280">
            <v>-1.3859437187899499</v>
          </cell>
          <cell r="K280">
            <v>-1.3822124970691296</v>
          </cell>
          <cell r="M280">
            <v>-1.3822124970691296</v>
          </cell>
        </row>
        <row r="281">
          <cell r="D281">
            <v>4.24</v>
          </cell>
          <cell r="E281">
            <v>-9.7701833009819244E-2</v>
          </cell>
          <cell r="G281">
            <v>6.1414787640276103</v>
          </cell>
          <cell r="H281">
            <v>-1.3669072649071772</v>
          </cell>
          <cell r="K281">
            <v>-1.3633123052345881</v>
          </cell>
          <cell r="M281">
            <v>-1.3633123052345881</v>
          </cell>
        </row>
        <row r="282">
          <cell r="D282">
            <v>4.2600000000000096</v>
          </cell>
          <cell r="E282">
            <v>-9.6359122606231598E-2</v>
          </cell>
          <cell r="G282">
            <v>6.1562190492805282</v>
          </cell>
          <cell r="H282">
            <v>-1.3481219407347438</v>
          </cell>
          <cell r="K282">
            <v>-1.3446634928591523</v>
          </cell>
          <cell r="M282">
            <v>-1.3446634928591523</v>
          </cell>
        </row>
        <row r="283">
          <cell r="D283">
            <v>4.28</v>
          </cell>
          <cell r="E283">
            <v>-9.5034140629275676E-2</v>
          </cell>
          <cell r="G283">
            <v>6.1709593345334319</v>
          </cell>
          <cell r="H283">
            <v>-1.3295846478879443</v>
          </cell>
          <cell r="K283">
            <v>-1.3262629184246411</v>
          </cell>
          <cell r="M283">
            <v>-1.3262629184246411</v>
          </cell>
        </row>
        <row r="284">
          <cell r="D284">
            <v>4.3</v>
          </cell>
          <cell r="E284">
            <v>-9.372666795679202E-2</v>
          </cell>
          <cell r="G284">
            <v>6.1856996197863436</v>
          </cell>
          <cell r="H284">
            <v>-1.3112923207162945</v>
          </cell>
          <cell r="K284">
            <v>-1.3081074737348901</v>
          </cell>
          <cell r="M284">
            <v>-1.3081074737348901</v>
          </cell>
        </row>
        <row r="285">
          <cell r="D285">
            <v>4.32</v>
          </cell>
          <cell r="E285">
            <v>-9.2436487793773739E-2</v>
          </cell>
          <cell r="G285">
            <v>6.2004399050392554</v>
          </cell>
          <cell r="H285">
            <v>-1.2932419261275709</v>
          </cell>
          <cell r="K285">
            <v>-1.2901940837482477</v>
          </cell>
          <cell r="M285">
            <v>-1.2901940837482477</v>
          </cell>
        </row>
        <row r="286">
          <cell r="D286">
            <v>4.3400000000000096</v>
          </cell>
          <cell r="E286">
            <v>-9.1163385659390458E-2</v>
          </cell>
          <cell r="G286">
            <v>6.2151801902921724</v>
          </cell>
          <cell r="H286">
            <v>-1.2754304634062683</v>
          </cell>
          <cell r="K286">
            <v>-1.2725197064038927</v>
          </cell>
          <cell r="M286">
            <v>-1.2725197064038927</v>
          </cell>
        </row>
        <row r="287">
          <cell r="D287">
            <v>4.3600000000000003</v>
          </cell>
          <cell r="E287">
            <v>-8.9907149373651227E-2</v>
          </cell>
          <cell r="G287">
            <v>6.2299204755450779</v>
          </cell>
          <cell r="H287">
            <v>-1.2578549640270049</v>
          </cell>
          <cell r="K287">
            <v>-1.2550813324425658</v>
          </cell>
          <cell r="M287">
            <v>-1.2550813324425658</v>
          </cell>
        </row>
        <row r="288">
          <cell r="D288">
            <v>4.38</v>
          </cell>
          <cell r="E288">
            <v>-8.8667569043711758E-2</v>
          </cell>
          <cell r="G288">
            <v>6.2446607607979878</v>
          </cell>
          <cell r="H288">
            <v>-1.2405124914629537</v>
          </cell>
          <cell r="K288">
            <v>-1.237875985221806</v>
          </cell>
          <cell r="M288">
            <v>-1.237875985221806</v>
          </cell>
        </row>
        <row r="289">
          <cell r="D289">
            <v>4.4000000000000004</v>
          </cell>
          <cell r="E289">
            <v>-8.7444437049866736E-2</v>
          </cell>
          <cell r="G289">
            <v>6.2594010460508995</v>
          </cell>
          <cell r="H289">
            <v>-1.2234001409898656</v>
          </cell>
          <cell r="K289">
            <v>-1.2209007205262208</v>
          </cell>
          <cell r="M289">
            <v>-1.2209007205262208</v>
          </cell>
        </row>
        <row r="290">
          <cell r="D290">
            <v>4.4200000000000097</v>
          </cell>
          <cell r="E290">
            <v>-8.6237548031226297E-2</v>
          </cell>
          <cell r="G290">
            <v>6.2741413313038183</v>
          </cell>
          <cell r="H290">
            <v>-1.2065150394856747</v>
          </cell>
          <cell r="K290">
            <v>-1.2041526263728699</v>
          </cell>
          <cell r="M290">
            <v>-1.2041526263728699</v>
          </cell>
        </row>
        <row r="291">
          <cell r="D291">
            <v>4.4400000000000004</v>
          </cell>
          <cell r="E291">
            <v>-8.5046698871111076E-2</v>
          </cell>
          <cell r="G291">
            <v>6.288881616556723</v>
          </cell>
          <cell r="H291">
            <v>-1.1898543452261667</v>
          </cell>
          <cell r="K291">
            <v>-1.1876288228121761</v>
          </cell>
          <cell r="M291">
            <v>-1.1876288228121761</v>
          </cell>
        </row>
        <row r="292">
          <cell r="D292">
            <v>4.46</v>
          </cell>
          <cell r="E292">
            <v>-8.3871688682168682E-2</v>
          </cell>
          <cell r="G292">
            <v>6.3036219018096338</v>
          </cell>
          <cell r="H292">
            <v>-1.1734152476767492</v>
          </cell>
          <cell r="K292">
            <v>-1.1713264617244667</v>
          </cell>
          <cell r="M292">
            <v>-1.1713264617244667</v>
          </cell>
        </row>
        <row r="293">
          <cell r="D293">
            <v>4.4800000000000004</v>
          </cell>
          <cell r="E293">
            <v>-8.2712318791248976E-2</v>
          </cell>
          <cell r="G293">
            <v>6.3183621870625455</v>
          </cell>
          <cell r="H293">
            <v>-1.1571949672808481</v>
          </cell>
          <cell r="K293">
            <v>-1.1552427266126613</v>
          </cell>
          <cell r="M293">
            <v>-1.1552427266126613</v>
          </cell>
        </row>
        <row r="294">
          <cell r="D294">
            <v>4.5000000000000098</v>
          </cell>
          <cell r="E294">
            <v>-8.1568392724035432E-2</v>
          </cell>
          <cell r="G294">
            <v>6.3331024723154643</v>
          </cell>
          <cell r="H294">
            <v>-1.1411907552448901</v>
          </cell>
          <cell r="K294">
            <v>-1.1393748323910782</v>
          </cell>
          <cell r="M294">
            <v>-1.1393748323910782</v>
          </cell>
        </row>
        <row r="295">
          <cell r="D295">
            <v>4.5199999999999996</v>
          </cell>
          <cell r="E295">
            <v>-8.0439716189463148E-2</v>
          </cell>
          <cell r="G295">
            <v>6.347842757568368</v>
          </cell>
          <cell r="H295">
            <v>-1.1253998933203031</v>
          </cell>
          <cell r="K295">
            <v>-1.1237200251708095</v>
          </cell>
          <cell r="M295">
            <v>-1.1237200251708095</v>
          </cell>
        </row>
        <row r="296">
          <cell r="D296">
            <v>4.54</v>
          </cell>
          <cell r="E296">
            <v>-7.9326097063925224E-2</v>
          </cell>
          <cell r="G296">
            <v>6.3625830428212797</v>
          </cell>
          <cell r="H296">
            <v>-1.1098196935825524</v>
          </cell>
          <cell r="K296">
            <v>-1.1082755820416839</v>
          </cell>
          <cell r="M296">
            <v>-1.1082755820416839</v>
          </cell>
        </row>
        <row r="297">
          <cell r="D297">
            <v>4.5599999999999996</v>
          </cell>
          <cell r="E297">
            <v>-7.8227345375301516E-2</v>
          </cell>
          <cell r="G297">
            <v>6.3773233280741897</v>
          </cell>
          <cell r="H297">
            <v>-1.0944474982076935</v>
          </cell>
          <cell r="K297">
            <v>-1.0930388108513147</v>
          </cell>
          <cell r="M297">
            <v>-1.0930388108513147</v>
          </cell>
        </row>
        <row r="298">
          <cell r="D298">
            <v>4.5800000000000098</v>
          </cell>
          <cell r="E298">
            <v>-7.7143273286804065E-2</v>
          </cell>
          <cell r="G298">
            <v>6.3920636133271085</v>
          </cell>
          <cell r="H298">
            <v>-1.0792806792463612</v>
          </cell>
          <cell r="K298">
            <v>-1.0780070499811751</v>
          </cell>
          <cell r="M298">
            <v>-1.0780070499811751</v>
          </cell>
        </row>
        <row r="299">
          <cell r="D299">
            <v>4.5999999999999996</v>
          </cell>
          <cell r="E299">
            <v>-7.6073695080669662E-2</v>
          </cell>
          <cell r="G299">
            <v>6.4068038985800122</v>
          </cell>
          <cell r="H299">
            <v>-1.0643166383956171</v>
          </cell>
          <cell r="K299">
            <v>-1.0631776681201093</v>
          </cell>
          <cell r="M299">
            <v>-1.0631776681201093</v>
          </cell>
        </row>
        <row r="300">
          <cell r="D300">
            <v>4.62</v>
          </cell>
          <cell r="E300">
            <v>-7.5018427141696473E-2</v>
          </cell>
          <cell r="G300">
            <v>6.4215441838329239</v>
          </cell>
          <cell r="H300">
            <v>-1.0495528067686186</v>
          </cell>
          <cell r="K300">
            <v>-1.0485480640352787</v>
          </cell>
          <cell r="M300">
            <v>-1.0485480640352787</v>
          </cell>
        </row>
        <row r="301">
          <cell r="D301">
            <v>4.6400000000000103</v>
          </cell>
          <cell r="E301">
            <v>-7.3977287940657596E-2</v>
          </cell>
          <cell r="G301">
            <v>6.4362844690858436</v>
          </cell>
          <cell r="H301">
            <v>-1.0349866446625644</v>
          </cell>
          <cell r="K301">
            <v>-1.0341156663409863</v>
          </cell>
          <cell r="M301">
            <v>-1.0341156663409863</v>
          </cell>
        </row>
        <row r="302">
          <cell r="D302">
            <v>4.6600000000000099</v>
          </cell>
          <cell r="E302">
            <v>-7.2950098017587311E-2</v>
          </cell>
          <cell r="G302">
            <v>6.4510247543387536</v>
          </cell>
          <cell r="H302">
            <v>-1.020615641324857</v>
          </cell>
          <cell r="K302">
            <v>-1.0198779332653642</v>
          </cell>
          <cell r="M302">
            <v>-1.0198779332653642</v>
          </cell>
        </row>
        <row r="303">
          <cell r="D303">
            <v>4.6800000000000104</v>
          </cell>
          <cell r="E303">
            <v>-7.1936679964955882E-2</v>
          </cell>
          <cell r="G303">
            <v>6.4657650395916653</v>
          </cell>
          <cell r="H303">
            <v>-1.0064373147177117</v>
          </cell>
          <cell r="K303">
            <v>-1.0058323524151085</v>
          </cell>
          <cell r="M303">
            <v>-1.0058323524151085</v>
          </cell>
        </row>
        <row r="304">
          <cell r="D304">
            <v>4.7</v>
          </cell>
          <cell r="E304">
            <v>-7.0936858410751827E-2</v>
          </cell>
          <cell r="G304">
            <v>6.480505324844569</v>
          </cell>
          <cell r="H304">
            <v>-0.99244921128146457</v>
          </cell>
          <cell r="K304">
            <v>-0.99197644053859724</v>
          </cell>
          <cell r="M304">
            <v>-0.99197644053859724</v>
          </cell>
        </row>
        <row r="305">
          <cell r="D305">
            <v>4.7200000000000104</v>
          </cell>
          <cell r="E305">
            <v>-6.9950460001470927E-2</v>
          </cell>
          <cell r="G305">
            <v>6.4952456100974878</v>
          </cell>
          <cell r="H305">
            <v>-0.97864890569657914</v>
          </cell>
          <cell r="K305">
            <v>-0.97830774328733783</v>
          </cell>
          <cell r="M305">
            <v>-0.97830774328733783</v>
          </cell>
        </row>
        <row r="306">
          <cell r="D306">
            <v>4.74000000000001</v>
          </cell>
          <cell r="E306">
            <v>-6.8977313385037098E-2</v>
          </cell>
          <cell r="G306">
            <v>6.5099858953503995</v>
          </cell>
          <cell r="H306">
            <v>-0.96503400064470013</v>
          </cell>
          <cell r="K306">
            <v>-0.96482383497613544</v>
          </cell>
          <cell r="M306">
            <v>-0.96482383497613544</v>
          </cell>
        </row>
        <row r="307">
          <cell r="D307">
            <v>4.7600000000000096</v>
          </cell>
          <cell r="E307">
            <v>-6.801724919364667E-2</v>
          </cell>
          <cell r="G307">
            <v>6.5247261806033094</v>
          </cell>
          <cell r="H307">
            <v>-0.95160212656863297</v>
          </cell>
          <cell r="K307">
            <v>-0.9515223183418734</v>
          </cell>
          <cell r="M307">
            <v>-0.9515223183418734</v>
          </cell>
        </row>
        <row r="308">
          <cell r="D308">
            <v>4.78</v>
          </cell>
          <cell r="E308">
            <v>-6.7070100026563953E-2</v>
          </cell>
          <cell r="G308">
            <v>6.5394664658562149</v>
          </cell>
          <cell r="H308">
            <v>-0.93835094143164577</v>
          </cell>
          <cell r="K308">
            <v>-0.93840082430128069</v>
          </cell>
          <cell r="M308">
            <v>-0.93840082430128069</v>
          </cell>
        </row>
        <row r="309">
          <cell r="D309">
            <v>4.8000000000000096</v>
          </cell>
          <cell r="E309">
            <v>-6.6135700432864028E-2</v>
          </cell>
          <cell r="G309">
            <v>6.554206751109132</v>
          </cell>
          <cell r="H309">
            <v>-0.92527813047602758</v>
          </cell>
          <cell r="K309">
            <v>-0.92545701170768757</v>
          </cell>
          <cell r="M309">
            <v>-0.92545701170768757</v>
          </cell>
        </row>
        <row r="310">
          <cell r="D310">
            <v>4.8200000000000101</v>
          </cell>
          <cell r="E310">
            <v>-6.5213886894143744E-2</v>
          </cell>
          <cell r="G310">
            <v>6.5689470363620437</v>
          </cell>
          <cell r="H310">
            <v>-0.91238140598120743</v>
          </cell>
          <cell r="K310">
            <v>-0.91268856710701629</v>
          </cell>
          <cell r="M310">
            <v>-0.91268856710701629</v>
          </cell>
        </row>
        <row r="311">
          <cell r="D311">
            <v>4.8400000000000096</v>
          </cell>
          <cell r="E311">
            <v>-6.4304497807194688E-2</v>
          </cell>
          <cell r="G311">
            <v>6.5836873216149554</v>
          </cell>
          <cell r="H311">
            <v>-0.89965850702133809</v>
          </cell>
          <cell r="K311">
            <v>-0.90009320449297081</v>
          </cell>
          <cell r="M311">
            <v>-0.90009320449297081</v>
          </cell>
        </row>
        <row r="312">
          <cell r="D312">
            <v>4.8600000000000003</v>
          </cell>
          <cell r="E312">
            <v>-6.3407373466661032E-2</v>
          </cell>
          <cell r="G312">
            <v>6.5984276068678591</v>
          </cell>
          <cell r="H312">
            <v>-0.88710719922266779</v>
          </cell>
          <cell r="K312">
            <v>-0.88766866506174902</v>
          </cell>
          <cell r="M312">
            <v>-0.88766866506174902</v>
          </cell>
        </row>
        <row r="313">
          <cell r="D313">
            <v>4.8800000000000097</v>
          </cell>
          <cell r="E313">
            <v>-6.2522356047679015E-2</v>
          </cell>
          <cell r="G313">
            <v>6.6131678921207779</v>
          </cell>
          <cell r="H313">
            <v>-0.87472527452065818</v>
          </cell>
          <cell r="K313">
            <v>-0.87541271696621259</v>
          </cell>
          <cell r="M313">
            <v>-0.87541271696621259</v>
          </cell>
        </row>
        <row r="314">
          <cell r="D314">
            <v>4.9000000000000101</v>
          </cell>
          <cell r="E314">
            <v>-6.1649289588516579E-2</v>
          </cell>
          <cell r="G314">
            <v>6.6279081773736896</v>
          </cell>
          <cell r="H314">
            <v>-0.86251055091710005</v>
          </cell>
          <cell r="K314">
            <v>-0.86332315506982704</v>
          </cell>
          <cell r="M314">
            <v>-0.86332315506982704</v>
          </cell>
        </row>
        <row r="315">
          <cell r="D315">
            <v>4.9200000000000097</v>
          </cell>
          <cell r="E315">
            <v>-6.0788019973206028E-2</v>
          </cell>
          <cell r="G315">
            <v>6.6426484626265996</v>
          </cell>
          <cell r="H315">
            <v>-0.85046087223713618</v>
          </cell>
          <cell r="K315">
            <v>-0.8513978007002504</v>
          </cell>
          <cell r="M315">
            <v>-0.8513978007002504</v>
          </cell>
        </row>
        <row r="316">
          <cell r="D316">
            <v>4.9400000000000004</v>
          </cell>
          <cell r="E316">
            <v>-5.9938394914191041E-2</v>
          </cell>
          <cell r="G316">
            <v>6.6573887478795033</v>
          </cell>
          <cell r="H316">
            <v>-0.83857410788648112</v>
          </cell>
          <cell r="K316">
            <v>-0.83963450140287899</v>
          </cell>
          <cell r="M316">
            <v>-0.83963450140287899</v>
          </cell>
        </row>
        <row r="317">
          <cell r="D317">
            <v>4.9600000000000097</v>
          </cell>
          <cell r="E317">
            <v>-5.9100263934983722E-2</v>
          </cell>
          <cell r="G317">
            <v>6.672129033132423</v>
          </cell>
          <cell r="H317">
            <v>-0.8268481526087833</v>
          </cell>
          <cell r="K317">
            <v>-0.8280311306943251</v>
          </cell>
          <cell r="M317">
            <v>-0.8280311306943251</v>
          </cell>
        </row>
        <row r="318">
          <cell r="D318">
            <v>4.9800000000000102</v>
          </cell>
          <cell r="E318">
            <v>-5.8273478352848684E-2</v>
          </cell>
          <cell r="G318">
            <v>6.6868693183853347</v>
          </cell>
          <cell r="H318">
            <v>-0.8152809262433649</v>
          </cell>
          <cell r="K318">
            <v>-0.81658558781604174</v>
          </cell>
          <cell r="M318">
            <v>-0.81658558781604174</v>
          </cell>
        </row>
        <row r="319">
          <cell r="D319">
            <v>5.0000000000000098</v>
          </cell>
          <cell r="E319">
            <v>-5.7457891261506439E-2</v>
          </cell>
          <cell r="G319">
            <v>6.7016096036382455</v>
          </cell>
          <cell r="H319">
            <v>-0.80387037348323198</v>
          </cell>
          <cell r="K319">
            <v>-0.80529579748801006</v>
          </cell>
          <cell r="M319">
            <v>-0.80529579748801006</v>
          </cell>
        </row>
        <row r="320">
          <cell r="D320">
            <v>5.0199999999999996</v>
          </cell>
          <cell r="E320">
            <v>-5.6653357513875534E-2</v>
          </cell>
          <cell r="G320">
            <v>6.7163498888911493</v>
          </cell>
          <cell r="H320">
            <v>-0.79261446363362709</v>
          </cell>
          <cell r="K320">
            <v>-0.79415970966277061</v>
          </cell>
          <cell r="M320">
            <v>-0.79415970966277061</v>
          </cell>
        </row>
        <row r="321">
          <cell r="D321">
            <v>5.0400000000000098</v>
          </cell>
          <cell r="E321">
            <v>-5.5859733704848591E-2</v>
          </cell>
          <cell r="G321">
            <v>6.7310901741440672</v>
          </cell>
          <cell r="H321">
            <v>-0.78151119037105476</v>
          </cell>
          <cell r="K321">
            <v>-0.78317529927973806</v>
          </cell>
          <cell r="M321">
            <v>-0.78317529927973806</v>
          </cell>
        </row>
        <row r="322">
          <cell r="D322">
            <v>5.0600000000000103</v>
          </cell>
          <cell r="E322">
            <v>-5.5076878154118054E-2</v>
          </cell>
          <cell r="G322">
            <v>6.7458304593969789</v>
          </cell>
          <cell r="H322">
            <v>-0.77055857150300411</v>
          </cell>
          <cell r="K322">
            <v>-0.77234056602001844</v>
          </cell>
          <cell r="M322">
            <v>-0.77234056602001844</v>
          </cell>
        </row>
        <row r="323">
          <cell r="D323">
            <v>5.0800000000000098</v>
          </cell>
          <cell r="E323">
            <v>-5.4304650889042502E-2</v>
          </cell>
          <cell r="G323">
            <v>6.7605707446498906</v>
          </cell>
          <cell r="H323">
            <v>-0.75975464872823806</v>
          </cell>
          <cell r="K323">
            <v>-0.76165353406163283</v>
          </cell>
          <cell r="M323">
            <v>-0.76165353406163283</v>
          </cell>
        </row>
        <row r="324">
          <cell r="D324">
            <v>5.0999999999999996</v>
          </cell>
          <cell r="E324">
            <v>-5.3542913627572637E-2</v>
          </cell>
          <cell r="G324">
            <v>6.7753110299027943</v>
          </cell>
          <cell r="H324">
            <v>-0.74909748739791782</v>
          </cell>
          <cell r="K324">
            <v>-0.75111225183539576</v>
          </cell>
          <cell r="M324">
            <v>-0.75111225183539576</v>
          </cell>
        </row>
        <row r="325">
          <cell r="D325">
            <v>5.1200000000000099</v>
          </cell>
          <cell r="E325">
            <v>-5.2791529761230686E-2</v>
          </cell>
          <cell r="G325">
            <v>6.7900513151557123</v>
          </cell>
          <cell r="H325">
            <v>-0.738585176277474</v>
          </cell>
          <cell r="K325">
            <v>-0.74071479178138322</v>
          </cell>
          <cell r="M325">
            <v>-0.74071479178138322</v>
          </cell>
        </row>
        <row r="326">
          <cell r="D326">
            <v>5.1400000000000103</v>
          </cell>
          <cell r="E326">
            <v>-5.2050364338157913E-2</v>
          </cell>
          <cell r="G326">
            <v>6.804791600408624</v>
          </cell>
          <cell r="H326">
            <v>-0.72821582730943213</v>
          </cell>
          <cell r="K326">
            <v>-0.73045925010619928</v>
          </cell>
          <cell r="M326">
            <v>-0.73045925010619928</v>
          </cell>
        </row>
        <row r="327">
          <cell r="D327">
            <v>5.1600000000000099</v>
          </cell>
          <cell r="E327">
            <v>-5.1319284046221048E-2</v>
          </cell>
          <cell r="G327">
            <v>6.8195318856615357</v>
          </cell>
          <cell r="H327">
            <v>-0.71798757537706026</v>
          </cell>
          <cell r="K327">
            <v>-0.72034374654093225</v>
          </cell>
          <cell r="M327">
            <v>-0.72034374654093225</v>
          </cell>
        </row>
        <row r="328">
          <cell r="D328">
            <v>5.1800000000000104</v>
          </cell>
          <cell r="E328">
            <v>-5.059815719619444E-2</v>
          </cell>
          <cell r="G328">
            <v>6.8342721709144474</v>
          </cell>
          <cell r="H328">
            <v>-0.70789857806907797</v>
          </cell>
          <cell r="K328">
            <v>-0.71036642410001549</v>
          </cell>
          <cell r="M328">
            <v>-0.71036642410001549</v>
          </cell>
        </row>
        <row r="329">
          <cell r="D329">
            <v>5.2000000000000099</v>
          </cell>
          <cell r="E329">
            <v>-4.9886853705014368E-2</v>
          </cell>
          <cell r="G329">
            <v>6.8490124561673591</v>
          </cell>
          <cell r="H329">
            <v>-0.69794701544537407</v>
          </cell>
          <cell r="K329">
            <v>-0.70052544884098156</v>
          </cell>
          <cell r="M329">
            <v>-0.70052544884098156</v>
          </cell>
        </row>
        <row r="330">
          <cell r="D330">
            <v>5.2200000000000104</v>
          </cell>
          <cell r="E330">
            <v>-4.9185245079110679E-2</v>
          </cell>
          <cell r="G330">
            <v>6.8637527414202708</v>
          </cell>
          <cell r="H330">
            <v>-0.68813108980380588</v>
          </cell>
          <cell r="K330">
            <v>-0.6908190096251664</v>
          </cell>
          <cell r="M330">
            <v>-0.6908190096251664</v>
          </cell>
        </row>
        <row r="331">
          <cell r="D331">
            <v>5.24000000000001</v>
          </cell>
          <cell r="E331">
            <v>-4.8493204397819907E-2</v>
          </cell>
          <cell r="G331">
            <v>6.8784930266731799</v>
          </cell>
          <cell r="H331">
            <v>-0.67844902544813923</v>
          </cell>
          <cell r="K331">
            <v>-0.68124531787943643</v>
          </cell>
          <cell r="M331">
            <v>-0.68124531787943643</v>
          </cell>
        </row>
        <row r="332">
          <cell r="D332">
            <v>5.2600000000000096</v>
          </cell>
          <cell r="E332">
            <v>-4.781060629688192E-2</v>
          </cell>
          <cell r="G332">
            <v>6.8932333119260916</v>
          </cell>
          <cell r="H332">
            <v>-0.66889906845715619</v>
          </cell>
          <cell r="K332">
            <v>-0.67180260735897657</v>
          </cell>
          <cell r="M332">
            <v>-0.67180260735897657</v>
          </cell>
        </row>
        <row r="333">
          <cell r="D333">
            <v>5.28000000000001</v>
          </cell>
          <cell r="E333">
            <v>-4.7137326952023925E-2</v>
          </cell>
          <cell r="G333">
            <v>6.9079735971790033</v>
          </cell>
          <cell r="H333">
            <v>-0.65947948645498589</v>
          </cell>
          <cell r="K333">
            <v>-0.66248913391120134</v>
          </cell>
          <cell r="M333">
            <v>-0.66248913391120134</v>
          </cell>
        </row>
        <row r="334">
          <cell r="D334">
            <v>5.3000000000000096</v>
          </cell>
          <cell r="E334">
            <v>-4.6473244062634353E-2</v>
          </cell>
          <cell r="G334">
            <v>6.922713882431915</v>
          </cell>
          <cell r="H334">
            <v>-0.65018856838269223</v>
          </cell>
          <cell r="K334">
            <v>-0.65330317524081605</v>
          </cell>
          <cell r="M334">
            <v>-0.65330317524081605</v>
          </cell>
        </row>
        <row r="335">
          <cell r="D335">
            <v>5.3200000000000101</v>
          </cell>
          <cell r="E335">
            <v>-4.5818236835529026E-2</v>
          </cell>
          <cell r="G335">
            <v>6.9374541676848267</v>
          </cell>
          <cell r="H335">
            <v>-0.64102462427115237</v>
          </cell>
          <cell r="K335">
            <v>-0.64424303067608191</v>
          </cell>
          <cell r="M335">
            <v>-0.64424303067608191</v>
          </cell>
        </row>
        <row r="336">
          <cell r="D336">
            <v>5.3400000000000096</v>
          </cell>
          <cell r="E336">
            <v>-4.5172185968812867E-2</v>
          </cell>
          <cell r="G336">
            <v>6.9521944529377357</v>
          </cell>
          <cell r="H336">
            <v>-0.63198598501527337</v>
          </cell>
          <cell r="K336">
            <v>-0.63530702093633951</v>
          </cell>
          <cell r="M336">
            <v>-0.63530702093633951</v>
          </cell>
        </row>
        <row r="337">
          <cell r="D337">
            <v>5.3600000000000101</v>
          </cell>
          <cell r="E337">
            <v>-4.4534973635838533E-2</v>
          </cell>
          <cell r="G337">
            <v>6.9669347381906475</v>
          </cell>
          <cell r="H337">
            <v>-0.62307100214956257</v>
          </cell>
          <cell r="K337">
            <v>-0.62649348790079618</v>
          </cell>
          <cell r="M337">
            <v>-0.62649348790079618</v>
          </cell>
        </row>
        <row r="338">
          <cell r="D338">
            <v>5.3800000000000097</v>
          </cell>
          <cell r="E338">
            <v>-4.3906483469265296E-2</v>
          </cell>
          <cell r="G338">
            <v>6.9816750234435592</v>
          </cell>
          <cell r="H338">
            <v>-0.61427804762510307</v>
          </cell>
          <cell r="K338">
            <v>-0.61780079437865898</v>
          </cell>
          <cell r="M338">
            <v>-0.61780079437865898</v>
          </cell>
        </row>
        <row r="339">
          <cell r="D339">
            <v>5.4000000000000101</v>
          </cell>
          <cell r="E339">
            <v>-4.3286600545219225E-2</v>
          </cell>
          <cell r="G339">
            <v>6.9964153086964709</v>
          </cell>
          <cell r="H339">
            <v>-0.60560551358794412</v>
          </cell>
          <cell r="K339">
            <v>-0.60922732388060274</v>
          </cell>
          <cell r="M339">
            <v>-0.60922732388060274</v>
          </cell>
        </row>
        <row r="340">
          <cell r="D340">
            <v>5.4200000000000097</v>
          </cell>
          <cell r="E340">
            <v>-4.2675211367557551E-2</v>
          </cell>
          <cell r="G340">
            <v>7.0111555939493826</v>
          </cell>
          <cell r="H340">
            <v>-0.59705181215895076</v>
          </cell>
          <cell r="K340">
            <v>-0.60077148039164263</v>
          </cell>
          <cell r="M340">
            <v>-0.60077148039164263</v>
          </cell>
        </row>
        <row r="341">
          <cell r="D341">
            <v>5.4400000000000102</v>
          </cell>
          <cell r="E341">
            <v>-4.2072203852238262E-2</v>
          </cell>
          <cell r="G341">
            <v>7.0258958792022934</v>
          </cell>
          <cell r="H341">
            <v>-0.58861537521512464</v>
          </cell>
          <cell r="K341">
            <v>-0.59243168814542069</v>
          </cell>
          <cell r="M341">
            <v>-0.59243168814542069</v>
          </cell>
        </row>
        <row r="342">
          <cell r="D342">
            <v>5.4600000000000097</v>
          </cell>
          <cell r="E342">
            <v>-4.1477467311797397E-2</v>
          </cell>
          <cell r="G342">
            <v>7.0406361644552033</v>
          </cell>
          <cell r="H342">
            <v>-0.58029465417243276</v>
          </cell>
          <cell r="K342">
            <v>-0.58420639139994412</v>
          </cell>
          <cell r="M342">
            <v>-0.58420639139994412</v>
          </cell>
        </row>
        <row r="343">
          <cell r="D343">
            <v>5.4800000000000102</v>
          </cell>
          <cell r="E343">
            <v>-4.0890892439934809E-2</v>
          </cell>
          <cell r="G343">
            <v>7.0553764497081151</v>
          </cell>
          <cell r="H343">
            <v>-0.57208811977015184</v>
          </cell>
          <cell r="K343">
            <v>-0.57609405421479898</v>
          </cell>
          <cell r="M343">
            <v>-0.57609405421479898</v>
          </cell>
        </row>
        <row r="344">
          <cell r="D344">
            <v>5.5000000000000098</v>
          </cell>
          <cell r="E344">
            <v>-4.0312371296210847E-2</v>
          </cell>
          <cell r="G344">
            <v>7.0701167349610268</v>
          </cell>
          <cell r="H344">
            <v>-0.56399426185676749</v>
          </cell>
          <cell r="K344">
            <v>-0.56809316022987755</v>
          </cell>
          <cell r="M344">
            <v>-0.56809316022987755</v>
          </cell>
        </row>
        <row r="345">
          <cell r="D345">
            <v>5.5200000000000102</v>
          </cell>
          <cell r="E345">
            <v>-3.9741797290854315E-2</v>
          </cell>
          <cell r="G345">
            <v>7.0848570202139385</v>
          </cell>
          <cell r="H345">
            <v>-0.55601158917742644</v>
          </cell>
          <cell r="K345">
            <v>-0.56020221244561974</v>
          </cell>
          <cell r="M345">
            <v>-0.56020221244561974</v>
          </cell>
        </row>
        <row r="346">
          <cell r="D346">
            <v>5.5400000000000098</v>
          </cell>
          <cell r="E346">
            <v>-3.9179065169683912E-2</v>
          </cell>
          <cell r="G346">
            <v>7.0995973054668502</v>
          </cell>
          <cell r="H346">
            <v>-0.54813862916297973</v>
          </cell>
          <cell r="K346">
            <v>-0.55241973300480984</v>
          </cell>
          <cell r="M346">
            <v>-0.55241973300480984</v>
          </cell>
        </row>
        <row r="347">
          <cell r="D347">
            <v>5.5600000000000103</v>
          </cell>
          <cell r="E347">
            <v>-3.8624070999143549E-2</v>
          </cell>
          <cell r="G347">
            <v>7.114337590719761</v>
          </cell>
          <cell r="H347">
            <v>-0.54037392772061765</v>
          </cell>
          <cell r="K347">
            <v>-0.54474426297595224</v>
          </cell>
          <cell r="M347">
            <v>-0.54474426297595224</v>
          </cell>
        </row>
        <row r="348">
          <cell r="D348">
            <v>5.5800000000000098</v>
          </cell>
          <cell r="E348">
            <v>-3.8076712151453286E-2</v>
          </cell>
          <cell r="G348">
            <v>7.129077875972671</v>
          </cell>
          <cell r="H348">
            <v>-0.53271604902612246</v>
          </cell>
          <cell r="K348">
            <v>-0.53717436213822345</v>
          </cell>
          <cell r="M348">
            <v>-0.53717436213822345</v>
          </cell>
        </row>
        <row r="349">
          <cell r="D349">
            <v>5.6000000000000103</v>
          </cell>
          <cell r="E349">
            <v>-3.7536887289876197E-2</v>
          </cell>
          <cell r="G349">
            <v>7.1438181612255827</v>
          </cell>
          <cell r="H349">
            <v>-0.52516357531774205</v>
          </cell>
          <cell r="K349">
            <v>-0.52970860876804371</v>
          </cell>
          <cell r="M349">
            <v>-0.52970860876804371</v>
          </cell>
        </row>
        <row r="350">
          <cell r="D350">
            <v>5.6200000000000099</v>
          </cell>
          <cell r="E350">
            <v>-3.7004496354102835E-2</v>
          </cell>
          <cell r="G350">
            <v>7.1585584464784944</v>
          </cell>
          <cell r="H350">
            <v>-0.51771510669171106</v>
          </cell>
          <cell r="K350">
            <v>-0.52234559942727354</v>
          </cell>
          <cell r="M350">
            <v>-0.52234559942727354</v>
          </cell>
        </row>
        <row r="351">
          <cell r="D351">
            <v>5.6400000000000103</v>
          </cell>
          <cell r="E351">
            <v>-3.6479440545753195E-2</v>
          </cell>
          <cell r="G351">
            <v>7.1732987317314061</v>
          </cell>
          <cell r="H351">
            <v>-0.5103692608994147</v>
          </cell>
          <cell r="K351">
            <v>-0.51508394875304475</v>
          </cell>
          <cell r="M351">
            <v>-0.51508394875304475</v>
          </cell>
        </row>
        <row r="352">
          <cell r="D352">
            <v>5.6600000000000099</v>
          </cell>
          <cell r="E352">
            <v>-3.5961622313997847E-2</v>
          </cell>
          <cell r="G352">
            <v>7.1880390169843169</v>
          </cell>
          <cell r="H352">
            <v>-0.50312467314621834</v>
          </cell>
          <cell r="K352">
            <v>-0.50792228924925287</v>
          </cell>
          <cell r="M352">
            <v>-0.50792228924925287</v>
          </cell>
        </row>
        <row r="353">
          <cell r="D353">
            <v>5.6800000000000104</v>
          </cell>
          <cell r="E353">
            <v>-3.5450945341298008E-2</v>
          </cell>
          <cell r="G353">
            <v>7.2027793022372286</v>
          </cell>
          <cell r="H353">
            <v>-0.49597999589196395</v>
          </cell>
          <cell r="K353">
            <v>-0.50085927107971129</v>
          </cell>
          <cell r="M353">
            <v>-0.50085927107971129</v>
          </cell>
        </row>
        <row r="354">
          <cell r="D354">
            <v>5.7000000000000099</v>
          </cell>
          <cell r="E354">
            <v>-3.4947314529265902E-2</v>
          </cell>
          <cell r="G354">
            <v>7.2175195874901386</v>
          </cell>
          <cell r="H354">
            <v>-0.48893389865314751</v>
          </cell>
          <cell r="K354">
            <v>-0.49389356186299094</v>
          </cell>
          <cell r="M354">
            <v>-0.49389356186299094</v>
          </cell>
        </row>
        <row r="355">
          <cell r="D355">
            <v>5.7200000000000104</v>
          </cell>
          <cell r="E355">
            <v>-3.4450635984645116E-2</v>
          </cell>
          <cell r="G355">
            <v>7.2322598727430503</v>
          </cell>
          <cell r="H355">
            <v>-0.48198506780677597</v>
          </cell>
          <cell r="K355">
            <v>-0.48702384646894703</v>
          </cell>
          <cell r="M355">
            <v>-0.48702384646894703</v>
          </cell>
        </row>
        <row r="356">
          <cell r="D356">
            <v>5.74000000000001</v>
          </cell>
          <cell r="E356">
            <v>-3.3960817005412258E-2</v>
          </cell>
          <cell r="G356">
            <v>7.2470001579959629</v>
          </cell>
          <cell r="H356">
            <v>-0.47513220639592074</v>
          </cell>
          <cell r="K356">
            <v>-0.48024882681694192</v>
          </cell>
          <cell r="M356">
            <v>-0.48024882681694192</v>
          </cell>
        </row>
        <row r="357">
          <cell r="D357">
            <v>5.7600000000000096</v>
          </cell>
          <cell r="E357">
            <v>-3.3477766066999329E-2</v>
          </cell>
          <cell r="G357">
            <v>7.2617404432488728</v>
          </cell>
          <cell r="H357">
            <v>-0.46837403393696081</v>
          </cell>
          <cell r="K357">
            <v>-0.47356722167578791</v>
          </cell>
          <cell r="M357">
            <v>-0.47356722167578791</v>
          </cell>
        </row>
        <row r="358">
          <cell r="D358">
            <v>5.78000000000001</v>
          </cell>
          <cell r="E358">
            <v>-3.3001392808637939E-2</v>
          </cell>
          <cell r="G358">
            <v>7.2764807285017845</v>
          </cell>
          <cell r="H358">
            <v>-0.46170928622853002</v>
          </cell>
          <cell r="K358">
            <v>-0.46697776646538319</v>
          </cell>
          <cell r="M358">
            <v>-0.46697776646538319</v>
          </cell>
        </row>
        <row r="359">
          <cell r="D359">
            <v>5.8000000000000096</v>
          </cell>
          <cell r="E359">
            <v>-3.2531608019825117E-2</v>
          </cell>
          <cell r="G359">
            <v>7.2912210137546953</v>
          </cell>
          <cell r="H359">
            <v>-0.45513671516216531</v>
          </cell>
          <cell r="K359">
            <v>-0.46047921306009471</v>
          </cell>
          <cell r="M359">
            <v>-0.46047921306009471</v>
          </cell>
        </row>
        <row r="360">
          <cell r="D360">
            <v>5.8200000000000101</v>
          </cell>
          <cell r="E360">
            <v>-3.2068323626910832E-2</v>
          </cell>
          <cell r="G360">
            <v>7.305961299007607</v>
          </cell>
          <cell r="H360">
            <v>-0.44865508853465869</v>
          </cell>
          <cell r="K360">
            <v>-0.45407032959384847</v>
          </cell>
          <cell r="M360">
            <v>-0.45407032959384847</v>
          </cell>
        </row>
        <row r="361">
          <cell r="D361">
            <v>5.8400000000000096</v>
          </cell>
          <cell r="E361">
            <v>-3.1611452679807875E-2</v>
          </cell>
          <cell r="G361">
            <v>7.3207015842605188</v>
          </cell>
          <cell r="H361">
            <v>-0.44226318986212004</v>
          </cell>
          <cell r="K361">
            <v>-0.44774990026696254</v>
          </cell>
          <cell r="M361">
            <v>-0.44774990026696254</v>
          </cell>
        </row>
        <row r="362">
          <cell r="D362">
            <v>5.8600000000000101</v>
          </cell>
          <cell r="E362">
            <v>-3.1160909338823355E-2</v>
          </cell>
          <cell r="G362">
            <v>7.3354418695134305</v>
          </cell>
          <cell r="H362">
            <v>-0.43595981819574209</v>
          </cell>
          <cell r="K362">
            <v>-0.4415167251547078</v>
          </cell>
          <cell r="M362">
            <v>-0.4415167251547078</v>
          </cell>
        </row>
        <row r="363">
          <cell r="D363">
            <v>5.8800000000000097</v>
          </cell>
          <cell r="E363">
            <v>-3.0716608861612715E-2</v>
          </cell>
          <cell r="G363">
            <v>7.3501821547663404</v>
          </cell>
          <cell r="H363">
            <v>-0.42974378793927881</v>
          </cell>
          <cell r="K363">
            <v>-0.43536962001761398</v>
          </cell>
          <cell r="M363">
            <v>-0.43536962001761398</v>
          </cell>
        </row>
        <row r="364">
          <cell r="D364">
            <v>5.9000000000000101</v>
          </cell>
          <cell r="E364">
            <v>-3.0278467590255341E-2</v>
          </cell>
          <cell r="G364">
            <v>7.3649224400192521</v>
          </cell>
          <cell r="H364">
            <v>-0.42361392866822645</v>
          </cell>
          <cell r="K364">
            <v>-0.42930741611350903</v>
          </cell>
          <cell r="M364">
            <v>-0.42930741611350903</v>
          </cell>
        </row>
        <row r="365">
          <cell r="D365">
            <v>5.9200000000000097</v>
          </cell>
          <cell r="E365">
            <v>-2.984640293845247E-2</v>
          </cell>
          <cell r="G365">
            <v>7.3796627252721629</v>
          </cell>
          <cell r="H365">
            <v>-0.41756908495071315</v>
          </cell>
          <cell r="K365">
            <v>-0.42332896001130427</v>
          </cell>
          <cell r="M365">
            <v>-0.42332896001130427</v>
          </cell>
        </row>
        <row r="366">
          <cell r="D366">
            <v>5.9400000000000102</v>
          </cell>
          <cell r="E366">
            <v>-2.9420333378846589E-2</v>
          </cell>
          <cell r="G366">
            <v>7.3944030105250746</v>
          </cell>
          <cell r="H366">
            <v>-0.41160811617009113</v>
          </cell>
          <cell r="K366">
            <v>-0.41743311340651795</v>
          </cell>
          <cell r="M366">
            <v>-0.41743311340651795</v>
          </cell>
        </row>
        <row r="367">
          <cell r="D367">
            <v>5.9600000000000097</v>
          </cell>
          <cell r="E367">
            <v>-2.9000178430462719E-2</v>
          </cell>
          <cell r="G367">
            <v>7.4091432957779864</v>
          </cell>
          <cell r="H367">
            <v>-0.40572989634923173</v>
          </cell>
          <cell r="K367">
            <v>-0.41161875293854572</v>
          </cell>
          <cell r="M367">
            <v>-0.41161875293854572</v>
          </cell>
        </row>
        <row r="368">
          <cell r="D368">
            <v>5.9800000000000102</v>
          </cell>
          <cell r="E368">
            <v>-2.8585858646270869E-2</v>
          </cell>
          <cell r="G368">
            <v>7.4238835810308981</v>
          </cell>
          <cell r="H368">
            <v>-0.39993331397651721</v>
          </cell>
          <cell r="K368">
            <v>-0.40588477000966772</v>
          </cell>
          <cell r="M368">
            <v>-0.40588477000966772</v>
          </cell>
        </row>
        <row r="369">
          <cell r="D369">
            <v>6.0000000000000098</v>
          </cell>
          <cell r="E369">
            <v>-2.817729560086981E-2</v>
          </cell>
          <cell r="G369">
            <v>7.438623866283808</v>
          </cell>
          <cell r="H369">
            <v>-0.39421727183352917</v>
          </cell>
          <cell r="K369">
            <v>-0.40023007060579252</v>
          </cell>
          <cell r="M369">
            <v>-0.40023007060579252</v>
          </cell>
        </row>
        <row r="370">
          <cell r="D370">
            <v>6.0200000000000102</v>
          </cell>
          <cell r="E370">
            <v>-2.7774411878291543E-2</v>
          </cell>
          <cell r="G370">
            <v>7.4533641515367197</v>
          </cell>
          <cell r="H370">
            <v>-0.3885806868244257</v>
          </cell>
          <cell r="K370">
            <v>-0.39465357511894628</v>
          </cell>
          <cell r="M370">
            <v>-0.39465357511894628</v>
          </cell>
        </row>
        <row r="371">
          <cell r="D371">
            <v>6.0400000000000098</v>
          </cell>
          <cell r="E371">
            <v>-2.7377131059926431E-2</v>
          </cell>
          <cell r="G371">
            <v>7.4681044367896305</v>
          </cell>
          <cell r="H371">
            <v>-0.38302248980700671</v>
          </cell>
          <cell r="K371">
            <v>-0.38915421817149093</v>
          </cell>
          <cell r="M371">
            <v>-0.38915421817149093</v>
          </cell>
        </row>
        <row r="372">
          <cell r="D372">
            <v>6.0600000000000103</v>
          </cell>
          <cell r="E372">
            <v>-2.6985377712568238E-2</v>
          </cell>
          <cell r="G372">
            <v>7.4828447220425423</v>
          </cell>
          <cell r="H372">
            <v>-0.37754162542545722</v>
          </cell>
          <cell r="K372">
            <v>-0.38373094844207406</v>
          </cell>
          <cell r="M372">
            <v>-0.38373094844207406</v>
          </cell>
        </row>
        <row r="373">
          <cell r="D373">
            <v>6.0800000000000098</v>
          </cell>
          <cell r="E373">
            <v>-2.6599077376579239E-2</v>
          </cell>
          <cell r="G373">
            <v>7.497585007295454</v>
          </cell>
          <cell r="H373">
            <v>-0.37213705194476954</v>
          </cell>
          <cell r="K373">
            <v>-0.37838272849330734</v>
          </cell>
          <cell r="M373">
            <v>-0.37838272849330734</v>
          </cell>
        </row>
        <row r="374">
          <cell r="D374">
            <v>6.1000000000000103</v>
          </cell>
          <cell r="E374">
            <v>-2.6218156554174261E-2</v>
          </cell>
          <cell r="G374">
            <v>7.5123252925483657</v>
          </cell>
          <cell r="H374">
            <v>-0.36680774108683045</v>
          </cell>
          <cell r="K374">
            <v>-0.37310853460116961</v>
          </cell>
          <cell r="M374">
            <v>-0.37310853460116961</v>
          </cell>
        </row>
        <row r="375">
          <cell r="D375">
            <v>6.1200000000000099</v>
          </cell>
          <cell r="E375">
            <v>-2.5842542697823923E-2</v>
          </cell>
          <cell r="G375">
            <v>7.5270655778012765</v>
          </cell>
          <cell r="H375">
            <v>-0.36155267786817541</v>
          </cell>
          <cell r="K375">
            <v>-0.36790735658612561</v>
          </cell>
          <cell r="M375">
            <v>-0.36790735658612561</v>
          </cell>
        </row>
        <row r="376">
          <cell r="D376">
            <v>6.1400000000000103</v>
          </cell>
          <cell r="E376">
            <v>-2.5472164198775921E-2</v>
          </cell>
          <cell r="G376">
            <v>7.5418058630541882</v>
          </cell>
          <cell r="H376">
            <v>-0.35637086043939442</v>
          </cell>
          <cell r="K376">
            <v>-0.36277819764595842</v>
          </cell>
          <cell r="M376">
            <v>-0.36277819764595842</v>
          </cell>
        </row>
        <row r="377">
          <cell r="D377">
            <v>6.1600000000000099</v>
          </cell>
          <cell r="E377">
            <v>-2.510695037569443E-2</v>
          </cell>
          <cell r="G377">
            <v>7.5565461483070981</v>
          </cell>
          <cell r="H377">
            <v>-0.35126129992619048</v>
          </cell>
          <cell r="K377">
            <v>-0.35772007419031304</v>
          </cell>
          <cell r="M377">
            <v>-0.35772007419031304</v>
          </cell>
        </row>
        <row r="378">
          <cell r="D378">
            <v>6.1800000000000104</v>
          </cell>
          <cell r="E378">
            <v>-2.4746831463416559E-2</v>
          </cell>
          <cell r="G378">
            <v>7.5712864335600099</v>
          </cell>
          <cell r="H378">
            <v>-0.34622302027207574</v>
          </cell>
          <cell r="K378">
            <v>-0.35273201567693258</v>
          </cell>
          <cell r="M378">
            <v>-0.35273201567693258</v>
          </cell>
        </row>
        <row r="379">
          <cell r="D379">
            <v>6.2000000000000099</v>
          </cell>
          <cell r="E379">
            <v>-2.4391738601825759E-2</v>
          </cell>
          <cell r="G379">
            <v>7.5860267188129216</v>
          </cell>
          <cell r="H379">
            <v>-0.34125505808270351</v>
          </cell>
          <cell r="K379">
            <v>-0.34781306444960186</v>
          </cell>
          <cell r="M379">
            <v>-0.34781306444960186</v>
          </cell>
        </row>
        <row r="380">
          <cell r="D380">
            <v>6.2200000000000104</v>
          </cell>
          <cell r="E380">
            <v>-2.404160382484118E-2</v>
          </cell>
          <cell r="G380">
            <v>7.6007670040658333</v>
          </cell>
          <cell r="H380">
            <v>-0.33635646247182305</v>
          </cell>
          <cell r="K380">
            <v>-0.34296227557776587</v>
          </cell>
          <cell r="M380">
            <v>-0.34296227557776587</v>
          </cell>
        </row>
        <row r="381">
          <cell r="D381">
            <v>6.24000000000001</v>
          </cell>
          <cell r="E381">
            <v>-2.369636004952275E-2</v>
          </cell>
          <cell r="G381">
            <v>7.6155072893187441</v>
          </cell>
          <cell r="H381">
            <v>-0.33152629490885299</v>
          </cell>
          <cell r="K381">
            <v>-0.33817871669783761</v>
          </cell>
          <cell r="M381">
            <v>-0.33817871669783761</v>
          </cell>
        </row>
        <row r="382">
          <cell r="D382">
            <v>6.2600000000000096</v>
          </cell>
          <cell r="E382">
            <v>-2.3355941065290989E-2</v>
          </cell>
          <cell r="G382">
            <v>7.630247574571654</v>
          </cell>
          <cell r="H382">
            <v>-0.32676362906806017</v>
          </cell>
          <cell r="K382">
            <v>-0.33346146785617342</v>
          </cell>
          <cell r="M382">
            <v>-0.33346146785617342</v>
          </cell>
        </row>
        <row r="383">
          <cell r="D383">
            <v>6.28000000000001</v>
          </cell>
          <cell r="E383">
            <v>-2.3020281523261202E-2</v>
          </cell>
          <cell r="G383">
            <v>7.6449878598245657</v>
          </cell>
          <cell r="H383">
            <v>-0.32206755067933818</v>
          </cell>
          <cell r="K383">
            <v>-0.32880962135371639</v>
          </cell>
          <cell r="M383">
            <v>-0.32880962135371639</v>
          </cell>
        </row>
        <row r="384">
          <cell r="D384">
            <v>6.3000000000000096</v>
          </cell>
          <cell r="E384">
            <v>-2.2689316925691237E-2</v>
          </cell>
          <cell r="G384">
            <v>7.6597281450774775</v>
          </cell>
          <cell r="H384">
            <v>-0.31743715738057582</v>
          </cell>
          <cell r="K384">
            <v>-0.32422228159229199</v>
          </cell>
          <cell r="M384">
            <v>-0.32422228159229199</v>
          </cell>
        </row>
        <row r="385">
          <cell r="D385">
            <v>6.3200000000000101</v>
          </cell>
          <cell r="E385">
            <v>-2.2362983615542089E-2</v>
          </cell>
          <cell r="G385">
            <v>7.6744684303303892</v>
          </cell>
          <cell r="H385">
            <v>-0.31287155857160315</v>
          </cell>
          <cell r="K385">
            <v>-0.31969856492255838</v>
          </cell>
          <cell r="M385">
            <v>-0.31969856492255838</v>
          </cell>
        </row>
        <row r="386">
          <cell r="D386">
            <v>6.3400000000000096</v>
          </cell>
          <cell r="E386">
            <v>-2.2041218766150828E-2</v>
          </cell>
          <cell r="G386">
            <v>7.6892087155833</v>
          </cell>
          <cell r="H386">
            <v>-0.30836987526970977</v>
          </cell>
          <cell r="K386">
            <v>-0.31523759949358748</v>
          </cell>
          <cell r="M386">
            <v>-0.31523759949358748</v>
          </cell>
        </row>
        <row r="387">
          <cell r="D387">
            <v>6.3600000000000101</v>
          </cell>
          <cell r="E387">
            <v>-2.1723960371014851E-2</v>
          </cell>
          <cell r="G387">
            <v>7.7039490008362117</v>
          </cell>
          <cell r="H387">
            <v>-0.30393123996672039</v>
          </cell>
          <cell r="K387">
            <v>-0.31083852510407922</v>
          </cell>
          <cell r="M387">
            <v>-0.31083852510407922</v>
          </cell>
        </row>
        <row r="388">
          <cell r="D388">
            <v>6.3800000000000097</v>
          </cell>
          <cell r="E388">
            <v>-2.1411147233687134E-2</v>
          </cell>
          <cell r="G388">
            <v>7.7186892860891225</v>
          </cell>
          <cell r="H388">
            <v>-0.29955479648762323</v>
          </cell>
          <cell r="K388">
            <v>-0.30650049305519755</v>
          </cell>
          <cell r="M388">
            <v>-0.30650049305519755</v>
          </cell>
        </row>
        <row r="389">
          <cell r="D389">
            <v>6.4000000000000101</v>
          </cell>
          <cell r="E389">
            <v>-2.1102718957781218E-2</v>
          </cell>
          <cell r="G389">
            <v>7.7334295713420342</v>
          </cell>
          <cell r="H389">
            <v>-0.29523969985073395</v>
          </cell>
          <cell r="K389">
            <v>-0.3022226660050148</v>
          </cell>
          <cell r="M389">
            <v>-0.3022226660050148</v>
          </cell>
        </row>
        <row r="390">
          <cell r="D390">
            <v>6.4200000000000097</v>
          </cell>
          <cell r="E390">
            <v>-2.0798615937085763E-2</v>
          </cell>
          <cell r="G390">
            <v>7.7481698565949459</v>
          </cell>
          <cell r="H390">
            <v>-0.2909851161293921</v>
          </cell>
          <cell r="K390">
            <v>-0.29800421782455566</v>
          </cell>
          <cell r="M390">
            <v>-0.29800421782455566</v>
          </cell>
        </row>
        <row r="391">
          <cell r="D391">
            <v>6.4400000000000102</v>
          </cell>
          <cell r="E391">
            <v>-2.0498779345787334E-2</v>
          </cell>
          <cell r="G391">
            <v>7.7629101418478577</v>
          </cell>
          <cell r="H391">
            <v>-0.28679022231517226</v>
          </cell>
          <cell r="K391">
            <v>-0.29384433345543409</v>
          </cell>
          <cell r="M391">
            <v>-0.29384433345543409</v>
          </cell>
        </row>
        <row r="392">
          <cell r="D392">
            <v>6.4600000000000097</v>
          </cell>
          <cell r="E392">
            <v>-2.0203151128801139E-2</v>
          </cell>
          <cell r="G392">
            <v>7.7776504271007676</v>
          </cell>
          <cell r="H392">
            <v>-0.28265420618260523</v>
          </cell>
          <cell r="K392">
            <v>-0.28974220876906848</v>
          </cell>
          <cell r="M392">
            <v>-0.28974220876906848</v>
          </cell>
        </row>
        <row r="393">
          <cell r="D393">
            <v>6.4800000000000102</v>
          </cell>
          <cell r="E393">
            <v>-1.9911673992208518E-2</v>
          </cell>
          <cell r="G393">
            <v>7.7923907123536793</v>
          </cell>
          <cell r="H393">
            <v>-0.27857626615539249</v>
          </cell>
          <cell r="K393">
            <v>-0.28569705042746507</v>
          </cell>
          <cell r="M393">
            <v>-0.28569705042746507</v>
          </cell>
        </row>
        <row r="394">
          <cell r="D394">
            <v>6.5000000000000098</v>
          </cell>
          <cell r="E394">
            <v>-1.9624291393800772E-2</v>
          </cell>
          <cell r="G394">
            <v>7.8071309976065901</v>
          </cell>
          <cell r="H394">
            <v>-0.27455561117410909</v>
          </cell>
          <cell r="K394">
            <v>-0.28170807574556456</v>
          </cell>
          <cell r="M394">
            <v>-0.28170807574556456</v>
          </cell>
        </row>
        <row r="395">
          <cell r="D395">
            <v>6.5200000000000102</v>
          </cell>
          <cell r="E395">
            <v>-1.9340947533728097E-2</v>
          </cell>
          <cell r="G395">
            <v>7.8218712828595018</v>
          </cell>
          <cell r="H395">
            <v>-0.27059146056537636</v>
          </cell>
          <cell r="K395">
            <v>-0.27777451255513153</v>
          </cell>
          <cell r="M395">
            <v>-0.27777451255513153</v>
          </cell>
        </row>
        <row r="396">
          <cell r="D396">
            <v>6.5400000000000098</v>
          </cell>
          <cell r="E396">
            <v>-1.9061587345253345E-2</v>
          </cell>
          <cell r="G396">
            <v>7.8366115681124136</v>
          </cell>
          <cell r="H396">
            <v>-0.26668304391250147</v>
          </cell>
          <cell r="K396">
            <v>-0.27389559907018468</v>
          </cell>
          <cell r="M396">
            <v>-0.27389559907018468</v>
          </cell>
        </row>
        <row r="397">
          <cell r="D397">
            <v>6.5600000000000103</v>
          </cell>
          <cell r="E397">
            <v>-1.8786156485609173E-2</v>
          </cell>
          <cell r="G397">
            <v>7.8513518533653253</v>
          </cell>
          <cell r="H397">
            <v>-0.26282960092756369</v>
          </cell>
          <cell r="K397">
            <v>-0.27007058375394838</v>
          </cell>
          <cell r="M397">
            <v>-0.27007058375394838</v>
          </cell>
        </row>
        <row r="398">
          <cell r="D398">
            <v>6.5800000000000098</v>
          </cell>
          <cell r="E398">
            <v>-1.8514601326958393E-2</v>
          </cell>
          <cell r="G398">
            <v>7.8660921386182352</v>
          </cell>
          <cell r="H398">
            <v>-0.2590303813249441</v>
          </cell>
          <cell r="K398">
            <v>-0.26629872518732628</v>
          </cell>
          <cell r="M398">
            <v>-0.26629872518732628</v>
          </cell>
        </row>
        <row r="399">
          <cell r="D399">
            <v>6.6000000000000103</v>
          </cell>
          <cell r="E399">
            <v>-1.8246868947456134E-2</v>
          </cell>
          <cell r="G399">
            <v>7.8808324238711469</v>
          </cell>
          <cell r="H399">
            <v>-0.25528464469627976</v>
          </cell>
          <cell r="K399">
            <v>-0.26257929193886653</v>
          </cell>
          <cell r="M399">
            <v>-0.26257929193886653</v>
          </cell>
        </row>
        <row r="400">
          <cell r="D400">
            <v>6.6200000000000099</v>
          </cell>
          <cell r="E400">
            <v>-1.7982907122413412E-2</v>
          </cell>
          <cell r="G400">
            <v>7.8955727091240577</v>
          </cell>
          <cell r="H400">
            <v>-0.25159166038683706</v>
          </cell>
          <cell r="K400">
            <v>-0.25891156243623098</v>
          </cell>
          <cell r="M400">
            <v>-0.25891156243623098</v>
          </cell>
        </row>
        <row r="401">
          <cell r="D401">
            <v>6.6400000000000103</v>
          </cell>
          <cell r="E401">
            <v>-1.7722664315560927E-2</v>
          </cell>
          <cell r="G401">
            <v>7.9103129943769694</v>
          </cell>
          <cell r="H401">
            <v>-0.24795070737328676</v>
          </cell>
          <cell r="K401">
            <v>-0.25529482483913435</v>
          </cell>
          <cell r="M401">
            <v>-0.25529482483913435</v>
          </cell>
        </row>
        <row r="402">
          <cell r="D402">
            <v>6.6600000000000099</v>
          </cell>
          <cell r="E402">
            <v>-1.7466089670412598E-2</v>
          </cell>
          <cell r="G402">
            <v>7.9250532796298812</v>
          </cell>
          <cell r="H402">
            <v>-0.24436107414287447</v>
          </cell>
          <cell r="K402">
            <v>-0.25172837691375688</v>
          </cell>
          <cell r="M402">
            <v>-0.25172837691375688</v>
          </cell>
        </row>
        <row r="403">
          <cell r="D403">
            <v>6.6800000000000104</v>
          </cell>
          <cell r="E403">
            <v>-1.7213133001727551E-2</v>
          </cell>
          <cell r="G403">
            <v>7.9397935648827929</v>
          </cell>
          <cell r="H403">
            <v>-0.24082205857396949</v>
          </cell>
          <cell r="K403">
            <v>-0.2482115259086114</v>
          </cell>
          <cell r="M403">
            <v>-0.2482115259086114</v>
          </cell>
        </row>
        <row r="404">
          <cell r="D404">
            <v>6.7000000000000099</v>
          </cell>
          <cell r="E404">
            <v>-1.6963744787070204E-2</v>
          </cell>
          <cell r="G404">
            <v>7.9545338501357037</v>
          </cell>
          <cell r="H404">
            <v>-0.23733296781798441</v>
          </cell>
          <cell r="K404">
            <v>-0.24474358843185462</v>
          </cell>
          <cell r="M404">
            <v>-0.24474358843185462</v>
          </cell>
        </row>
        <row r="405">
          <cell r="D405">
            <v>6.7200000000000104</v>
          </cell>
          <cell r="E405">
            <v>-1.6717876158467131E-2</v>
          </cell>
          <cell r="G405">
            <v>7.9692741353886136</v>
          </cell>
          <cell r="H405">
            <v>-0.23389311818265024</v>
          </cell>
          <cell r="K405">
            <v>-0.24132389033003152</v>
          </cell>
          <cell r="M405">
            <v>-0.24132389033003152</v>
          </cell>
        </row>
        <row r="406">
          <cell r="D406">
            <v>6.74000000000001</v>
          </cell>
          <cell r="E406">
            <v>-1.6475478894160255E-2</v>
          </cell>
          <cell r="G406">
            <v>7.9840144206415253</v>
          </cell>
          <cell r="H406">
            <v>-0.23050183501663846</v>
          </cell>
          <cell r="K406">
            <v>-0.23795176656823905</v>
          </cell>
          <cell r="M406">
            <v>-0.23795176656823905</v>
          </cell>
        </row>
        <row r="407">
          <cell r="D407">
            <v>6.7600000000000096</v>
          </cell>
          <cell r="E407">
            <v>-1.6236505410455133E-2</v>
          </cell>
          <cell r="G407">
            <v>7.998754705894437</v>
          </cell>
          <cell r="H407">
            <v>-0.22715845259551359</v>
          </cell>
          <cell r="K407">
            <v>-0.23462656111169997</v>
          </cell>
          <cell r="M407">
            <v>-0.23462656111169997</v>
          </cell>
        </row>
        <row r="408">
          <cell r="D408">
            <v>6.78000000000001</v>
          </cell>
          <cell r="E408">
            <v>-1.6000908753663834E-2</v>
          </cell>
          <cell r="G408">
            <v>8.0134949911473488</v>
          </cell>
          <cell r="H408">
            <v>-0.22386231400900924</v>
          </cell>
          <cell r="K408">
            <v>-0.23134762680873106</v>
          </cell>
          <cell r="M408">
            <v>-0.23134762680873106</v>
          </cell>
        </row>
        <row r="409">
          <cell r="D409">
            <v>6.8000000000000096</v>
          </cell>
          <cell r="E409">
            <v>-1.5768642592141315E-2</v>
          </cell>
          <cell r="G409">
            <v>8.0282352764002596</v>
          </cell>
          <cell r="H409">
            <v>-0.2206127710496123</v>
          </cell>
          <cell r="K409">
            <v>-0.22811432527509565</v>
          </cell>
          <cell r="M409">
            <v>-0.22811432527509565</v>
          </cell>
        </row>
        <row r="410">
          <cell r="D410">
            <v>6.8200000000000101</v>
          </cell>
          <cell r="E410">
            <v>-1.5539661208414468E-2</v>
          </cell>
          <cell r="G410">
            <v>8.0429755616531704</v>
          </cell>
          <cell r="H410">
            <v>-0.21740918410244348</v>
          </cell>
          <cell r="K410">
            <v>-0.2249260267797277</v>
          </cell>
          <cell r="M410">
            <v>-0.2249260267797277</v>
          </cell>
        </row>
        <row r="411">
          <cell r="D411">
            <v>6.8400000000000096</v>
          </cell>
          <cell r="E411">
            <v>-1.5313919491403118E-2</v>
          </cell>
          <cell r="G411">
            <v>8.0577158469060812</v>
          </cell>
          <cell r="H411">
            <v>-0.21425092203642446</v>
          </cell>
          <cell r="K411">
            <v>-0.22178211013181628</v>
          </cell>
          <cell r="M411">
            <v>-0.22178211013181628</v>
          </cell>
        </row>
        <row r="412">
          <cell r="D412">
            <v>6.8600000000000101</v>
          </cell>
          <cell r="E412">
            <v>-1.5091372928731901E-2</v>
          </cell>
          <cell r="G412">
            <v>8.0724561321589938</v>
          </cell>
          <cell r="H412">
            <v>-0.21113736209671655</v>
          </cell>
          <cell r="K412">
            <v>-0.21868196256923619</v>
          </cell>
          <cell r="M412">
            <v>-0.21868196256923619</v>
          </cell>
        </row>
        <row r="413">
          <cell r="D413">
            <v>6.8800000000000097</v>
          </cell>
          <cell r="E413">
            <v>-1.4871977599132396E-2</v>
          </cell>
          <cell r="G413">
            <v>8.0871964174119046</v>
          </cell>
          <cell r="H413">
            <v>-0.20806788979842172</v>
          </cell>
          <cell r="K413">
            <v>-0.21562497964831476</v>
          </cell>
          <cell r="M413">
            <v>-0.21562497964831476</v>
          </cell>
        </row>
        <row r="414">
          <cell r="D414">
            <v>6.9000000000000101</v>
          </cell>
          <cell r="E414">
            <v>-1.4655690164934418E-2</v>
          </cell>
          <cell r="G414">
            <v>8.1019367026648172</v>
          </cell>
          <cell r="H414">
            <v>-0.20504189882153148</v>
          </cell>
          <cell r="K414">
            <v>-0.21261056513491791</v>
          </cell>
          <cell r="M414">
            <v>-0.21261056513491791</v>
          </cell>
        </row>
        <row r="415">
          <cell r="D415">
            <v>6.9200000000000097</v>
          </cell>
          <cell r="E415">
            <v>-1.4442467864645869E-2</v>
          </cell>
          <cell r="G415">
            <v>8.1166769879177263</v>
          </cell>
          <cell r="H415">
            <v>-0.20205879090711451</v>
          </cell>
          <cell r="K415">
            <v>-0.20963813089685385</v>
          </cell>
          <cell r="M415">
            <v>-0.20963813089685385</v>
          </cell>
        </row>
        <row r="416">
          <cell r="D416">
            <v>6.9400000000000102</v>
          </cell>
          <cell r="E416">
            <v>-1.423226850562E-2</v>
          </cell>
          <cell r="G416">
            <v>8.1314172731706371</v>
          </cell>
          <cell r="H416">
            <v>-0.19911797575472717</v>
          </cell>
          <cell r="K416">
            <v>-0.20670709679756361</v>
          </cell>
          <cell r="M416">
            <v>-0.20670709679756361</v>
          </cell>
        </row>
        <row r="417">
          <cell r="D417">
            <v>6.9600000000000097</v>
          </cell>
          <cell r="E417">
            <v>-1.4025050456809577E-2</v>
          </cell>
          <cell r="G417">
            <v>8.1461575584235497</v>
          </cell>
          <cell r="H417">
            <v>-0.19621887092104007</v>
          </cell>
          <cell r="K417">
            <v>-0.20381689059110833</v>
          </cell>
          <cell r="M417">
            <v>-0.20381689059110833</v>
          </cell>
        </row>
        <row r="418">
          <cell r="D418">
            <v>6.9800000000000102</v>
          </cell>
          <cell r="E418">
            <v>-1.3820772641606752E-2</v>
          </cell>
          <cell r="G418">
            <v>8.1608978436764605</v>
          </cell>
          <cell r="H418">
            <v>-0.19336090171966341</v>
          </cell>
          <cell r="K418">
            <v>-0.20096694781842375</v>
          </cell>
          <cell r="M418">
            <v>-0.20096694781842375</v>
          </cell>
        </row>
        <row r="419">
          <cell r="D419">
            <v>7.0000000000000098</v>
          </cell>
          <cell r="E419">
            <v>-1.3619394530768079E-2</v>
          </cell>
          <cell r="G419">
            <v>8.1756381289293731</v>
          </cell>
          <cell r="H419">
            <v>-0.19054350112216389</v>
          </cell>
          <cell r="K419">
            <v>-0.19815671170483631</v>
          </cell>
          <cell r="M419">
            <v>-0.19815671170483631</v>
          </cell>
        </row>
        <row r="420">
          <cell r="D420">
            <v>7.0200000000000102</v>
          </cell>
          <cell r="E420">
            <v>-1.342087613542362E-2</v>
          </cell>
          <cell r="G420">
            <v>8.190378414182284</v>
          </cell>
          <cell r="H420">
            <v>-0.18776610966025772</v>
          </cell>
          <cell r="K420">
            <v>-0.19538563305883017</v>
          </cell>
          <cell r="M420">
            <v>-0.19538563305883017</v>
          </cell>
        </row>
        <row r="421">
          <cell r="D421">
            <v>7.0400000000000098</v>
          </cell>
          <cell r="E421">
            <v>-1.3225178000169478E-2</v>
          </cell>
          <cell r="G421">
            <v>8.205118699435193</v>
          </cell>
          <cell r="H421">
            <v>-0.1850281753291711</v>
          </cell>
          <cell r="K421">
            <v>-0.19265317017204961</v>
          </cell>
          <cell r="M421">
            <v>-0.19265317017204961</v>
          </cell>
        </row>
        <row r="422">
          <cell r="D422">
            <v>7.0600000000000103</v>
          </cell>
          <cell r="E422">
            <v>-1.3032261196242734E-2</v>
          </cell>
          <cell r="G422">
            <v>8.2198589846881056</v>
          </cell>
          <cell r="H422">
            <v>-0.18232915349215359</v>
          </cell>
          <cell r="K422">
            <v>-0.18995878872052285</v>
          </cell>
          <cell r="M422">
            <v>-0.18995878872052285</v>
          </cell>
        </row>
        <row r="423">
          <cell r="D423">
            <v>7.0800000000000098</v>
          </cell>
          <cell r="E423">
            <v>-1.2842087314778155E-2</v>
          </cell>
          <cell r="G423">
            <v>8.2345992699410164</v>
          </cell>
          <cell r="H423">
            <v>-0.17966850678613527</v>
          </cell>
          <cell r="K423">
            <v>-0.18730196166710675</v>
          </cell>
          <cell r="M423">
            <v>-0.18730196166710675</v>
          </cell>
        </row>
        <row r="424">
          <cell r="D424">
            <v>7.1000000000000103</v>
          </cell>
          <cell r="E424">
            <v>-1.2654618460145615E-2</v>
          </cell>
          <cell r="G424">
            <v>8.249339555193929</v>
          </cell>
          <cell r="H424">
            <v>-0.17704570502851324</v>
          </cell>
          <cell r="K424">
            <v>-0.18468216916511951</v>
          </cell>
          <cell r="M424">
            <v>-0.18468216916511951</v>
          </cell>
        </row>
        <row r="425">
          <cell r="D425">
            <v>7.1200000000000099</v>
          </cell>
          <cell r="E425">
            <v>-1.2469817243367654E-2</v>
          </cell>
          <cell r="G425">
            <v>8.2640798404468399</v>
          </cell>
          <cell r="H425">
            <v>-0.17446022512505951</v>
          </cell>
          <cell r="K425">
            <v>-0.1820988984631724</v>
          </cell>
          <cell r="M425">
            <v>-0.1820988984631724</v>
          </cell>
        </row>
        <row r="426">
          <cell r="D426">
            <v>7.1400000000000103</v>
          </cell>
          <cell r="E426">
            <v>-1.2287646775616086E-2</v>
          </cell>
          <cell r="G426">
            <v>8.2788201256997507</v>
          </cell>
          <cell r="H426">
            <v>-0.17191155097893443</v>
          </cell>
          <cell r="K426">
            <v>-0.17955164381116862</v>
          </cell>
          <cell r="M426">
            <v>-0.17955164381116862</v>
          </cell>
        </row>
        <row r="427">
          <cell r="D427">
            <v>7.1600000000000099</v>
          </cell>
          <cell r="E427">
            <v>-1.2108070661787096E-2</v>
          </cell>
          <cell r="G427">
            <v>8.2935604109526615</v>
          </cell>
          <cell r="H427">
            <v>-0.16939917340079855</v>
          </cell>
          <cell r="K427">
            <v>-0.17703990636747199</v>
          </cell>
          <cell r="M427">
            <v>-0.17703990636747199</v>
          </cell>
        </row>
        <row r="428">
          <cell r="D428">
            <v>7.1800000000000104</v>
          </cell>
          <cell r="E428">
            <v>-1.1931052994153755E-2</v>
          </cell>
          <cell r="G428">
            <v>8.3083006962055723</v>
          </cell>
          <cell r="H428">
            <v>-0.16692259002000753</v>
          </cell>
          <cell r="K428">
            <v>-0.17456319410722423</v>
          </cell>
          <cell r="M428">
            <v>-0.17456319410722423</v>
          </cell>
        </row>
        <row r="429">
          <cell r="D429">
            <v>7.2000000000000099</v>
          </cell>
          <cell r="E429">
            <v>-1.1756558346095408E-2</v>
          </cell>
          <cell r="G429">
            <v>8.3230409814584849</v>
          </cell>
          <cell r="H429">
            <v>-0.16448130519688242</v>
          </cell>
          <cell r="K429">
            <v>-0.17212102173180194</v>
          </cell>
          <cell r="M429">
            <v>-0.17212102173180194</v>
          </cell>
        </row>
        <row r="430">
          <cell r="D430">
            <v>7.2200000000000104</v>
          </cell>
          <cell r="E430">
            <v>-1.1584551765902845E-2</v>
          </cell>
          <cell r="G430">
            <v>8.3377812667113957</v>
          </cell>
          <cell r="H430">
            <v>-0.16207482993604033</v>
          </cell>
          <cell r="K430">
            <v>-0.16971291057940496</v>
          </cell>
          <cell r="M430">
            <v>-0.16971291057940496</v>
          </cell>
        </row>
        <row r="431">
          <cell r="D431">
            <v>7.24000000000001</v>
          </cell>
          <cell r="E431">
            <v>-1.141499877065873E-2</v>
          </cell>
          <cell r="G431">
            <v>8.3525215519643083</v>
          </cell>
          <cell r="H431">
            <v>-0.15970268180077804</v>
          </cell>
          <cell r="K431">
            <v>-0.16733838853675476</v>
          </cell>
          <cell r="M431">
            <v>-0.16733838853675476</v>
          </cell>
        </row>
        <row r="432">
          <cell r="D432">
            <v>7.2600000000000096</v>
          </cell>
          <cell r="E432">
            <v>-1.1247865340192254E-2</v>
          </cell>
          <cell r="G432">
            <v>8.3672618372172174</v>
          </cell>
          <cell r="H432">
            <v>-0.15736438482849374</v>
          </cell>
          <cell r="K432">
            <v>-0.16499698995190315</v>
          </cell>
          <cell r="M432">
            <v>-0.16499698995190315</v>
          </cell>
        </row>
        <row r="433">
          <cell r="D433">
            <v>7.28000000000001</v>
          </cell>
          <cell r="E433">
            <v>-1.108311791110737E-2</v>
          </cell>
          <cell r="G433">
            <v>8.3820021224701282</v>
          </cell>
          <cell r="H433">
            <v>-0.15505946944713878</v>
          </cell>
          <cell r="K433">
            <v>-0.16268825554812841</v>
          </cell>
          <cell r="M433">
            <v>-0.16268825554812841</v>
          </cell>
        </row>
        <row r="434">
          <cell r="D434">
            <v>7.3000000000000096</v>
          </cell>
          <cell r="E434">
            <v>-1.0920723370883805E-2</v>
          </cell>
          <cell r="G434">
            <v>8.3967424077230408</v>
          </cell>
          <cell r="H434">
            <v>-0.15278747239268697</v>
          </cell>
          <cell r="K434">
            <v>-0.16041173233891687</v>
          </cell>
          <cell r="M434">
            <v>-0.16041173233891687</v>
          </cell>
        </row>
        <row r="435">
          <cell r="D435">
            <v>7.3200000000000101</v>
          </cell>
          <cell r="E435">
            <v>-1.0760649052049957E-2</v>
          </cell>
          <cell r="G435">
            <v>8.4114826929759516</v>
          </cell>
          <cell r="H435">
            <v>-0.15054793662761012</v>
          </cell>
          <cell r="K435">
            <v>-0.15816697354401049</v>
          </cell>
          <cell r="M435">
            <v>-0.15816697354401049</v>
          </cell>
        </row>
        <row r="436">
          <cell r="D436">
            <v>7.3400000000000096</v>
          </cell>
          <cell r="E436">
            <v>-1.0602862726427055E-2</v>
          </cell>
          <cell r="G436">
            <v>8.4262229782288642</v>
          </cell>
          <cell r="H436">
            <v>-0.14834041126035036</v>
          </cell>
          <cell r="K436">
            <v>-0.15595353850651247</v>
          </cell>
          <cell r="M436">
            <v>-0.15595353850651247</v>
          </cell>
        </row>
        <row r="437">
          <cell r="D437">
            <v>7.3600000000000101</v>
          </cell>
          <cell r="E437">
            <v>-1.0447332599443675E-2</v>
          </cell>
          <cell r="G437">
            <v>8.4409632634817751</v>
          </cell>
          <cell r="H437">
            <v>-0.1461644514657767</v>
          </cell>
          <cell r="K437">
            <v>-0.15377099261104116</v>
          </cell>
          <cell r="M437">
            <v>-0.15377099261104116</v>
          </cell>
        </row>
        <row r="438">
          <cell r="D438">
            <v>7.3800000000000097</v>
          </cell>
          <cell r="E438">
            <v>-1.0294027304519967E-2</v>
          </cell>
          <cell r="G438">
            <v>8.4557035487346859</v>
          </cell>
          <cell r="H438">
            <v>-0.14401961840661706</v>
          </cell>
          <cell r="K438">
            <v>-0.1516189072029154</v>
          </cell>
          <cell r="M438">
            <v>-0.1516189072029154</v>
          </cell>
        </row>
        <row r="439">
          <cell r="D439">
            <v>7.4000000000000101</v>
          </cell>
          <cell r="E439">
            <v>-1.0142915897520682E-2</v>
          </cell>
          <cell r="G439">
            <v>8.4704438339875967</v>
          </cell>
          <cell r="H439">
            <v>-0.14190547915585283</v>
          </cell>
          <cell r="K439">
            <v>-0.14949685950836641</v>
          </cell>
          <cell r="M439">
            <v>-0.14949685950836641</v>
          </cell>
        </row>
        <row r="440">
          <cell r="D440">
            <v>7.4200000000000097</v>
          </cell>
          <cell r="E440">
            <v>-9.9939678512764273E-3</v>
          </cell>
          <cell r="G440">
            <v>8.4851841192405093</v>
          </cell>
          <cell r="H440">
            <v>-0.13982160662006798</v>
          </cell>
          <cell r="K440">
            <v>-0.14740443255575961</v>
          </cell>
          <cell r="M440">
            <v>-0.14740443255575961</v>
          </cell>
        </row>
        <row r="441">
          <cell r="D441">
            <v>7.4400000000000102</v>
          </cell>
          <cell r="E441">
            <v>-9.847153050172211E-3</v>
          </cell>
          <cell r="G441">
            <v>8.4999244044934201</v>
          </cell>
          <cell r="H441">
            <v>-0.13776757946373935</v>
          </cell>
          <cell r="K441">
            <v>-0.14534121509781925</v>
          </cell>
          <cell r="M441">
            <v>-0.14534121509781925</v>
          </cell>
        </row>
        <row r="442">
          <cell r="D442">
            <v>7.4600000000000097</v>
          </cell>
          <cell r="E442">
            <v>-9.7024417848027063E-3</v>
          </cell>
          <cell r="G442">
            <v>8.514664689746331</v>
          </cell>
          <cell r="H442">
            <v>-0.13574298203446075</v>
          </cell>
          <cell r="K442">
            <v>-0.14330680153484088</v>
          </cell>
          <cell r="M442">
            <v>-0.14330680153484088</v>
          </cell>
        </row>
        <row r="443">
          <cell r="D443">
            <v>7.4800000000000102</v>
          </cell>
          <cell r="E443">
            <v>-9.559804746693306E-3</v>
          </cell>
          <cell r="G443">
            <v>8.5294049749992418</v>
          </cell>
          <cell r="H443">
            <v>-0.13374740428908735</v>
          </cell>
          <cell r="K443">
            <v>-0.14130079183888361</v>
          </cell>
          <cell r="M443">
            <v>-0.14130079183888361</v>
          </cell>
        </row>
        <row r="444">
          <cell r="D444">
            <v>7.5000000000000098</v>
          </cell>
          <cell r="E444">
            <v>-9.4192130230864746E-3</v>
          </cell>
          <cell r="G444">
            <v>8.5441452602521526</v>
          </cell>
          <cell r="H444">
            <v>-0.13178044172079362</v>
          </cell>
          <cell r="K444">
            <v>-0.13932279147893065</v>
          </cell>
          <cell r="M444">
            <v>-0.13932279147893065</v>
          </cell>
        </row>
        <row r="445">
          <cell r="D445">
            <v>7.5200000000000102</v>
          </cell>
          <cell r="E445">
            <v>-9.2806380917923922E-3</v>
          </cell>
          <cell r="G445">
            <v>8.5588855455050652</v>
          </cell>
          <cell r="H445">
            <v>-0.12984169528703066</v>
          </cell>
          <cell r="K445">
            <v>-0.13737241134700526</v>
          </cell>
          <cell r="M445">
            <v>-0.13737241134700526</v>
          </cell>
        </row>
        <row r="446">
          <cell r="D446">
            <v>7.5400000000000098</v>
          </cell>
          <cell r="E446">
            <v>-9.1440518161034403E-3</v>
          </cell>
          <cell r="G446">
            <v>8.573625830757976</v>
          </cell>
          <cell r="H446">
            <v>-0.12793077133837683</v>
          </cell>
          <cell r="K446">
            <v>-0.1354492676852348</v>
          </cell>
          <cell r="M446">
            <v>-0.1354492676852348</v>
          </cell>
        </row>
        <row r="447">
          <cell r="D447">
            <v>7.5600000000000103</v>
          </cell>
          <cell r="E447">
            <v>-9.0094264397715691E-3</v>
          </cell>
          <cell r="G447">
            <v>8.5883661160108886</v>
          </cell>
          <cell r="H447">
            <v>-0.12604728154826814</v>
          </cell>
          <cell r="K447">
            <v>-0.13355298201384716</v>
          </cell>
          <cell r="M447">
            <v>-0.13355298201384716</v>
          </cell>
        </row>
        <row r="448">
          <cell r="D448">
            <v>7.5800000000000098</v>
          </cell>
          <cell r="E448">
            <v>-8.8767345820480546E-3</v>
          </cell>
          <cell r="G448">
            <v>8.6031064012637977</v>
          </cell>
          <cell r="H448">
            <v>-0.12419084284360152</v>
          </cell>
          <cell r="K448">
            <v>-0.13168318106009494</v>
          </cell>
          <cell r="M448">
            <v>-0.13168318106009494</v>
          </cell>
        </row>
        <row r="449">
          <cell r="D449">
            <v>7.6000000000000103</v>
          </cell>
          <cell r="E449">
            <v>-8.7459492327847492E-3</v>
          </cell>
          <cell r="G449">
            <v>8.6178466865167103</v>
          </cell>
          <cell r="H449">
            <v>-0.1223610773361983</v>
          </cell>
          <cell r="K449">
            <v>-0.12983949668809092</v>
          </cell>
          <cell r="M449">
            <v>-0.12983949668809092</v>
          </cell>
        </row>
        <row r="450">
          <cell r="D450">
            <v>7.6200000000000099</v>
          </cell>
          <cell r="E450">
            <v>-8.6170437475962952E-3</v>
          </cell>
          <cell r="G450">
            <v>8.6325869717696211</v>
          </cell>
          <cell r="H450">
            <v>-0.12055761225512072</v>
          </cell>
          <cell r="K450">
            <v>-0.12802156582954985</v>
          </cell>
          <cell r="M450">
            <v>-0.12802156582954985</v>
          </cell>
        </row>
        <row r="451">
          <cell r="D451">
            <v>7.6400000000000103</v>
          </cell>
          <cell r="E451">
            <v>-8.4899918430824568E-3</v>
          </cell>
          <cell r="G451">
            <v>8.6473272570225319</v>
          </cell>
          <cell r="H451">
            <v>-0.11878007987982943</v>
          </cell>
          <cell r="K451">
            <v>-0.12622903041542036</v>
          </cell>
          <cell r="M451">
            <v>-0.12622903041542036</v>
          </cell>
        </row>
        <row r="452">
          <cell r="D452">
            <v>7.6600000000000099</v>
          </cell>
          <cell r="E452">
            <v>-8.3647675921100367E-3</v>
          </cell>
          <cell r="G452">
            <v>8.6620675422754445</v>
          </cell>
          <cell r="H452">
            <v>-0.11702811747417467</v>
          </cell>
          <cell r="K452">
            <v>-0.12446153730840176</v>
          </cell>
          <cell r="M452">
            <v>-0.12446153730840176</v>
          </cell>
        </row>
        <row r="453">
          <cell r="D453">
            <v>7.6800000000000104</v>
          </cell>
          <cell r="E453">
            <v>-8.2413454191535302E-3</v>
          </cell>
          <cell r="G453">
            <v>8.6768078275283553</v>
          </cell>
          <cell r="H453">
            <v>-0.11530136722120939</v>
          </cell>
          <cell r="K453">
            <v>-0.12271873823633402</v>
          </cell>
          <cell r="M453">
            <v>-0.12271873823633402</v>
          </cell>
        </row>
        <row r="454">
          <cell r="D454">
            <v>7.7000000000000099</v>
          </cell>
          <cell r="E454">
            <v>-8.1197000956940227E-3</v>
          </cell>
          <cell r="G454">
            <v>8.6915481127812662</v>
          </cell>
          <cell r="H454">
            <v>-0.11359947615881681</v>
          </cell>
          <cell r="K454">
            <v>-0.12100028972644628</v>
          </cell>
          <cell r="M454">
            <v>-0.12100028972644628</v>
          </cell>
        </row>
        <row r="455">
          <cell r="D455">
            <v>7.7200000000000104</v>
          </cell>
          <cell r="E455">
            <v>-7.9998067356754909E-3</v>
          </cell>
          <cell r="G455">
            <v>8.7062883980341788</v>
          </cell>
          <cell r="H455">
            <v>-0.11192209611614153</v>
          </cell>
          <cell r="K455">
            <v>-0.11930585304046216</v>
          </cell>
          <cell r="M455">
            <v>-0.11930585304046216</v>
          </cell>
        </row>
        <row r="456">
          <cell r="D456">
            <v>7.74000000000001</v>
          </cell>
          <cell r="E456">
            <v>-7.8816407910179843E-3</v>
          </cell>
          <cell r="G456">
            <v>8.7210286832870878</v>
          </cell>
          <cell r="H456">
            <v>-0.1102688836508162</v>
          </cell>
          <cell r="K456">
            <v>-0.11763509411054514</v>
          </cell>
          <cell r="M456">
            <v>-0.11763509411054514</v>
          </cell>
        </row>
        <row r="457">
          <cell r="D457">
            <v>7.7600000000000096</v>
          </cell>
          <cell r="E457">
            <v>-7.7651780471869368E-3</v>
          </cell>
          <cell r="G457">
            <v>8.7357689685400004</v>
          </cell>
          <cell r="H457">
            <v>-0.10863949998697356</v>
          </cell>
          <cell r="K457">
            <v>-0.11598768347607558</v>
          </cell>
          <cell r="M457">
            <v>-0.11598768347607558</v>
          </cell>
        </row>
        <row r="458">
          <cell r="D458">
            <v>7.78000000000001</v>
          </cell>
          <cell r="E458">
            <v>-7.650394618817999E-3</v>
          </cell>
          <cell r="G458">
            <v>8.7505092537929112</v>
          </cell>
          <cell r="H458">
            <v>-0.10703361095403509</v>
          </cell>
          <cell r="K458">
            <v>-0.11436329622125263</v>
          </cell>
          <cell r="M458">
            <v>-0.11436329622125263</v>
          </cell>
        </row>
        <row r="459">
          <cell r="D459">
            <v>7.8000000000000096</v>
          </cell>
          <cell r="E459">
            <v>-7.5372669453967764E-3</v>
          </cell>
          <cell r="G459">
            <v>8.765249539045822</v>
          </cell>
          <cell r="H459">
            <v>-0.10545088692626813</v>
          </cell>
          <cell r="K459">
            <v>-0.11276161191350648</v>
          </cell>
          <cell r="M459">
            <v>-0.11276161191350648</v>
          </cell>
        </row>
        <row r="460">
          <cell r="D460">
            <v>7.8200000000000101</v>
          </cell>
          <cell r="E460">
            <v>-7.4257717869927412E-3</v>
          </cell>
          <cell r="G460">
            <v>8.7799898242987346</v>
          </cell>
          <cell r="H460">
            <v>-0.10389100276310065</v>
          </cell>
          <cell r="K460">
            <v>-0.1111823145427155</v>
          </cell>
          <cell r="M460">
            <v>-0.1111823145427155</v>
          </cell>
        </row>
        <row r="461">
          <cell r="D461">
            <v>7.8400000000000096</v>
          </cell>
          <cell r="E461">
            <v>-7.3158862200468086E-3</v>
          </cell>
          <cell r="G461">
            <v>8.7947301095516437</v>
          </cell>
          <cell r="H461">
            <v>-0.1023536377501869</v>
          </cell>
          <cell r="K461">
            <v>-0.10962509246121641</v>
          </cell>
          <cell r="M461">
            <v>-0.10962509246121641</v>
          </cell>
        </row>
        <row r="462">
          <cell r="D462">
            <v>7.8600000000000101</v>
          </cell>
          <cell r="E462">
            <v>-7.2075876332118273E-3</v>
          </cell>
          <cell r="G462">
            <v>8.8094703948045563</v>
          </cell>
          <cell r="H462">
            <v>-0.10083847554121339</v>
          </cell>
          <cell r="K462">
            <v>-0.1080896383245972</v>
          </cell>
          <cell r="M462">
            <v>-0.1080896383245972</v>
          </cell>
        </row>
        <row r="463">
          <cell r="D463">
            <v>7.8800000000000097</v>
          </cell>
          <cell r="E463">
            <v>-7.1008537232454981E-3</v>
          </cell>
          <cell r="G463">
            <v>8.8242106800574671</v>
          </cell>
          <cell r="H463">
            <v>-9.9345204100438469E-2</v>
          </cell>
          <cell r="K463">
            <v>-0.10657564903326798</v>
          </cell>
          <cell r="M463">
            <v>-0.10657564903326798</v>
          </cell>
        </row>
        <row r="464">
          <cell r="D464">
            <v>7.9000000000000101</v>
          </cell>
          <cell r="E464">
            <v>-6.9956624909549518E-3</v>
          </cell>
          <cell r="G464">
            <v>8.8389509653103797</v>
          </cell>
          <cell r="H464">
            <v>-9.7873515645954354E-2</v>
          </cell>
          <cell r="K464">
            <v>-0.10508282567479366</v>
          </cell>
          <cell r="M464">
            <v>-0.10508282567479366</v>
          </cell>
        </row>
        <row r="465">
          <cell r="D465">
            <v>7.9200000000000097</v>
          </cell>
          <cell r="E465">
            <v>-6.8919922371925429E-3</v>
          </cell>
          <cell r="G465">
            <v>8.8536912505632905</v>
          </cell>
          <cell r="H465">
            <v>-9.6423106593665986E-2</v>
          </cell>
          <cell r="K465">
            <v>-0.10361087346698532</v>
          </cell>
          <cell r="M465">
            <v>-0.10361087346698532</v>
          </cell>
        </row>
        <row r="466">
          <cell r="D466">
            <v>7.9400000000000102</v>
          </cell>
          <cell r="E466">
            <v>-6.7898215589021083E-3</v>
          </cell>
          <cell r="G466">
            <v>8.8684315358162014</v>
          </cell>
          <cell r="H466">
            <v>-9.4993677501975848E-2</v>
          </cell>
          <cell r="K466">
            <v>-0.10215950170173739</v>
          </cell>
          <cell r="M466">
            <v>-0.10215950170173739</v>
          </cell>
        </row>
        <row r="467">
          <cell r="D467">
            <v>7.9600000000000097</v>
          </cell>
          <cell r="E467">
            <v>-6.6891293452152178E-3</v>
          </cell>
          <cell r="G467">
            <v>8.8831718210691122</v>
          </cell>
          <cell r="H467">
            <v>-9.3584933017168026E-2</v>
          </cell>
          <cell r="K467">
            <v>-0.100728423689603</v>
          </cell>
          <cell r="M467">
            <v>-0.100728423689603</v>
          </cell>
        </row>
        <row r="468">
          <cell r="D468">
            <v>7.9800000000000102</v>
          </cell>
          <cell r="E468">
            <v>-6.5898947735967229E-3</v>
          </cell>
          <cell r="G468">
            <v>8.8979121063220248</v>
          </cell>
          <cell r="H468">
            <v>-9.2196581819482315E-2</v>
          </cell>
          <cell r="K468">
            <v>-9.9317356705098711E-2</v>
          </cell>
          <cell r="M468">
            <v>-9.9317356705098711E-2</v>
          </cell>
        </row>
        <row r="469">
          <cell r="D469">
            <v>8.0000000000000107</v>
          </cell>
          <cell r="E469">
            <v>-6.4920973060391077E-3</v>
          </cell>
          <cell r="G469">
            <v>8.9126523915749356</v>
          </cell>
          <cell r="H469">
            <v>-9.0828336569870743E-2</v>
          </cell>
          <cell r="K469">
            <v>-9.7926021932729479E-2</v>
          </cell>
          <cell r="M469">
            <v>-9.7926021932729479E-2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Q488"/>
  <sheetViews>
    <sheetView tabSelected="1" workbookViewId="0">
      <selection activeCell="K14" sqref="K14"/>
    </sheetView>
  </sheetViews>
  <sheetFormatPr defaultRowHeight="18.75" x14ac:dyDescent="0.4"/>
  <sheetData>
    <row r="1" spans="1:17" x14ac:dyDescent="0.4">
      <c r="A1" s="38" t="s">
        <v>151</v>
      </c>
      <c r="B1" s="31"/>
      <c r="C1" s="31"/>
      <c r="D1" s="31"/>
      <c r="E1" s="31"/>
      <c r="F1" s="31"/>
      <c r="G1" s="31"/>
      <c r="H1" s="31"/>
      <c r="I1" s="31"/>
      <c r="J1" s="31"/>
    </row>
    <row r="2" spans="1:17" x14ac:dyDescent="0.4">
      <c r="A2" s="31" t="s">
        <v>148</v>
      </c>
      <c r="B2" s="31"/>
      <c r="C2" s="31"/>
      <c r="D2" s="31"/>
      <c r="E2" s="31" t="s">
        <v>149</v>
      </c>
      <c r="F2" s="31"/>
      <c r="G2" s="31"/>
      <c r="H2" s="31" t="s">
        <v>324</v>
      </c>
      <c r="I2" s="31"/>
      <c r="J2" s="31"/>
    </row>
    <row r="3" spans="1:17" x14ac:dyDescent="0.4">
      <c r="A3" s="18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</row>
    <row r="4" spans="1:17" x14ac:dyDescent="0.4">
      <c r="A4" s="32" t="s">
        <v>6</v>
      </c>
      <c r="B4" s="33" t="s">
        <v>83</v>
      </c>
      <c r="C4" s="31"/>
      <c r="D4" s="32" t="s">
        <v>69</v>
      </c>
      <c r="E4" s="33" t="s">
        <v>142</v>
      </c>
      <c r="F4" s="31"/>
      <c r="G4" s="32" t="s">
        <v>67</v>
      </c>
      <c r="H4" s="33" t="s">
        <v>142</v>
      </c>
      <c r="I4" s="31"/>
      <c r="J4" s="31"/>
      <c r="O4" t="s">
        <v>207</v>
      </c>
    </row>
    <row r="5" spans="1:17" x14ac:dyDescent="0.4">
      <c r="A5" s="32" t="s">
        <v>4</v>
      </c>
      <c r="B5" s="34">
        <v>-1.1160000000000001</v>
      </c>
      <c r="C5" s="31"/>
      <c r="D5" s="32" t="s">
        <v>4</v>
      </c>
      <c r="E5" s="35">
        <v>-1.1214999999999999</v>
      </c>
      <c r="F5" s="31"/>
      <c r="G5" s="32" t="s">
        <v>4</v>
      </c>
      <c r="H5" s="35">
        <v>-1.1173999999999999</v>
      </c>
      <c r="I5" s="32" t="s">
        <v>2</v>
      </c>
      <c r="J5" s="35">
        <v>3.9</v>
      </c>
    </row>
    <row r="6" spans="1:17" x14ac:dyDescent="0.4">
      <c r="A6" s="32" t="s">
        <v>5</v>
      </c>
      <c r="B6" s="34">
        <v>39.994</v>
      </c>
      <c r="C6" s="31"/>
      <c r="D6" s="32" t="s">
        <v>5</v>
      </c>
      <c r="E6" s="35">
        <v>70.709999999999994</v>
      </c>
      <c r="F6" s="31"/>
      <c r="G6" s="32" t="s">
        <v>5</v>
      </c>
      <c r="H6" s="31">
        <v>41.868000000000002</v>
      </c>
      <c r="I6" s="32" t="s">
        <v>141</v>
      </c>
      <c r="J6" s="35">
        <v>6.3559999999999999</v>
      </c>
    </row>
    <row r="7" spans="1:17" x14ac:dyDescent="0.4">
      <c r="A7" s="32" t="s">
        <v>0</v>
      </c>
      <c r="B7" s="35">
        <v>1E-3</v>
      </c>
      <c r="C7" s="31"/>
      <c r="D7" s="32" t="s">
        <v>0</v>
      </c>
      <c r="E7" s="35">
        <v>1E-3</v>
      </c>
      <c r="F7" s="31"/>
      <c r="G7" s="32" t="s">
        <v>0</v>
      </c>
      <c r="H7" s="35">
        <v>1E-3</v>
      </c>
      <c r="I7" s="31"/>
      <c r="J7" s="31"/>
    </row>
    <row r="8" spans="1:17" x14ac:dyDescent="0.4">
      <c r="A8" s="36" t="s">
        <v>1</v>
      </c>
      <c r="B8" s="35">
        <v>4.6440000000000001</v>
      </c>
      <c r="C8" s="31"/>
      <c r="D8" s="36" t="s">
        <v>1</v>
      </c>
      <c r="E8" s="35">
        <v>4.6440000000000001</v>
      </c>
      <c r="F8" s="31"/>
      <c r="G8" s="36" t="s">
        <v>1</v>
      </c>
      <c r="H8" s="35">
        <v>4.6440000000000001</v>
      </c>
      <c r="J8" s="31"/>
    </row>
    <row r="10" spans="1:17" x14ac:dyDescent="0.4">
      <c r="A10" s="32" t="s">
        <v>6</v>
      </c>
      <c r="B10" s="33" t="s">
        <v>9</v>
      </c>
      <c r="C10" s="31"/>
      <c r="D10" s="32" t="s">
        <v>69</v>
      </c>
      <c r="E10" s="33" t="s">
        <v>9</v>
      </c>
      <c r="F10" s="31"/>
      <c r="G10" s="32" t="s">
        <v>67</v>
      </c>
      <c r="H10" s="33" t="s">
        <v>9</v>
      </c>
      <c r="I10" s="31"/>
      <c r="J10" s="31"/>
    </row>
    <row r="11" spans="1:17" x14ac:dyDescent="0.4">
      <c r="A11" s="32" t="s">
        <v>4</v>
      </c>
      <c r="B11" s="34">
        <v>-1.9059999999999999</v>
      </c>
      <c r="C11" s="31"/>
      <c r="D11" s="32" t="s">
        <v>4</v>
      </c>
      <c r="E11" s="35">
        <v>-1.9037999999999999</v>
      </c>
      <c r="F11" s="31"/>
      <c r="G11" s="32" t="s">
        <v>4</v>
      </c>
      <c r="H11" s="35">
        <v>-1.9064000000000001</v>
      </c>
      <c r="I11" s="32" t="s">
        <v>2</v>
      </c>
      <c r="J11" s="35">
        <v>3.0779999999999998</v>
      </c>
    </row>
    <row r="12" spans="1:17" x14ac:dyDescent="0.4">
      <c r="A12" s="32" t="s">
        <v>5</v>
      </c>
      <c r="B12" s="34">
        <v>20.154</v>
      </c>
      <c r="C12" s="31"/>
      <c r="D12" s="32" t="s">
        <v>5</v>
      </c>
      <c r="E12" s="35">
        <v>20.120999999999999</v>
      </c>
      <c r="F12" s="31"/>
      <c r="G12" s="32" t="s">
        <v>5</v>
      </c>
      <c r="H12">
        <v>20.190000000000001</v>
      </c>
      <c r="I12" s="32" t="s">
        <v>141</v>
      </c>
      <c r="J12" s="35">
        <v>4.923</v>
      </c>
    </row>
    <row r="13" spans="1:17" x14ac:dyDescent="0.4">
      <c r="A13" s="32" t="s">
        <v>0</v>
      </c>
      <c r="B13" s="35">
        <f>14/160.21766</f>
        <v>8.7381128896777044E-2</v>
      </c>
      <c r="C13" s="31"/>
      <c r="D13" s="32" t="s">
        <v>0</v>
      </c>
      <c r="E13" s="35">
        <f>14/160.21766</f>
        <v>8.7381128896777044E-2</v>
      </c>
      <c r="F13" s="31"/>
      <c r="G13" s="32" t="s">
        <v>0</v>
      </c>
      <c r="H13" s="35">
        <f>14/160.21766</f>
        <v>8.7381128896777044E-2</v>
      </c>
      <c r="I13" s="31"/>
      <c r="J13" s="31"/>
      <c r="O13" t="s">
        <v>205</v>
      </c>
    </row>
    <row r="14" spans="1:17" x14ac:dyDescent="0.4">
      <c r="A14" s="36" t="s">
        <v>1</v>
      </c>
      <c r="B14" s="35"/>
      <c r="C14" s="31"/>
      <c r="D14" s="36" t="s">
        <v>1</v>
      </c>
      <c r="E14" s="35">
        <v>2.2709999999999999</v>
      </c>
      <c r="F14" s="31"/>
      <c r="G14" s="36" t="s">
        <v>1</v>
      </c>
      <c r="H14" s="35"/>
      <c r="I14" s="31"/>
      <c r="J14" s="31"/>
    </row>
    <row r="16" spans="1:17" x14ac:dyDescent="0.4">
      <c r="A16" s="32" t="s">
        <v>6</v>
      </c>
      <c r="B16" s="33" t="s">
        <v>152</v>
      </c>
      <c r="C16" s="31"/>
      <c r="D16" s="32" t="s">
        <v>69</v>
      </c>
      <c r="E16" s="33" t="s">
        <v>15</v>
      </c>
      <c r="F16" s="31"/>
      <c r="G16" s="32" t="s">
        <v>67</v>
      </c>
      <c r="H16" s="33" t="s">
        <v>15</v>
      </c>
      <c r="I16" s="31"/>
      <c r="J16" s="31"/>
    </row>
    <row r="17" spans="1:15" x14ac:dyDescent="0.4">
      <c r="A17" s="32" t="s">
        <v>4</v>
      </c>
      <c r="B17" s="34">
        <v>-3.6273</v>
      </c>
      <c r="C17" s="31"/>
      <c r="D17" s="32" t="s">
        <v>4</v>
      </c>
      <c r="E17" s="35">
        <v>-3.6436999999999999</v>
      </c>
      <c r="F17" s="31"/>
      <c r="G17" s="32" t="s">
        <v>4</v>
      </c>
      <c r="H17" s="35">
        <v>-3.7393999999999998</v>
      </c>
      <c r="I17" s="32" t="s">
        <v>2</v>
      </c>
      <c r="J17" s="35">
        <v>2.2599999999999998</v>
      </c>
    </row>
    <row r="18" spans="1:15" x14ac:dyDescent="0.4">
      <c r="A18" s="32" t="s">
        <v>5</v>
      </c>
      <c r="B18" s="34">
        <v>7.813968749999999</v>
      </c>
      <c r="C18" s="31"/>
      <c r="D18" s="32" t="s">
        <v>5</v>
      </c>
      <c r="E18" s="35">
        <v>7.8150000000000004</v>
      </c>
      <c r="F18" s="31"/>
      <c r="G18" s="32" t="s">
        <v>5</v>
      </c>
      <c r="H18">
        <v>7.8940000000000001</v>
      </c>
      <c r="I18" s="32" t="s">
        <v>141</v>
      </c>
      <c r="J18" s="35">
        <v>3.57</v>
      </c>
    </row>
    <row r="19" spans="1:15" x14ac:dyDescent="0.4">
      <c r="A19" s="32" t="s">
        <v>0</v>
      </c>
      <c r="B19" s="35">
        <v>0.751</v>
      </c>
      <c r="C19" s="31"/>
      <c r="D19" s="32" t="s">
        <v>0</v>
      </c>
      <c r="E19" s="35">
        <f>124/160.21766</f>
        <v>0.77394714165716816</v>
      </c>
      <c r="F19" s="31"/>
      <c r="G19" s="32" t="s">
        <v>0</v>
      </c>
      <c r="H19" s="35">
        <f>122/160.21766</f>
        <v>0.76146412324334289</v>
      </c>
      <c r="I19" s="31"/>
      <c r="J19" s="31"/>
      <c r="O19" t="s">
        <v>206</v>
      </c>
    </row>
    <row r="20" spans="1:15" x14ac:dyDescent="0.4">
      <c r="A20" s="36" t="s">
        <v>1</v>
      </c>
      <c r="B20" s="35"/>
      <c r="C20" s="31"/>
      <c r="D20" s="36" t="s">
        <v>1</v>
      </c>
      <c r="E20" s="35"/>
      <c r="F20" s="31"/>
      <c r="G20" s="36" t="s">
        <v>1</v>
      </c>
      <c r="H20" s="35">
        <v>2.2349999999999999</v>
      </c>
      <c r="I20" s="31"/>
      <c r="J20" s="31"/>
    </row>
    <row r="21" spans="1:15" x14ac:dyDescent="0.4">
      <c r="A21" s="31"/>
      <c r="B21" s="37"/>
      <c r="C21" s="31"/>
      <c r="D21" s="31"/>
      <c r="E21" s="37"/>
      <c r="F21" s="31"/>
      <c r="G21" s="31"/>
      <c r="H21" s="37"/>
      <c r="I21" s="31"/>
      <c r="J21" s="31"/>
    </row>
    <row r="22" spans="1:15" x14ac:dyDescent="0.4">
      <c r="A22" s="32" t="s">
        <v>6</v>
      </c>
      <c r="B22" s="33" t="s">
        <v>153</v>
      </c>
      <c r="C22" s="31"/>
      <c r="D22" s="32" t="s">
        <v>69</v>
      </c>
      <c r="E22" s="33" t="s">
        <v>153</v>
      </c>
      <c r="F22" s="31"/>
      <c r="G22" s="32" t="s">
        <v>67</v>
      </c>
      <c r="H22" s="33" t="s">
        <v>153</v>
      </c>
      <c r="I22" s="31"/>
      <c r="J22" s="31"/>
      <c r="L22" s="32" t="s">
        <v>143</v>
      </c>
      <c r="M22" s="33" t="s">
        <v>0</v>
      </c>
      <c r="O22" t="s">
        <v>154</v>
      </c>
    </row>
    <row r="23" spans="1:15" x14ac:dyDescent="0.4">
      <c r="A23" s="32" t="s">
        <v>4</v>
      </c>
      <c r="B23" s="33">
        <v>-5.2817999999999996</v>
      </c>
      <c r="C23" s="31"/>
      <c r="D23" s="32" t="s">
        <v>4</v>
      </c>
      <c r="E23" s="35">
        <v>-4.9212999999999996</v>
      </c>
      <c r="F23" s="31"/>
      <c r="G23" s="32" t="s">
        <v>4</v>
      </c>
      <c r="H23" s="35">
        <v>-6.0978000000000003</v>
      </c>
      <c r="I23" s="32" t="s">
        <v>2</v>
      </c>
      <c r="J23" s="1">
        <v>2.8759999999999999</v>
      </c>
      <c r="L23" s="32" t="s">
        <v>4</v>
      </c>
      <c r="M23" s="33">
        <v>-0.15655901999999999</v>
      </c>
      <c r="O23" t="s">
        <v>144</v>
      </c>
    </row>
    <row r="24" spans="1:15" x14ac:dyDescent="0.4">
      <c r="A24" s="32" t="s">
        <v>5</v>
      </c>
      <c r="B24" s="34">
        <v>5.9285281542500012</v>
      </c>
      <c r="C24" s="31"/>
      <c r="D24" s="32" t="s">
        <v>5</v>
      </c>
      <c r="E24" s="35">
        <v>6.1872391485000016</v>
      </c>
      <c r="F24" s="31"/>
      <c r="G24" s="32" t="s">
        <v>5</v>
      </c>
      <c r="H24">
        <v>6.382321689594896</v>
      </c>
      <c r="I24" s="32" t="s">
        <v>141</v>
      </c>
      <c r="J24" s="35">
        <v>1.7819696</v>
      </c>
      <c r="L24" s="32" t="s">
        <v>5</v>
      </c>
      <c r="M24" s="34">
        <v>6.6229776379710001</v>
      </c>
    </row>
    <row r="25" spans="1:15" x14ac:dyDescent="0.4">
      <c r="A25" s="32" t="s">
        <v>0</v>
      </c>
      <c r="B25" s="35">
        <v>1.4430000000000001</v>
      </c>
      <c r="C25" s="31"/>
      <c r="D25" s="32" t="s">
        <v>0</v>
      </c>
      <c r="E25" s="35">
        <f>124/160.21766</f>
        <v>0.77394714165716816</v>
      </c>
      <c r="F25" s="31"/>
      <c r="G25" s="32" t="s">
        <v>0</v>
      </c>
      <c r="H25" s="35">
        <f>122/160.21766</f>
        <v>0.76146412324334289</v>
      </c>
      <c r="I25" s="33" t="s">
        <v>140</v>
      </c>
      <c r="J25" s="1">
        <v>0.61960000000000004</v>
      </c>
      <c r="L25" s="32" t="s">
        <v>0</v>
      </c>
      <c r="M25" s="35">
        <v>1.4430000000000001</v>
      </c>
      <c r="O25" t="s">
        <v>206</v>
      </c>
    </row>
    <row r="26" spans="1:15" x14ac:dyDescent="0.4">
      <c r="A26" s="36" t="s">
        <v>1</v>
      </c>
      <c r="B26" s="35"/>
      <c r="C26" s="31"/>
      <c r="D26" s="36" t="s">
        <v>1</v>
      </c>
      <c r="E26" s="35"/>
      <c r="F26" s="31"/>
      <c r="G26" s="36" t="s">
        <v>1</v>
      </c>
      <c r="H26" s="35"/>
      <c r="I26" s="31"/>
      <c r="J26" s="31"/>
      <c r="L26" s="36" t="s">
        <v>1</v>
      </c>
      <c r="M26" s="35"/>
      <c r="O26" t="s">
        <v>298</v>
      </c>
    </row>
    <row r="27" spans="1:15" x14ac:dyDescent="0.4">
      <c r="A27" s="31"/>
      <c r="B27" s="37"/>
      <c r="C27" s="31"/>
      <c r="D27" s="31"/>
      <c r="E27" s="37"/>
      <c r="F27" s="31"/>
      <c r="G27" s="39"/>
      <c r="H27" s="37"/>
      <c r="J27" s="31"/>
      <c r="L27" s="39"/>
      <c r="M27" s="37"/>
    </row>
    <row r="28" spans="1:15" x14ac:dyDescent="0.4">
      <c r="A28" s="32" t="s">
        <v>6</v>
      </c>
      <c r="B28" s="33" t="s">
        <v>155</v>
      </c>
      <c r="C28" s="31"/>
      <c r="D28" s="32" t="s">
        <v>69</v>
      </c>
      <c r="E28" s="33" t="s">
        <v>155</v>
      </c>
      <c r="F28" s="31"/>
      <c r="G28" s="32" t="s">
        <v>67</v>
      </c>
      <c r="H28" s="33" t="s">
        <v>155</v>
      </c>
      <c r="I28" s="31"/>
      <c r="J28" s="31"/>
      <c r="L28" s="32" t="s">
        <v>143</v>
      </c>
      <c r="M28" s="33" t="s">
        <v>1</v>
      </c>
      <c r="O28" t="s">
        <v>193</v>
      </c>
    </row>
    <row r="29" spans="1:15" x14ac:dyDescent="0.4">
      <c r="A29" s="32" t="s">
        <v>4</v>
      </c>
      <c r="B29" s="33">
        <v>-4.3780000000000001</v>
      </c>
      <c r="C29" s="31"/>
      <c r="D29" s="32" t="s">
        <v>4</v>
      </c>
      <c r="E29" s="35">
        <v>-4.6779999999999999</v>
      </c>
      <c r="F29" s="31"/>
      <c r="G29" s="32" t="s">
        <v>4</v>
      </c>
      <c r="H29" s="35">
        <v>-4.6947000000000001</v>
      </c>
      <c r="I29" s="32" t="s">
        <v>2</v>
      </c>
      <c r="J29" s="1">
        <v>2.1539999999999999</v>
      </c>
      <c r="L29" s="32" t="s">
        <v>4</v>
      </c>
      <c r="M29" s="33">
        <v>-7.5220000000000002</v>
      </c>
    </row>
    <row r="30" spans="1:15" x14ac:dyDescent="0.4">
      <c r="A30" s="32" t="s">
        <v>5</v>
      </c>
      <c r="B30" s="34">
        <v>6.89</v>
      </c>
      <c r="C30" s="31"/>
      <c r="D30" s="32" t="s">
        <v>5</v>
      </c>
      <c r="E30" s="35">
        <v>6.29</v>
      </c>
      <c r="F30" s="31"/>
      <c r="G30" s="32" t="s">
        <v>5</v>
      </c>
      <c r="H30">
        <v>7.0798007000382759</v>
      </c>
      <c r="I30" s="32" t="s">
        <v>141</v>
      </c>
      <c r="J30" s="35">
        <v>3.5239439999999997</v>
      </c>
      <c r="L30" s="32" t="s">
        <v>5</v>
      </c>
      <c r="M30" s="34">
        <v>5.3040000000000003</v>
      </c>
    </row>
    <row r="31" spans="1:15" x14ac:dyDescent="0.4">
      <c r="A31" s="32" t="s">
        <v>0</v>
      </c>
      <c r="B31" s="35">
        <v>1.0610565651751498</v>
      </c>
      <c r="C31" s="31"/>
      <c r="D31" s="32" t="s">
        <v>0</v>
      </c>
      <c r="E31" s="35">
        <v>1.3606490071069599</v>
      </c>
      <c r="F31" s="31"/>
      <c r="G31" s="32" t="s">
        <v>0</v>
      </c>
      <c r="H31" s="35">
        <v>1.0609999999999999</v>
      </c>
      <c r="I31" s="33" t="s">
        <v>140</v>
      </c>
      <c r="J31" s="1">
        <v>1.6359999999999999</v>
      </c>
      <c r="L31" s="32" t="s">
        <v>0</v>
      </c>
      <c r="M31" s="35">
        <v>2.4903621735581463</v>
      </c>
    </row>
    <row r="32" spans="1:15" x14ac:dyDescent="0.4">
      <c r="A32" s="36" t="s">
        <v>1</v>
      </c>
      <c r="B32" s="35">
        <v>1.747622577935541</v>
      </c>
      <c r="C32" s="31"/>
      <c r="D32" s="36" t="s">
        <v>1</v>
      </c>
      <c r="E32" s="1">
        <f xml:space="preserve"> 100/160.21766*3.96</f>
        <v>2.4716376459374079</v>
      </c>
      <c r="F32" s="31"/>
      <c r="G32" s="36" t="s">
        <v>1</v>
      </c>
      <c r="H32" s="35">
        <v>1.748</v>
      </c>
      <c r="I32" s="31"/>
      <c r="J32" s="31"/>
      <c r="L32" s="36" t="s">
        <v>1</v>
      </c>
      <c r="M32" s="35">
        <v>2.3904980262475437</v>
      </c>
    </row>
    <row r="34" spans="1:15" x14ac:dyDescent="0.4">
      <c r="A34" s="32" t="s">
        <v>6</v>
      </c>
      <c r="B34" s="33" t="s">
        <v>89</v>
      </c>
      <c r="C34" s="31"/>
      <c r="D34" s="32" t="s">
        <v>69</v>
      </c>
      <c r="E34" s="33" t="s">
        <v>89</v>
      </c>
      <c r="F34" s="31"/>
      <c r="G34" s="32" t="s">
        <v>67</v>
      </c>
      <c r="H34" s="33" t="s">
        <v>89</v>
      </c>
      <c r="I34" s="31"/>
      <c r="J34" s="31"/>
    </row>
    <row r="35" spans="1:15" x14ac:dyDescent="0.4">
      <c r="A35" s="32" t="s">
        <v>4</v>
      </c>
      <c r="B35" s="34">
        <v>-3.8298999999999999</v>
      </c>
      <c r="C35" s="31"/>
      <c r="D35" s="32" t="s">
        <v>4</v>
      </c>
      <c r="E35" s="35"/>
      <c r="F35" s="31"/>
      <c r="G35" s="32" t="s">
        <v>4</v>
      </c>
      <c r="H35" s="35">
        <v>-4.7061999999999999</v>
      </c>
      <c r="I35" s="32" t="s">
        <v>2</v>
      </c>
      <c r="J35" s="35">
        <v>2.5190000000000001</v>
      </c>
    </row>
    <row r="36" spans="1:15" x14ac:dyDescent="0.4">
      <c r="A36" s="32" t="s">
        <v>5</v>
      </c>
      <c r="B36" s="34">
        <v>7.2709999999999999</v>
      </c>
      <c r="C36" s="31"/>
      <c r="D36" s="32" t="s">
        <v>5</v>
      </c>
      <c r="E36" s="35"/>
      <c r="F36" s="31"/>
      <c r="G36" s="32" t="s">
        <v>5</v>
      </c>
      <c r="H36" s="31">
        <v>6.7229999999999999</v>
      </c>
      <c r="I36" s="32" t="s">
        <v>141</v>
      </c>
      <c r="J36" s="35">
        <v>2.4460000000000002</v>
      </c>
    </row>
    <row r="37" spans="1:15" x14ac:dyDescent="0.4">
      <c r="A37" s="32" t="s">
        <v>0</v>
      </c>
      <c r="B37" s="35">
        <v>0.39400000000000002</v>
      </c>
      <c r="C37" s="31"/>
      <c r="D37" s="32" t="s">
        <v>0</v>
      </c>
      <c r="E37" s="35">
        <v>0.39400000000000002</v>
      </c>
      <c r="F37" s="31"/>
      <c r="G37" s="32" t="s">
        <v>0</v>
      </c>
      <c r="H37" s="35">
        <v>0.39400000000000002</v>
      </c>
      <c r="I37" s="31"/>
      <c r="J37" s="31"/>
    </row>
    <row r="38" spans="1:15" x14ac:dyDescent="0.4">
      <c r="A38" s="36" t="s">
        <v>1</v>
      </c>
      <c r="B38" s="35"/>
      <c r="C38" s="31"/>
      <c r="D38" s="36" t="s">
        <v>1</v>
      </c>
      <c r="E38" s="35"/>
      <c r="F38" s="31"/>
      <c r="G38" s="36" t="s">
        <v>1</v>
      </c>
      <c r="H38" s="35"/>
      <c r="J38" s="31"/>
      <c r="O38" t="s">
        <v>305</v>
      </c>
    </row>
    <row r="40" spans="1:15" x14ac:dyDescent="0.4">
      <c r="A40" s="32" t="s">
        <v>6</v>
      </c>
      <c r="B40" s="33" t="s">
        <v>16</v>
      </c>
      <c r="C40" s="31"/>
      <c r="D40" s="32" t="s">
        <v>69</v>
      </c>
      <c r="E40" s="33" t="s">
        <v>16</v>
      </c>
      <c r="F40" s="31"/>
      <c r="G40" s="32" t="s">
        <v>67</v>
      </c>
      <c r="H40" s="33" t="s">
        <v>16</v>
      </c>
      <c r="I40" s="31"/>
      <c r="J40" s="31"/>
    </row>
    <row r="41" spans="1:15" x14ac:dyDescent="0.4">
      <c r="A41" s="32" t="s">
        <v>4</v>
      </c>
      <c r="B41" s="34">
        <v>-1.3116000000000001</v>
      </c>
      <c r="C41" s="31"/>
      <c r="D41" s="32" t="s">
        <v>4</v>
      </c>
      <c r="E41" s="35">
        <v>-1.3097000000000001</v>
      </c>
      <c r="F41" s="31"/>
      <c r="G41" s="32" t="s">
        <v>4</v>
      </c>
      <c r="H41" s="35">
        <v>-1.3122</v>
      </c>
      <c r="I41" s="32" t="s">
        <v>2</v>
      </c>
      <c r="J41" s="35">
        <v>3.7589999999999999</v>
      </c>
    </row>
    <row r="42" spans="1:15" x14ac:dyDescent="0.4">
      <c r="A42" s="32" t="s">
        <v>5</v>
      </c>
      <c r="B42" s="34">
        <v>36.247</v>
      </c>
      <c r="C42" s="31"/>
      <c r="D42" s="32" t="s">
        <v>5</v>
      </c>
      <c r="E42" s="35">
        <v>36.323999999999998</v>
      </c>
      <c r="F42" s="31"/>
      <c r="G42" s="32" t="s">
        <v>5</v>
      </c>
      <c r="H42">
        <f>74.234/2</f>
        <v>37.116999999999997</v>
      </c>
      <c r="I42" s="32" t="s">
        <v>141</v>
      </c>
      <c r="J42" s="35">
        <v>6.0650000000000004</v>
      </c>
    </row>
    <row r="43" spans="1:15" x14ac:dyDescent="0.4">
      <c r="A43" s="32" t="s">
        <v>0</v>
      </c>
      <c r="B43" s="35">
        <f>12/160.21766</f>
        <v>7.4898110482951752E-2</v>
      </c>
      <c r="C43" s="31"/>
      <c r="D43" s="32" t="s">
        <v>0</v>
      </c>
      <c r="E43" s="35">
        <f>8/160.21766</f>
        <v>4.9932073655301168E-2</v>
      </c>
      <c r="F43" s="31"/>
      <c r="G43" s="32" t="s">
        <v>0</v>
      </c>
      <c r="H43" s="35">
        <f>9/160.21766</f>
        <v>5.6173582862213821E-2</v>
      </c>
      <c r="I43" s="31"/>
      <c r="J43" s="31"/>
      <c r="O43" t="s">
        <v>208</v>
      </c>
    </row>
    <row r="44" spans="1:15" x14ac:dyDescent="0.4">
      <c r="A44" s="36" t="s">
        <v>1</v>
      </c>
      <c r="B44" s="35"/>
      <c r="C44" s="31"/>
      <c r="D44" s="36" t="s">
        <v>1</v>
      </c>
      <c r="E44" s="35"/>
      <c r="F44" s="31"/>
      <c r="G44" s="36" t="s">
        <v>1</v>
      </c>
      <c r="H44" s="35">
        <v>2.6</v>
      </c>
      <c r="J44" s="31"/>
    </row>
    <row r="46" spans="1:15" x14ac:dyDescent="0.4">
      <c r="A46" s="32" t="s">
        <v>6</v>
      </c>
      <c r="B46" s="33" t="s">
        <v>17</v>
      </c>
      <c r="C46" s="31"/>
      <c r="D46" s="32" t="s">
        <v>69</v>
      </c>
      <c r="E46" s="33" t="s">
        <v>17</v>
      </c>
      <c r="F46" s="31"/>
      <c r="G46" s="32" t="s">
        <v>67</v>
      </c>
      <c r="H46" s="33" t="s">
        <v>17</v>
      </c>
      <c r="I46" s="31"/>
      <c r="J46" s="31"/>
    </row>
    <row r="47" spans="1:15" x14ac:dyDescent="0.4">
      <c r="A47" s="32" t="s">
        <v>4</v>
      </c>
      <c r="B47" s="34">
        <v>-1.5829</v>
      </c>
      <c r="C47" s="31"/>
      <c r="D47" s="32" t="s">
        <v>4</v>
      </c>
      <c r="E47" s="35">
        <v>-1.5745</v>
      </c>
      <c r="F47" s="31"/>
      <c r="G47" s="32" t="s">
        <v>4</v>
      </c>
      <c r="H47" s="35">
        <v>-1.5908</v>
      </c>
      <c r="I47" s="32" t="s">
        <v>2</v>
      </c>
      <c r="J47" s="35">
        <v>3.2029999999999998</v>
      </c>
    </row>
    <row r="48" spans="1:15" x14ac:dyDescent="0.4">
      <c r="A48" s="32" t="s">
        <v>5</v>
      </c>
      <c r="B48" s="34">
        <v>22.866</v>
      </c>
      <c r="C48" s="31"/>
      <c r="D48" s="32" t="s">
        <v>5</v>
      </c>
      <c r="E48" s="35">
        <v>22.928000000000001</v>
      </c>
      <c r="F48" s="31"/>
      <c r="G48" s="32" t="s">
        <v>5</v>
      </c>
      <c r="H48">
        <v>22.774999999999999</v>
      </c>
      <c r="I48" s="32" t="s">
        <v>141</v>
      </c>
      <c r="J48" s="35">
        <v>5.1269999999999998</v>
      </c>
    </row>
    <row r="49" spans="1:15" x14ac:dyDescent="0.4">
      <c r="A49" s="32" t="s">
        <v>0</v>
      </c>
      <c r="B49" s="35">
        <v>0.217</v>
      </c>
      <c r="C49" s="31"/>
      <c r="D49" s="32" t="s">
        <v>0</v>
      </c>
      <c r="E49" s="35">
        <f>36/160.21766</f>
        <v>0.22469433144885528</v>
      </c>
      <c r="F49" s="31"/>
      <c r="G49" s="32" t="s">
        <v>0</v>
      </c>
      <c r="H49" s="35">
        <f>37/160.21766</f>
        <v>0.23093584065576792</v>
      </c>
      <c r="I49" s="31"/>
      <c r="J49" s="31"/>
      <c r="O49" t="s">
        <v>209</v>
      </c>
    </row>
    <row r="50" spans="1:15" x14ac:dyDescent="0.4">
      <c r="A50" s="36" t="s">
        <v>1</v>
      </c>
      <c r="B50" s="35"/>
      <c r="C50" s="31"/>
      <c r="D50" s="36" t="s">
        <v>1</v>
      </c>
      <c r="E50" s="35"/>
      <c r="F50" s="31"/>
      <c r="G50" s="36" t="s">
        <v>1</v>
      </c>
      <c r="H50" s="35">
        <v>2.895</v>
      </c>
      <c r="J50" s="31"/>
    </row>
    <row r="52" spans="1:15" x14ac:dyDescent="0.4">
      <c r="A52" s="32" t="s">
        <v>6</v>
      </c>
      <c r="B52" s="33" t="s">
        <v>18</v>
      </c>
      <c r="C52" s="31"/>
      <c r="D52" s="32" t="s">
        <v>69</v>
      </c>
      <c r="E52" s="33" t="s">
        <v>18</v>
      </c>
      <c r="F52" s="31"/>
      <c r="G52" s="32" t="s">
        <v>67</v>
      </c>
      <c r="H52" s="33" t="s">
        <v>156</v>
      </c>
      <c r="I52" s="31"/>
      <c r="J52" s="31"/>
    </row>
    <row r="53" spans="1:15" x14ac:dyDescent="0.4">
      <c r="A53" s="32" t="s">
        <v>4</v>
      </c>
      <c r="B53" s="34">
        <v>-3.7456</v>
      </c>
      <c r="C53" s="31"/>
      <c r="D53" s="32" t="s">
        <v>4</v>
      </c>
      <c r="E53" s="30">
        <v>-3.6530999999999998</v>
      </c>
      <c r="F53" s="31"/>
      <c r="G53" s="32" t="s">
        <v>4</v>
      </c>
      <c r="H53" s="35">
        <v>-3.6671999999999998</v>
      </c>
      <c r="I53" s="32" t="s">
        <v>2</v>
      </c>
      <c r="J53" s="1">
        <v>2.87</v>
      </c>
    </row>
    <row r="54" spans="1:15" x14ac:dyDescent="0.4">
      <c r="A54" s="32" t="s">
        <v>5</v>
      </c>
      <c r="B54" s="34">
        <v>16.472000000000001</v>
      </c>
      <c r="C54" s="31"/>
      <c r="D54" s="32" t="s">
        <v>5</v>
      </c>
      <c r="E54" s="35">
        <v>16.701000000000001</v>
      </c>
      <c r="F54" s="31"/>
      <c r="G54" s="32" t="s">
        <v>5</v>
      </c>
      <c r="H54">
        <v>16.78766036361997</v>
      </c>
      <c r="I54" s="32" t="s">
        <v>141</v>
      </c>
      <c r="J54" s="35">
        <v>4.7068000000000003</v>
      </c>
    </row>
    <row r="55" spans="1:15" x14ac:dyDescent="0.4">
      <c r="A55" s="32" t="s">
        <v>0</v>
      </c>
      <c r="B55" s="35">
        <f>83/160.21766</f>
        <v>0.51804526417374963</v>
      </c>
      <c r="C55" s="31"/>
      <c r="D55" s="32" t="s">
        <v>0</v>
      </c>
      <c r="E55" s="35">
        <f>69/160.21766</f>
        <v>0.43066413527697261</v>
      </c>
      <c r="F55" s="31"/>
      <c r="G55" s="32" t="s">
        <v>0</v>
      </c>
      <c r="H55" s="35">
        <v>0.46100000000000002</v>
      </c>
      <c r="I55" s="33" t="s">
        <v>140</v>
      </c>
      <c r="J55" s="1">
        <v>1.64</v>
      </c>
      <c r="O55" t="s">
        <v>210</v>
      </c>
    </row>
    <row r="56" spans="1:15" x14ac:dyDescent="0.4">
      <c r="A56" s="36" t="s">
        <v>1</v>
      </c>
      <c r="B56" s="35">
        <v>3.4079999999999999</v>
      </c>
      <c r="C56" s="31"/>
      <c r="D56" s="36" t="s">
        <v>1</v>
      </c>
      <c r="E56" s="35"/>
      <c r="F56" s="31"/>
      <c r="G56" s="36" t="s">
        <v>1</v>
      </c>
      <c r="H56" s="35"/>
      <c r="J56" s="31"/>
    </row>
    <row r="58" spans="1:15" x14ac:dyDescent="0.4">
      <c r="A58" s="32" t="s">
        <v>6</v>
      </c>
      <c r="B58" s="33" t="s">
        <v>19</v>
      </c>
      <c r="C58" s="31"/>
      <c r="D58" s="32" t="s">
        <v>69</v>
      </c>
      <c r="E58" s="33" t="s">
        <v>19</v>
      </c>
      <c r="F58" s="31"/>
      <c r="G58" s="32" t="s">
        <v>67</v>
      </c>
      <c r="H58" s="33" t="s">
        <v>19</v>
      </c>
      <c r="I58" s="31"/>
      <c r="J58" s="31"/>
    </row>
    <row r="59" spans="1:15" x14ac:dyDescent="0.4">
      <c r="A59" s="32" t="s">
        <v>4</v>
      </c>
      <c r="B59" s="34">
        <v>-4.8937999999999997</v>
      </c>
      <c r="C59" s="31"/>
      <c r="D59" s="32" t="s">
        <v>4</v>
      </c>
      <c r="E59" s="30">
        <v>-4.8997999999999999</v>
      </c>
      <c r="F59" s="31"/>
      <c r="G59" s="32" t="s">
        <v>4</v>
      </c>
      <c r="H59" s="30">
        <v>-4.9123999999999999</v>
      </c>
      <c r="I59" s="32" t="s">
        <v>2</v>
      </c>
      <c r="J59" s="35">
        <v>2.6389999999999998</v>
      </c>
    </row>
    <row r="60" spans="1:15" x14ac:dyDescent="0.4">
      <c r="A60" s="32" t="s">
        <v>5</v>
      </c>
      <c r="B60" s="34">
        <v>14.484</v>
      </c>
      <c r="C60" s="31"/>
      <c r="D60" s="32" t="s">
        <v>5</v>
      </c>
      <c r="E60" s="35">
        <v>14.776</v>
      </c>
      <c r="F60" s="31"/>
      <c r="G60" s="32" t="s">
        <v>5</v>
      </c>
      <c r="H60" s="1">
        <v>14.371499999999999</v>
      </c>
      <c r="I60" s="32" t="s">
        <v>141</v>
      </c>
      <c r="J60" s="35">
        <v>4.7640000000000002</v>
      </c>
    </row>
    <row r="61" spans="1:15" x14ac:dyDescent="0.4">
      <c r="A61" s="32" t="s">
        <v>0</v>
      </c>
      <c r="B61" s="35">
        <f>83/160.21766</f>
        <v>0.51804526417374963</v>
      </c>
      <c r="C61" s="31"/>
      <c r="D61" s="32" t="s">
        <v>0</v>
      </c>
      <c r="E61" s="35">
        <f>94/160.21766</f>
        <v>0.58670186544978875</v>
      </c>
      <c r="F61" s="31"/>
      <c r="G61" s="32" t="s">
        <v>0</v>
      </c>
      <c r="H61" s="35">
        <f>86/160.21766</f>
        <v>0.53676979179448758</v>
      </c>
      <c r="I61" s="31"/>
      <c r="J61" s="31"/>
      <c r="O61" t="s">
        <v>211</v>
      </c>
    </row>
    <row r="62" spans="1:15" x14ac:dyDescent="0.4">
      <c r="A62" s="36" t="s">
        <v>1</v>
      </c>
      <c r="B62" s="35"/>
      <c r="C62" s="31"/>
      <c r="D62" s="36" t="s">
        <v>1</v>
      </c>
      <c r="E62" s="35"/>
      <c r="F62" s="31"/>
      <c r="G62" s="36" t="s">
        <v>1</v>
      </c>
      <c r="H62" s="35"/>
      <c r="J62" s="31"/>
      <c r="O62" t="s">
        <v>299</v>
      </c>
    </row>
    <row r="64" spans="1:15" x14ac:dyDescent="0.4">
      <c r="A64" s="32" t="s">
        <v>6</v>
      </c>
      <c r="B64" s="33" t="s">
        <v>157</v>
      </c>
      <c r="C64" s="31"/>
      <c r="D64" s="32" t="s">
        <v>69</v>
      </c>
      <c r="E64" s="33" t="s">
        <v>157</v>
      </c>
      <c r="F64" s="31"/>
      <c r="G64" s="32" t="s">
        <v>67</v>
      </c>
      <c r="H64" s="33" t="s">
        <v>157</v>
      </c>
      <c r="I64" s="31" t="s">
        <v>146</v>
      </c>
      <c r="J64" s="31"/>
      <c r="L64" s="32" t="s">
        <v>143</v>
      </c>
      <c r="M64" s="33" t="s">
        <v>120</v>
      </c>
      <c r="O64" t="s">
        <v>158</v>
      </c>
    </row>
    <row r="65" spans="1:15" x14ac:dyDescent="0.4">
      <c r="A65" s="32" t="s">
        <v>4</v>
      </c>
      <c r="B65" s="34">
        <v>-4.4836</v>
      </c>
      <c r="C65" s="31"/>
      <c r="D65" s="32" t="s">
        <v>4</v>
      </c>
      <c r="E65" s="30">
        <v>-4.6497999999999999</v>
      </c>
      <c r="F65" s="31"/>
      <c r="G65" s="32" t="s">
        <v>4</v>
      </c>
      <c r="H65" s="30">
        <v>-4.5227000000000004</v>
      </c>
      <c r="I65" s="32" t="s">
        <v>2</v>
      </c>
      <c r="J65" s="1">
        <v>2.7650000000000001</v>
      </c>
      <c r="L65" s="32" t="s">
        <v>4</v>
      </c>
      <c r="M65" s="33">
        <v>-3.335</v>
      </c>
      <c r="O65" t="s">
        <v>147</v>
      </c>
    </row>
    <row r="66" spans="1:15" x14ac:dyDescent="0.4">
      <c r="A66" s="32" t="s">
        <v>5</v>
      </c>
      <c r="B66" s="34">
        <v>14.795553818249997</v>
      </c>
      <c r="C66" s="31"/>
      <c r="D66" s="32" t="s">
        <v>5</v>
      </c>
      <c r="E66" s="35">
        <v>14.552211488000001</v>
      </c>
      <c r="F66" s="31"/>
      <c r="G66" s="32" t="s">
        <v>5</v>
      </c>
      <c r="H66" s="1">
        <v>14.801170548124517</v>
      </c>
      <c r="I66" s="32" t="s">
        <v>141</v>
      </c>
      <c r="J66" s="35">
        <v>4.4710049999999999</v>
      </c>
      <c r="L66" s="32" t="s">
        <v>5</v>
      </c>
      <c r="M66" s="34">
        <v>13.78</v>
      </c>
      <c r="O66" s="31" t="s">
        <v>149</v>
      </c>
    </row>
    <row r="67" spans="1:15" x14ac:dyDescent="0.4">
      <c r="A67" s="32" t="s">
        <v>0</v>
      </c>
      <c r="B67" s="35">
        <v>0.36599999999999999</v>
      </c>
      <c r="C67" s="31"/>
      <c r="D67" s="32" t="s">
        <v>0</v>
      </c>
      <c r="E67" s="35">
        <v>0.6166611096429695</v>
      </c>
      <c r="F67" s="31"/>
      <c r="G67" s="32" t="s">
        <v>0</v>
      </c>
      <c r="H67" s="35">
        <v>0.50493809483923313</v>
      </c>
      <c r="I67" s="33" t="s">
        <v>140</v>
      </c>
      <c r="J67" s="1">
        <v>1.617</v>
      </c>
      <c r="L67" s="32" t="s">
        <v>0</v>
      </c>
      <c r="M67" s="35">
        <v>0.59668828018084896</v>
      </c>
      <c r="O67" t="s">
        <v>150</v>
      </c>
    </row>
    <row r="68" spans="1:15" x14ac:dyDescent="0.4">
      <c r="A68" s="36" t="s">
        <v>1</v>
      </c>
      <c r="B68" s="35">
        <v>3.1509999999999998</v>
      </c>
      <c r="C68" s="31"/>
      <c r="D68" s="36" t="s">
        <v>1</v>
      </c>
      <c r="E68" s="35"/>
      <c r="F68" s="31"/>
      <c r="G68" s="36" t="s">
        <v>1</v>
      </c>
      <c r="H68" s="35"/>
      <c r="J68" s="31"/>
      <c r="L68" s="36" t="s">
        <v>1</v>
      </c>
      <c r="M68" s="35"/>
    </row>
    <row r="70" spans="1:15" x14ac:dyDescent="0.4">
      <c r="A70" s="32" t="s">
        <v>6</v>
      </c>
      <c r="B70" s="33" t="s">
        <v>122</v>
      </c>
      <c r="C70" s="31"/>
      <c r="D70" s="32" t="s">
        <v>69</v>
      </c>
      <c r="E70" s="33" t="s">
        <v>122</v>
      </c>
      <c r="F70" s="31"/>
      <c r="G70" s="32" t="s">
        <v>67</v>
      </c>
      <c r="H70" s="33" t="s">
        <v>159</v>
      </c>
      <c r="I70" s="31"/>
      <c r="J70" s="31"/>
    </row>
    <row r="71" spans="1:15" x14ac:dyDescent="0.4">
      <c r="A71" s="32" t="s">
        <v>4</v>
      </c>
      <c r="B71" s="34">
        <v>-2.8351999999999999</v>
      </c>
      <c r="C71" s="31"/>
      <c r="D71" s="32" t="s">
        <v>4</v>
      </c>
      <c r="E71" s="30">
        <v>-2.9990000000000001</v>
      </c>
      <c r="F71" s="31"/>
      <c r="G71" s="32" t="s">
        <v>4</v>
      </c>
      <c r="H71" s="30">
        <v>-3.2938000000000001</v>
      </c>
      <c r="I71" s="32" t="s">
        <v>2</v>
      </c>
      <c r="J71" s="35">
        <v>3.3650000000000002</v>
      </c>
    </row>
    <row r="72" spans="1:15" x14ac:dyDescent="0.4">
      <c r="A72" s="32" t="s">
        <v>5</v>
      </c>
      <c r="B72" s="34">
        <v>15.852</v>
      </c>
      <c r="C72" s="31"/>
      <c r="D72" s="32" t="s">
        <v>5</v>
      </c>
      <c r="E72" s="35">
        <v>15.795999999999999</v>
      </c>
      <c r="F72" s="31"/>
      <c r="G72" s="32" t="s">
        <v>5</v>
      </c>
      <c r="H72" s="1">
        <v>17.24138430147131</v>
      </c>
      <c r="I72" s="32" t="s">
        <v>141</v>
      </c>
      <c r="J72" s="35">
        <v>3.5164249999999999</v>
      </c>
    </row>
    <row r="73" spans="1:15" x14ac:dyDescent="0.4">
      <c r="A73" s="32" t="s">
        <v>0</v>
      </c>
      <c r="B73" s="35">
        <f>112/160.21766</f>
        <v>0.69904903117421635</v>
      </c>
      <c r="C73" s="31"/>
      <c r="D73" s="32" t="s">
        <v>0</v>
      </c>
      <c r="E73" s="35"/>
      <c r="F73" s="31"/>
      <c r="G73" s="32" t="s">
        <v>0</v>
      </c>
      <c r="H73" s="35"/>
      <c r="I73" s="33" t="s">
        <v>140</v>
      </c>
      <c r="J73" s="1">
        <v>1.0449999999999999</v>
      </c>
      <c r="O73" t="s">
        <v>212</v>
      </c>
    </row>
    <row r="74" spans="1:15" x14ac:dyDescent="0.4">
      <c r="A74" s="36" t="s">
        <v>1</v>
      </c>
      <c r="B74" s="35"/>
      <c r="C74" s="31"/>
      <c r="D74" s="36" t="s">
        <v>1</v>
      </c>
      <c r="E74" s="35"/>
      <c r="F74" s="31"/>
      <c r="G74" s="36" t="s">
        <v>1</v>
      </c>
      <c r="H74" s="35"/>
      <c r="J74" s="31"/>
      <c r="O74" t="s">
        <v>304</v>
      </c>
    </row>
    <row r="76" spans="1:15" x14ac:dyDescent="0.4">
      <c r="A76" s="32" t="s">
        <v>6</v>
      </c>
      <c r="B76" s="33" t="s">
        <v>20</v>
      </c>
      <c r="C76" s="31"/>
      <c r="D76" s="32" t="s">
        <v>69</v>
      </c>
      <c r="E76" s="33" t="s">
        <v>20</v>
      </c>
      <c r="F76" s="31"/>
      <c r="G76" s="32" t="s">
        <v>67</v>
      </c>
      <c r="H76" s="33" t="s">
        <v>20</v>
      </c>
      <c r="I76" s="31"/>
      <c r="J76" s="31"/>
    </row>
    <row r="77" spans="1:15" x14ac:dyDescent="0.4">
      <c r="A77" s="32" t="s">
        <v>4</v>
      </c>
      <c r="B77" s="34">
        <v>-1.0981000000000001</v>
      </c>
      <c r="C77" s="31"/>
      <c r="D77" s="32" t="s">
        <v>4</v>
      </c>
      <c r="E77" s="30">
        <v>-1.081</v>
      </c>
      <c r="F77" s="31"/>
      <c r="G77" s="32" t="s">
        <v>4</v>
      </c>
      <c r="H77" s="30">
        <v>-1.0988</v>
      </c>
      <c r="I77" s="32" t="s">
        <v>2</v>
      </c>
      <c r="J77" s="35">
        <v>4.758</v>
      </c>
    </row>
    <row r="78" spans="1:15" x14ac:dyDescent="0.4">
      <c r="A78" s="32" t="s">
        <v>5</v>
      </c>
      <c r="B78" s="34">
        <v>73.709999999999994</v>
      </c>
      <c r="C78" s="31"/>
      <c r="D78" s="32" t="s">
        <v>5</v>
      </c>
      <c r="E78" s="35">
        <v>72.853999999999999</v>
      </c>
      <c r="F78" s="31"/>
      <c r="G78" s="32" t="s">
        <v>5</v>
      </c>
      <c r="H78" s="1">
        <v>74.375</v>
      </c>
      <c r="I78" s="32" t="s">
        <v>141</v>
      </c>
      <c r="J78" s="35">
        <v>7.5869999999999997</v>
      </c>
    </row>
    <row r="79" spans="1:15" x14ac:dyDescent="0.4">
      <c r="A79" s="32" t="s">
        <v>0</v>
      </c>
      <c r="B79" s="35">
        <f>4/160.21766</f>
        <v>2.4966036827650584E-2</v>
      </c>
      <c r="C79" s="31"/>
      <c r="D79" s="32" t="s">
        <v>0</v>
      </c>
      <c r="E79" s="35">
        <f>4/160.21766</f>
        <v>2.4966036827650584E-2</v>
      </c>
      <c r="F79" s="31"/>
      <c r="G79" s="32" t="s">
        <v>0</v>
      </c>
      <c r="H79" s="35"/>
      <c r="I79" s="31"/>
      <c r="J79" s="31"/>
      <c r="O79" t="s">
        <v>213</v>
      </c>
    </row>
    <row r="80" spans="1:15" x14ac:dyDescent="0.4">
      <c r="A80" s="36" t="s">
        <v>1</v>
      </c>
      <c r="B80" s="35"/>
      <c r="C80" s="31"/>
      <c r="D80" s="36" t="s">
        <v>1</v>
      </c>
      <c r="E80" s="35">
        <v>2.6669999999999998</v>
      </c>
      <c r="F80" s="31"/>
      <c r="G80" s="36" t="s">
        <v>1</v>
      </c>
      <c r="H80" s="35"/>
      <c r="J80" s="31"/>
      <c r="O80" t="s">
        <v>303</v>
      </c>
    </row>
    <row r="82" spans="1:15" x14ac:dyDescent="0.4">
      <c r="A82" s="32" t="s">
        <v>6</v>
      </c>
      <c r="B82" s="33" t="s">
        <v>21</v>
      </c>
      <c r="C82" s="31"/>
      <c r="D82" s="32" t="s">
        <v>69</v>
      </c>
      <c r="E82" s="33" t="s">
        <v>21</v>
      </c>
      <c r="F82" s="31"/>
      <c r="G82" s="32" t="s">
        <v>67</v>
      </c>
      <c r="H82" s="33" t="s">
        <v>21</v>
      </c>
      <c r="I82" s="31"/>
      <c r="J82" s="31"/>
    </row>
    <row r="83" spans="1:15" x14ac:dyDescent="0.4">
      <c r="A83" s="32" t="s">
        <v>4</v>
      </c>
      <c r="B83" s="34">
        <v>-1.9984999999999999</v>
      </c>
      <c r="C83" s="31"/>
      <c r="D83" s="32" t="s">
        <v>4</v>
      </c>
      <c r="E83" s="30">
        <v>-1.982</v>
      </c>
      <c r="F83" s="31"/>
      <c r="G83" s="32" t="s">
        <v>4</v>
      </c>
      <c r="H83" s="30">
        <v>-1.9995000000000001</v>
      </c>
      <c r="I83" s="32" t="s">
        <v>2</v>
      </c>
      <c r="J83" s="35">
        <v>3.8969999999999998</v>
      </c>
    </row>
    <row r="84" spans="1:15" x14ac:dyDescent="0.4">
      <c r="A84" s="32" t="s">
        <v>5</v>
      </c>
      <c r="B84" s="34">
        <v>41.761000000000003</v>
      </c>
      <c r="C84" s="31"/>
      <c r="D84" s="32" t="s">
        <v>5</v>
      </c>
      <c r="E84" s="35">
        <v>42.171999999999997</v>
      </c>
      <c r="F84" s="31"/>
      <c r="G84" s="32" t="s">
        <v>5</v>
      </c>
      <c r="H84" s="1">
        <v>42.415500000000002</v>
      </c>
      <c r="I84" s="32" t="s">
        <v>141</v>
      </c>
      <c r="J84" s="35">
        <v>6.4509999999999996</v>
      </c>
    </row>
    <row r="85" spans="1:15" x14ac:dyDescent="0.4">
      <c r="A85" s="32" t="s">
        <v>0</v>
      </c>
      <c r="B85" s="35">
        <f>17/160.21766</f>
        <v>0.106105656517515</v>
      </c>
      <c r="C85" s="31"/>
      <c r="D85" s="32" t="s">
        <v>0</v>
      </c>
      <c r="E85" s="35">
        <f>15/160.21766</f>
        <v>9.362263810368969E-2</v>
      </c>
      <c r="F85" s="31"/>
      <c r="G85" s="32" t="s">
        <v>0</v>
      </c>
      <c r="H85" s="35">
        <f>18/160.21766</f>
        <v>0.11234716572442764</v>
      </c>
      <c r="I85" s="31"/>
      <c r="J85" s="31"/>
      <c r="O85" t="s">
        <v>214</v>
      </c>
    </row>
    <row r="86" spans="1:15" x14ac:dyDescent="0.4">
      <c r="A86" s="36" t="s">
        <v>1</v>
      </c>
      <c r="B86" s="35"/>
      <c r="C86" s="31"/>
      <c r="D86" s="36" t="s">
        <v>1</v>
      </c>
      <c r="E86" s="35"/>
      <c r="F86" s="31"/>
      <c r="G86" s="36" t="s">
        <v>1</v>
      </c>
      <c r="H86" s="35">
        <v>2.173</v>
      </c>
      <c r="J86" s="31"/>
    </row>
    <row r="88" spans="1:15" x14ac:dyDescent="0.4">
      <c r="A88" s="32" t="s">
        <v>6</v>
      </c>
      <c r="B88" s="33" t="s">
        <v>85</v>
      </c>
      <c r="C88" s="31"/>
      <c r="D88" s="32" t="s">
        <v>69</v>
      </c>
      <c r="E88" s="33" t="s">
        <v>85</v>
      </c>
      <c r="F88" s="31"/>
      <c r="G88" s="32" t="s">
        <v>67</v>
      </c>
      <c r="H88" s="33" t="s">
        <v>85</v>
      </c>
      <c r="I88" s="31"/>
      <c r="J88" s="31"/>
    </row>
    <row r="89" spans="1:15" x14ac:dyDescent="0.4">
      <c r="A89" s="32" t="s">
        <v>4</v>
      </c>
      <c r="B89" s="34">
        <v>-6.2832999999999997</v>
      </c>
      <c r="C89" s="31"/>
      <c r="D89" s="32" t="s">
        <v>4</v>
      </c>
      <c r="E89" s="30">
        <v>-6.2286999999999999</v>
      </c>
      <c r="F89" s="31"/>
      <c r="G89" s="32" t="s">
        <v>4</v>
      </c>
      <c r="H89" s="30">
        <v>-6.3324999999999996</v>
      </c>
      <c r="I89" s="32" t="s">
        <v>2</v>
      </c>
      <c r="J89" s="35">
        <v>3.319</v>
      </c>
    </row>
    <row r="90" spans="1:15" x14ac:dyDescent="0.4">
      <c r="A90" s="32" t="s">
        <v>5</v>
      </c>
      <c r="B90" s="34">
        <v>24.635999999999999</v>
      </c>
      <c r="C90" s="31"/>
      <c r="D90" s="32" t="s">
        <v>5</v>
      </c>
      <c r="E90" s="35">
        <v>24.864999999999998</v>
      </c>
      <c r="F90" s="31"/>
      <c r="G90" s="32" t="s">
        <v>5</v>
      </c>
      <c r="H90">
        <f>49.388/2</f>
        <v>24.693999999999999</v>
      </c>
      <c r="I90" s="32" t="s">
        <v>141</v>
      </c>
      <c r="J90" s="35">
        <v>5.1779999999999999</v>
      </c>
    </row>
    <row r="91" spans="1:15" x14ac:dyDescent="0.4">
      <c r="A91" s="32" t="s">
        <v>0</v>
      </c>
      <c r="B91" s="35">
        <f>51/160.21766</f>
        <v>0.31831696955254496</v>
      </c>
      <c r="C91" s="31"/>
      <c r="D91" s="32" t="s">
        <v>0</v>
      </c>
      <c r="E91" s="35">
        <f>53/160.21766</f>
        <v>0.33079998796637028</v>
      </c>
      <c r="F91" s="31"/>
      <c r="G91" s="32" t="s">
        <v>0</v>
      </c>
      <c r="H91" s="35">
        <f>52/160.21766</f>
        <v>0.32455847875945759</v>
      </c>
      <c r="I91" s="31"/>
      <c r="J91" s="31"/>
      <c r="O91" t="s">
        <v>215</v>
      </c>
    </row>
    <row r="92" spans="1:15" x14ac:dyDescent="0.4">
      <c r="A92" s="36" t="s">
        <v>1</v>
      </c>
      <c r="B92" s="35"/>
      <c r="C92" s="31"/>
      <c r="D92" s="36" t="s">
        <v>1</v>
      </c>
      <c r="E92" s="35"/>
      <c r="F92" s="31"/>
      <c r="G92" s="36" t="s">
        <v>1</v>
      </c>
      <c r="H92" s="35">
        <v>2.2559999999999998</v>
      </c>
      <c r="J92" s="31"/>
    </row>
    <row r="94" spans="1:15" x14ac:dyDescent="0.4">
      <c r="A94" s="32" t="s">
        <v>6</v>
      </c>
      <c r="B94" s="33" t="s">
        <v>22</v>
      </c>
      <c r="C94" s="31"/>
      <c r="D94" s="32" t="s">
        <v>69</v>
      </c>
      <c r="E94" s="33" t="s">
        <v>22</v>
      </c>
      <c r="F94" s="31"/>
      <c r="G94" s="32" t="s">
        <v>67</v>
      </c>
      <c r="H94" s="33" t="s">
        <v>22</v>
      </c>
      <c r="I94" s="31"/>
      <c r="J94" s="31"/>
    </row>
    <row r="95" spans="1:15" x14ac:dyDescent="0.4">
      <c r="A95" s="32" t="s">
        <v>4</v>
      </c>
      <c r="B95" s="34">
        <v>-7.8334999999999999</v>
      </c>
      <c r="C95" s="31"/>
      <c r="D95" s="32" t="s">
        <v>4</v>
      </c>
      <c r="E95" s="30">
        <v>-7.7835000000000001</v>
      </c>
      <c r="F95" s="31"/>
      <c r="G95" s="32" t="s">
        <v>4</v>
      </c>
      <c r="H95" s="30">
        <v>-7.8910999999999998</v>
      </c>
      <c r="I95" s="32" t="s">
        <v>2</v>
      </c>
      <c r="J95" s="35">
        <v>2.9340000000000002</v>
      </c>
    </row>
    <row r="96" spans="1:15" x14ac:dyDescent="0.4">
      <c r="A96" s="32" t="s">
        <v>5</v>
      </c>
      <c r="B96" s="34">
        <v>17.344999999999999</v>
      </c>
      <c r="C96" s="31"/>
      <c r="D96" s="32" t="s">
        <v>5</v>
      </c>
      <c r="E96" s="35">
        <v>17.187999999999999</v>
      </c>
      <c r="F96" s="31"/>
      <c r="G96" s="32" t="s">
        <v>5</v>
      </c>
      <c r="H96" s="1">
        <f>34.714/2</f>
        <v>17.356999999999999</v>
      </c>
      <c r="I96" s="32" t="s">
        <v>141</v>
      </c>
      <c r="J96" s="35">
        <v>4.657</v>
      </c>
    </row>
    <row r="97" spans="1:15" x14ac:dyDescent="0.4">
      <c r="A97" s="32" t="s">
        <v>0</v>
      </c>
      <c r="B97" s="35">
        <f>107/160.21766</f>
        <v>0.66784148513965313</v>
      </c>
      <c r="C97" s="31"/>
      <c r="D97" s="32" t="s">
        <v>0</v>
      </c>
      <c r="E97" s="35">
        <f>105/160.21766</f>
        <v>0.65535846672582787</v>
      </c>
      <c r="F97" s="31"/>
      <c r="G97" s="32" t="s">
        <v>0</v>
      </c>
      <c r="H97" s="35">
        <f>113/160.21766</f>
        <v>0.70529054038112904</v>
      </c>
      <c r="I97" s="31"/>
      <c r="J97" s="31"/>
      <c r="O97" t="s">
        <v>216</v>
      </c>
    </row>
    <row r="98" spans="1:15" x14ac:dyDescent="0.4">
      <c r="A98" s="36" t="s">
        <v>1</v>
      </c>
      <c r="B98" s="35"/>
      <c r="C98" s="31"/>
      <c r="D98" s="36" t="s">
        <v>1</v>
      </c>
      <c r="E98" s="35"/>
      <c r="F98" s="31"/>
      <c r="G98" s="36" t="s">
        <v>1</v>
      </c>
      <c r="H98" s="35"/>
      <c r="J98" s="31"/>
      <c r="O98" t="s">
        <v>300</v>
      </c>
    </row>
    <row r="100" spans="1:15" x14ac:dyDescent="0.4">
      <c r="A100" s="32" t="s">
        <v>6</v>
      </c>
      <c r="B100" s="33" t="s">
        <v>23</v>
      </c>
      <c r="C100" s="31"/>
      <c r="D100" s="32" t="s">
        <v>69</v>
      </c>
      <c r="E100" s="33" t="s">
        <v>23</v>
      </c>
      <c r="F100" s="31"/>
      <c r="G100" s="32" t="s">
        <v>67</v>
      </c>
      <c r="H100" s="33" t="s">
        <v>160</v>
      </c>
      <c r="I100" s="31"/>
      <c r="J100" s="31"/>
    </row>
    <row r="101" spans="1:15" x14ac:dyDescent="0.4">
      <c r="A101" s="32" t="s">
        <v>4</v>
      </c>
      <c r="B101" s="34">
        <v>-8.8367000000000004</v>
      </c>
      <c r="C101" s="31"/>
      <c r="D101" s="32" t="s">
        <v>4</v>
      </c>
      <c r="E101" s="30">
        <v>-9.0823999999999998</v>
      </c>
      <c r="F101" s="31"/>
      <c r="G101" s="32" t="s">
        <v>4</v>
      </c>
      <c r="H101" s="30">
        <v>-8.7095000000000002</v>
      </c>
      <c r="I101" s="32" t="s">
        <v>2</v>
      </c>
      <c r="J101" s="35">
        <v>2.605</v>
      </c>
    </row>
    <row r="102" spans="1:15" x14ac:dyDescent="0.4">
      <c r="A102" s="32" t="s">
        <v>5</v>
      </c>
      <c r="B102" s="34">
        <v>13.926</v>
      </c>
      <c r="C102" s="31"/>
      <c r="D102" s="32" t="s">
        <v>5</v>
      </c>
      <c r="E102" s="35">
        <v>13.4</v>
      </c>
      <c r="F102" s="31"/>
      <c r="G102" s="32" t="s">
        <v>5</v>
      </c>
      <c r="H102" s="1">
        <v>13.77066718723132</v>
      </c>
      <c r="I102" s="32" t="s">
        <v>141</v>
      </c>
      <c r="J102" s="35">
        <v>4.6863950000000001</v>
      </c>
    </row>
    <row r="103" spans="1:15" x14ac:dyDescent="0.4">
      <c r="A103" s="32" t="s">
        <v>0</v>
      </c>
      <c r="B103" s="35">
        <f>179/160.21766</f>
        <v>1.1172301480373636</v>
      </c>
      <c r="C103" s="31"/>
      <c r="D103" s="32" t="s">
        <v>0</v>
      </c>
      <c r="E103" s="35">
        <f>179/160.21766</f>
        <v>1.1172301480373636</v>
      </c>
      <c r="F103" s="31"/>
      <c r="G103" s="32" t="s">
        <v>0</v>
      </c>
      <c r="H103" s="35">
        <v>1.1020000000000001</v>
      </c>
      <c r="I103" s="33" t="s">
        <v>140</v>
      </c>
      <c r="J103" s="33">
        <v>1.7989999999999999</v>
      </c>
      <c r="O103" t="s">
        <v>217</v>
      </c>
    </row>
    <row r="104" spans="1:15" x14ac:dyDescent="0.4">
      <c r="A104" s="36" t="s">
        <v>1</v>
      </c>
      <c r="B104" s="35"/>
      <c r="C104" s="31"/>
      <c r="D104" s="36" t="s">
        <v>1</v>
      </c>
      <c r="E104" s="35">
        <v>2.726</v>
      </c>
      <c r="F104" s="31"/>
      <c r="G104" s="36" t="s">
        <v>1</v>
      </c>
      <c r="H104" s="35"/>
      <c r="J104" s="31"/>
    </row>
    <row r="106" spans="1:15" x14ac:dyDescent="0.4">
      <c r="A106" s="32" t="s">
        <v>6</v>
      </c>
      <c r="B106" s="33" t="s">
        <v>24</v>
      </c>
      <c r="C106" s="31"/>
      <c r="D106" s="32" t="s">
        <v>69</v>
      </c>
      <c r="E106" s="33" t="s">
        <v>24</v>
      </c>
      <c r="F106" s="31"/>
      <c r="G106" s="32" t="s">
        <v>67</v>
      </c>
      <c r="H106" s="33" t="s">
        <v>24</v>
      </c>
      <c r="I106" s="31"/>
      <c r="J106" s="31"/>
    </row>
    <row r="107" spans="1:15" x14ac:dyDescent="0.4">
      <c r="A107" s="32" t="s">
        <v>4</v>
      </c>
      <c r="B107" s="30">
        <v>-9.2486999999999995</v>
      </c>
      <c r="C107" s="31"/>
      <c r="D107" s="32" t="s">
        <v>4</v>
      </c>
      <c r="E107" s="30">
        <v>-9.6530000000000005</v>
      </c>
      <c r="F107" s="31"/>
      <c r="G107" s="32" t="s">
        <v>4</v>
      </c>
      <c r="H107" s="30">
        <v>-9.2326999999999995</v>
      </c>
      <c r="I107" s="32" t="s">
        <v>2</v>
      </c>
      <c r="J107" s="35">
        <v>2.4910000000000001</v>
      </c>
    </row>
    <row r="108" spans="1:15" x14ac:dyDescent="0.4">
      <c r="A108" s="32" t="s">
        <v>5</v>
      </c>
      <c r="B108" s="34">
        <v>11.903</v>
      </c>
      <c r="C108" s="31"/>
      <c r="D108" s="32" t="s">
        <v>5</v>
      </c>
      <c r="E108" s="35">
        <v>23.74</v>
      </c>
      <c r="F108" s="31"/>
      <c r="G108" s="32" t="s">
        <v>5</v>
      </c>
      <c r="H108" s="1">
        <v>11.952</v>
      </c>
      <c r="I108" s="32" t="s">
        <v>141</v>
      </c>
      <c r="J108" s="35">
        <v>4.45</v>
      </c>
    </row>
    <row r="109" spans="1:15" x14ac:dyDescent="0.4">
      <c r="A109" s="32" t="s">
        <v>0</v>
      </c>
      <c r="B109" s="35">
        <f>241/160.21766</f>
        <v>1.5042037188659478</v>
      </c>
      <c r="C109" s="31"/>
      <c r="D109" s="32" t="s">
        <v>0</v>
      </c>
      <c r="E109" s="35">
        <f>259/160.21766</f>
        <v>1.6165508845903753</v>
      </c>
      <c r="F109" s="31"/>
      <c r="G109" s="32" t="s">
        <v>0</v>
      </c>
      <c r="H109" s="35"/>
      <c r="I109" s="31"/>
      <c r="J109" s="31"/>
      <c r="O109" t="s">
        <v>218</v>
      </c>
    </row>
    <row r="110" spans="1:15" x14ac:dyDescent="0.4">
      <c r="A110" s="36" t="s">
        <v>1</v>
      </c>
      <c r="B110" s="35"/>
      <c r="C110" s="31"/>
      <c r="D110" s="36" t="s">
        <v>1</v>
      </c>
      <c r="E110" s="35">
        <v>3.1219999999999999</v>
      </c>
      <c r="F110" s="31"/>
      <c r="G110" s="36" t="s">
        <v>1</v>
      </c>
      <c r="H110" s="35"/>
      <c r="J110" s="31"/>
      <c r="O110" t="s">
        <v>302</v>
      </c>
    </row>
    <row r="112" spans="1:15" x14ac:dyDescent="0.4">
      <c r="A112" s="32" t="s">
        <v>6</v>
      </c>
      <c r="B112" s="33" t="s">
        <v>91</v>
      </c>
      <c r="C112" s="31"/>
      <c r="D112" s="32" t="s">
        <v>69</v>
      </c>
      <c r="E112" s="33" t="s">
        <v>91</v>
      </c>
      <c r="F112" s="31"/>
      <c r="G112" s="32" t="s">
        <v>67</v>
      </c>
      <c r="H112" s="33" t="s">
        <v>161</v>
      </c>
      <c r="I112" s="31"/>
      <c r="J112" s="31"/>
    </row>
    <row r="113" spans="1:15" x14ac:dyDescent="0.4">
      <c r="A113" s="32" t="s">
        <v>4</v>
      </c>
      <c r="B113" s="30">
        <v>-9.0786999999999995</v>
      </c>
      <c r="C113" s="31"/>
      <c r="D113" s="32" t="s">
        <v>4</v>
      </c>
      <c r="E113" s="30">
        <v>-9.0166000000000004</v>
      </c>
      <c r="F113" s="31"/>
      <c r="G113" s="32" t="s">
        <v>4</v>
      </c>
      <c r="H113" s="30">
        <v>-8.9197000000000006</v>
      </c>
      <c r="I113" s="32" t="s">
        <v>2</v>
      </c>
      <c r="J113" s="35">
        <v>2.4849999999999999</v>
      </c>
    </row>
    <row r="114" spans="1:15" x14ac:dyDescent="0.4">
      <c r="A114" s="32" t="s">
        <v>5</v>
      </c>
      <c r="B114" s="34">
        <v>10.805999999999999</v>
      </c>
      <c r="C114" s="31"/>
      <c r="D114" s="32" t="s">
        <v>5</v>
      </c>
      <c r="E114" s="35">
        <v>10.968999999999999</v>
      </c>
      <c r="F114" s="31"/>
      <c r="G114" s="32" t="s">
        <v>5</v>
      </c>
      <c r="H114" s="1">
        <v>10.751234449539659</v>
      </c>
      <c r="I114" s="32" t="s">
        <v>141</v>
      </c>
      <c r="J114" s="35">
        <v>4.0207300000000004</v>
      </c>
    </row>
    <row r="115" spans="1:15" x14ac:dyDescent="0.4">
      <c r="A115" s="32" t="s">
        <v>0</v>
      </c>
      <c r="B115" s="35">
        <f>280/160.21766</f>
        <v>1.747622577935541</v>
      </c>
      <c r="C115" s="31"/>
      <c r="D115" s="32" t="s">
        <v>0</v>
      </c>
      <c r="E115" s="35"/>
      <c r="F115" s="31"/>
      <c r="G115" s="32" t="s">
        <v>0</v>
      </c>
      <c r="H115" s="35"/>
      <c r="I115" s="33" t="s">
        <v>140</v>
      </c>
      <c r="J115" s="1">
        <v>1.6180000000000001</v>
      </c>
      <c r="O115" t="s">
        <v>219</v>
      </c>
    </row>
    <row r="116" spans="1:15" x14ac:dyDescent="0.4">
      <c r="A116" s="36" t="s">
        <v>1</v>
      </c>
      <c r="B116" s="35"/>
      <c r="C116" s="31"/>
      <c r="D116" s="36" t="s">
        <v>1</v>
      </c>
      <c r="E116" s="35"/>
      <c r="F116" s="31"/>
      <c r="G116" s="36" t="s">
        <v>1</v>
      </c>
      <c r="H116" s="35"/>
      <c r="J116" s="31"/>
      <c r="O116" t="s">
        <v>301</v>
      </c>
    </row>
    <row r="118" spans="1:15" x14ac:dyDescent="0.4">
      <c r="A118" s="32" t="s">
        <v>6</v>
      </c>
      <c r="B118" s="33" t="s">
        <v>25</v>
      </c>
      <c r="C118" s="31"/>
      <c r="D118" s="32" t="s">
        <v>69</v>
      </c>
      <c r="E118" s="33" t="s">
        <v>25</v>
      </c>
      <c r="F118" s="31"/>
      <c r="G118" s="32" t="s">
        <v>67</v>
      </c>
      <c r="H118" s="33" t="s">
        <v>25</v>
      </c>
      <c r="I118" s="31"/>
      <c r="J118" s="31"/>
    </row>
    <row r="119" spans="1:15" x14ac:dyDescent="0.4">
      <c r="A119" s="32" t="s">
        <v>4</v>
      </c>
      <c r="B119" s="30">
        <v>-8.3155999999999999</v>
      </c>
      <c r="C119" s="31"/>
      <c r="D119" s="32" t="s">
        <v>4</v>
      </c>
      <c r="E119" s="30">
        <v>-8.4693000000000005</v>
      </c>
      <c r="F119" s="31"/>
      <c r="G119" s="32" t="s">
        <v>4</v>
      </c>
      <c r="H119" s="30">
        <v>-8.3720999999999997</v>
      </c>
      <c r="I119" s="32" t="s">
        <v>2</v>
      </c>
      <c r="J119" s="35">
        <v>2.4660000000000002</v>
      </c>
    </row>
    <row r="120" spans="1:15" x14ac:dyDescent="0.4">
      <c r="A120" s="32" t="s">
        <v>5</v>
      </c>
      <c r="B120" s="34">
        <v>12.114000000000001</v>
      </c>
      <c r="C120" s="31"/>
      <c r="D120" s="32" t="s">
        <v>5</v>
      </c>
      <c r="E120" s="35">
        <v>11.454000000000001</v>
      </c>
      <c r="F120" s="31"/>
      <c r="G120" s="32" t="s">
        <v>5</v>
      </c>
      <c r="H120" s="1">
        <v>10.268000000000001</v>
      </c>
      <c r="I120" s="32" t="s">
        <v>141</v>
      </c>
      <c r="J120" s="35">
        <v>3.9</v>
      </c>
    </row>
    <row r="121" spans="1:15" x14ac:dyDescent="0.4">
      <c r="A121" s="32" t="s">
        <v>0</v>
      </c>
      <c r="B121" s="35">
        <f>173/160.21766</f>
        <v>1.0797810927958877</v>
      </c>
      <c r="C121" s="31"/>
      <c r="D121" s="32" t="s">
        <v>0</v>
      </c>
      <c r="E121" s="35">
        <f>182/160.21766</f>
        <v>1.1359546756581016</v>
      </c>
      <c r="F121" s="31"/>
      <c r="G121" s="32" t="s">
        <v>0</v>
      </c>
      <c r="H121" s="35">
        <f>295/160.21766</f>
        <v>1.8412452160392307</v>
      </c>
      <c r="I121" s="31"/>
      <c r="J121" s="31"/>
      <c r="O121" t="s">
        <v>220</v>
      </c>
    </row>
    <row r="122" spans="1:15" x14ac:dyDescent="0.4">
      <c r="A122" s="36" t="s">
        <v>1</v>
      </c>
      <c r="B122" s="35"/>
      <c r="C122" s="31"/>
      <c r="D122" s="36" t="s">
        <v>1</v>
      </c>
      <c r="E122" s="35">
        <v>3.9580000000000002</v>
      </c>
      <c r="F122" s="31"/>
      <c r="G122" s="36" t="s">
        <v>1</v>
      </c>
      <c r="H122" s="35"/>
      <c r="J122" s="31"/>
    </row>
    <row r="124" spans="1:15" x14ac:dyDescent="0.4">
      <c r="A124" s="32" t="s">
        <v>6</v>
      </c>
      <c r="B124" s="33" t="s">
        <v>26</v>
      </c>
      <c r="C124" s="31"/>
      <c r="D124" s="32" t="s">
        <v>69</v>
      </c>
      <c r="E124" s="33" t="s">
        <v>26</v>
      </c>
      <c r="F124" s="31"/>
      <c r="G124" s="32" t="s">
        <v>67</v>
      </c>
      <c r="H124" s="33" t="s">
        <v>26</v>
      </c>
      <c r="I124" s="31"/>
      <c r="J124" s="31"/>
    </row>
    <row r="125" spans="1:15" x14ac:dyDescent="0.4">
      <c r="A125" s="32" t="s">
        <v>4</v>
      </c>
      <c r="B125" s="30">
        <v>-7.0922000000000001</v>
      </c>
      <c r="C125" s="31"/>
      <c r="D125" s="32" t="s">
        <v>4</v>
      </c>
      <c r="E125" s="30"/>
      <c r="F125" s="31"/>
      <c r="G125" s="32" t="s">
        <v>4</v>
      </c>
      <c r="H125" s="30">
        <v>-7.1082999999999998</v>
      </c>
      <c r="I125" s="32" t="s">
        <v>2</v>
      </c>
      <c r="J125" s="35">
        <v>2.5009999999999999</v>
      </c>
    </row>
    <row r="126" spans="1:15" x14ac:dyDescent="0.4">
      <c r="A126" s="32" t="s">
        <v>5</v>
      </c>
      <c r="B126" s="34">
        <v>10.913</v>
      </c>
      <c r="C126" s="31"/>
      <c r="D126" s="32" t="s">
        <v>5</v>
      </c>
      <c r="E126" s="35"/>
      <c r="F126" s="31"/>
      <c r="G126" s="32" t="s">
        <v>5</v>
      </c>
      <c r="H126" s="1">
        <v>10.922499999999999</v>
      </c>
      <c r="I126" s="32" t="s">
        <v>141</v>
      </c>
      <c r="J126" s="35">
        <v>4.0330000000000004</v>
      </c>
    </row>
    <row r="127" spans="1:15" x14ac:dyDescent="0.4">
      <c r="A127" s="32" t="s">
        <v>0</v>
      </c>
      <c r="B127" s="35">
        <f>212/160.21766</f>
        <v>1.3231999518654811</v>
      </c>
      <c r="C127" s="31"/>
      <c r="D127" s="32" t="s">
        <v>0</v>
      </c>
      <c r="E127" s="35"/>
      <c r="F127" s="31"/>
      <c r="G127" s="32" t="s">
        <v>0</v>
      </c>
      <c r="H127" s="35">
        <f>212/160.21766</f>
        <v>1.3231999518654811</v>
      </c>
      <c r="I127" s="31"/>
      <c r="J127" s="31"/>
      <c r="O127" t="s">
        <v>221</v>
      </c>
    </row>
    <row r="128" spans="1:15" x14ac:dyDescent="0.4">
      <c r="A128" s="36" t="s">
        <v>1</v>
      </c>
      <c r="B128" s="35"/>
      <c r="C128" s="31"/>
      <c r="D128" s="36" t="s">
        <v>1</v>
      </c>
      <c r="E128" s="35"/>
      <c r="F128" s="31"/>
      <c r="G128" s="36" t="s">
        <v>1</v>
      </c>
      <c r="H128" s="35">
        <v>3.4449999999999998</v>
      </c>
      <c r="J128" s="31"/>
    </row>
    <row r="130" spans="1:15" x14ac:dyDescent="0.4">
      <c r="A130" s="32" t="s">
        <v>6</v>
      </c>
      <c r="B130" s="33" t="s">
        <v>27</v>
      </c>
      <c r="C130" s="31"/>
      <c r="D130" s="32" t="s">
        <v>69</v>
      </c>
      <c r="E130" s="33" t="s">
        <v>27</v>
      </c>
      <c r="F130" s="31"/>
      <c r="G130" s="32" t="s">
        <v>67</v>
      </c>
      <c r="H130" s="33" t="s">
        <v>27</v>
      </c>
      <c r="I130" s="31"/>
      <c r="J130" s="31"/>
    </row>
    <row r="131" spans="1:15" x14ac:dyDescent="0.4">
      <c r="A131" s="32" t="s">
        <v>4</v>
      </c>
      <c r="B131" s="30">
        <v>-5.7797999999999998</v>
      </c>
      <c r="C131" s="31"/>
      <c r="D131" s="32" t="s">
        <v>4</v>
      </c>
      <c r="E131" s="30">
        <v>-5.6845999999999997</v>
      </c>
      <c r="F131" s="31"/>
      <c r="G131" s="32" t="s">
        <v>4</v>
      </c>
      <c r="H131" s="30">
        <v>-5.7539999999999996</v>
      </c>
      <c r="I131" s="32" t="s">
        <v>2</v>
      </c>
      <c r="J131" s="35">
        <v>2.4740000000000002</v>
      </c>
    </row>
    <row r="132" spans="1:15" x14ac:dyDescent="0.4">
      <c r="A132" s="32" t="s">
        <v>5</v>
      </c>
      <c r="B132" s="34">
        <v>10.772</v>
      </c>
      <c r="C132" s="31"/>
      <c r="D132" s="32" t="s">
        <v>5</v>
      </c>
      <c r="E132" s="35">
        <v>10.861000000000001</v>
      </c>
      <c r="F132" s="31"/>
      <c r="G132" s="32" t="s">
        <v>5</v>
      </c>
      <c r="H132" s="1">
        <v>10.79</v>
      </c>
      <c r="I132" s="32" t="s">
        <v>141</v>
      </c>
      <c r="J132" s="35">
        <v>4.07</v>
      </c>
    </row>
    <row r="133" spans="1:15" x14ac:dyDescent="0.4">
      <c r="A133" s="32" t="s">
        <v>0</v>
      </c>
      <c r="B133" s="35">
        <f>198/160.21766</f>
        <v>1.2358188229687039</v>
      </c>
      <c r="C133" s="31"/>
      <c r="D133" s="32" t="s">
        <v>0</v>
      </c>
      <c r="E133" s="35">
        <f>197/160.21766</f>
        <v>1.2295773137617914</v>
      </c>
      <c r="F133" s="31"/>
      <c r="G133" s="32" t="s">
        <v>0</v>
      </c>
      <c r="H133" s="35">
        <f>197/160.21766</f>
        <v>1.2295773137617914</v>
      </c>
      <c r="I133" s="31"/>
      <c r="J133" s="31"/>
      <c r="O133" t="s">
        <v>222</v>
      </c>
    </row>
    <row r="134" spans="1:15" x14ac:dyDescent="0.4">
      <c r="A134" s="36" t="s">
        <v>1</v>
      </c>
      <c r="B134" s="35">
        <v>3.637</v>
      </c>
      <c r="C134" s="31"/>
      <c r="D134" s="36" t="s">
        <v>1</v>
      </c>
      <c r="E134" s="35"/>
      <c r="F134" s="31"/>
      <c r="G134" s="36" t="s">
        <v>1</v>
      </c>
      <c r="H134" s="35"/>
      <c r="J134" s="31"/>
    </row>
    <row r="136" spans="1:15" x14ac:dyDescent="0.4">
      <c r="A136" s="32" t="s">
        <v>6</v>
      </c>
      <c r="B136" s="33" t="s">
        <v>10</v>
      </c>
      <c r="C136" s="31"/>
      <c r="D136" s="32" t="s">
        <v>69</v>
      </c>
      <c r="E136" s="33" t="s">
        <v>10</v>
      </c>
      <c r="F136" s="31"/>
      <c r="G136" s="32" t="s">
        <v>67</v>
      </c>
      <c r="H136" s="33" t="s">
        <v>10</v>
      </c>
      <c r="I136" s="31"/>
      <c r="J136" s="31"/>
    </row>
    <row r="137" spans="1:15" x14ac:dyDescent="0.4">
      <c r="A137" s="32" t="s">
        <v>4</v>
      </c>
      <c r="B137" s="30">
        <v>-4.0991999999999997</v>
      </c>
      <c r="C137" s="31"/>
      <c r="D137" s="32" t="s">
        <v>4</v>
      </c>
      <c r="E137" s="30">
        <v>-4.0621999999999998</v>
      </c>
      <c r="F137" s="31"/>
      <c r="G137" s="32" t="s">
        <v>4</v>
      </c>
      <c r="H137" s="30">
        <v>-4.0914999999999999</v>
      </c>
      <c r="I137" s="32" t="s">
        <v>2</v>
      </c>
      <c r="J137" s="35">
        <v>2.5510000000000002</v>
      </c>
    </row>
    <row r="138" spans="1:15" x14ac:dyDescent="0.4">
      <c r="A138" s="32" t="s">
        <v>5</v>
      </c>
      <c r="B138" s="34">
        <v>11.872</v>
      </c>
      <c r="C138" s="31"/>
      <c r="D138" s="32" t="s">
        <v>5</v>
      </c>
      <c r="E138" s="35">
        <v>11.853</v>
      </c>
      <c r="F138" s="31"/>
      <c r="G138" s="32" t="s">
        <v>5</v>
      </c>
      <c r="H138" s="1">
        <v>11.8085</v>
      </c>
      <c r="I138" s="32" t="s">
        <v>141</v>
      </c>
      <c r="J138" s="35">
        <v>4.1900000000000004</v>
      </c>
    </row>
    <row r="139" spans="1:15" x14ac:dyDescent="0.4">
      <c r="A139" s="32" t="s">
        <v>0</v>
      </c>
      <c r="B139" s="35">
        <f>145/160.21766</f>
        <v>0.90501883500233371</v>
      </c>
      <c r="C139" s="31"/>
      <c r="D139" s="32" t="s">
        <v>0</v>
      </c>
      <c r="E139" s="35"/>
      <c r="F139" s="31"/>
      <c r="G139" s="32" t="s">
        <v>0</v>
      </c>
      <c r="H139" s="35">
        <f>146/160.21766</f>
        <v>0.9112603442092464</v>
      </c>
      <c r="I139" s="31"/>
      <c r="J139" s="31"/>
      <c r="O139" t="s">
        <v>223</v>
      </c>
    </row>
    <row r="140" spans="1:15" x14ac:dyDescent="0.4">
      <c r="A140" s="36" t="s">
        <v>1</v>
      </c>
      <c r="B140" s="35">
        <v>3.7810000000000001</v>
      </c>
      <c r="C140" s="31"/>
      <c r="D140" s="36" t="s">
        <v>1</v>
      </c>
      <c r="E140" s="35"/>
      <c r="F140" s="31"/>
      <c r="G140" s="36" t="s">
        <v>1</v>
      </c>
      <c r="H140" s="35"/>
      <c r="J140" s="31"/>
    </row>
    <row r="142" spans="1:15" x14ac:dyDescent="0.4">
      <c r="A142" s="32" t="s">
        <v>6</v>
      </c>
      <c r="B142" s="33" t="s">
        <v>162</v>
      </c>
      <c r="C142" s="31"/>
      <c r="D142" s="32" t="s">
        <v>69</v>
      </c>
      <c r="E142" s="33" t="s">
        <v>162</v>
      </c>
      <c r="F142" s="31"/>
      <c r="G142" s="32" t="s">
        <v>67</v>
      </c>
      <c r="H142" s="33" t="s">
        <v>28</v>
      </c>
      <c r="I142" s="31"/>
      <c r="J142" s="31"/>
    </row>
    <row r="143" spans="1:15" x14ac:dyDescent="0.4">
      <c r="A143" s="32" t="s">
        <v>4</v>
      </c>
      <c r="B143" s="30">
        <v>-1.0885</v>
      </c>
      <c r="C143" s="31"/>
      <c r="D143" s="32" t="s">
        <v>4</v>
      </c>
      <c r="E143" s="30">
        <v>-1.0268999999999999</v>
      </c>
      <c r="F143" s="31"/>
      <c r="G143" s="32" t="s">
        <v>4</v>
      </c>
      <c r="H143" s="30">
        <v>-1.2595000000000001</v>
      </c>
      <c r="I143" s="32" t="s">
        <v>2</v>
      </c>
      <c r="J143" s="35">
        <v>2.6269999999999998</v>
      </c>
    </row>
    <row r="144" spans="1:15" x14ac:dyDescent="0.4">
      <c r="A144" s="32" t="s">
        <v>5</v>
      </c>
      <c r="B144" s="34">
        <v>15.279106254750001</v>
      </c>
      <c r="C144" s="31"/>
      <c r="D144" s="32" t="s">
        <v>5</v>
      </c>
      <c r="E144" s="35">
        <v>15.4352461765</v>
      </c>
      <c r="F144" s="31"/>
      <c r="G144" s="32" t="s">
        <v>5</v>
      </c>
      <c r="H144" s="1">
        <v>15.557499999999999</v>
      </c>
      <c r="I144" s="32" t="s">
        <v>141</v>
      </c>
      <c r="J144" s="35">
        <v>5.2069999999999999</v>
      </c>
    </row>
    <row r="145" spans="1:15" x14ac:dyDescent="0.4">
      <c r="A145" s="32" t="s">
        <v>0</v>
      </c>
      <c r="B145" s="35">
        <v>0.42899999999999999</v>
      </c>
      <c r="C145" s="31"/>
      <c r="D145" s="32" t="s">
        <v>0</v>
      </c>
      <c r="E145" s="35">
        <v>0.42899999999999999</v>
      </c>
      <c r="F145" s="31"/>
      <c r="G145" s="32" t="s">
        <v>0</v>
      </c>
      <c r="H145" s="35">
        <f>75/160.21766</f>
        <v>0.46811319051844846</v>
      </c>
      <c r="I145" s="31"/>
      <c r="J145" s="31"/>
      <c r="O145" t="s">
        <v>224</v>
      </c>
    </row>
    <row r="146" spans="1:15" x14ac:dyDescent="0.4">
      <c r="A146" s="36" t="s">
        <v>1</v>
      </c>
      <c r="B146" s="35"/>
      <c r="C146" s="31"/>
      <c r="D146" s="36" t="s">
        <v>1</v>
      </c>
      <c r="E146" s="35"/>
      <c r="F146" s="31"/>
      <c r="G146" s="36" t="s">
        <v>1</v>
      </c>
      <c r="H146" s="35">
        <v>4.0990000000000002</v>
      </c>
      <c r="J146" s="31"/>
    </row>
    <row r="147" spans="1:15" x14ac:dyDescent="0.4">
      <c r="A147" s="31"/>
      <c r="B147" s="37"/>
      <c r="C147" s="31"/>
      <c r="D147" s="31"/>
      <c r="E147" s="37"/>
      <c r="F147" s="31"/>
      <c r="G147" s="39"/>
      <c r="H147" s="37"/>
      <c r="J147" s="31"/>
    </row>
    <row r="148" spans="1:15" x14ac:dyDescent="0.4">
      <c r="A148" s="32" t="s">
        <v>6</v>
      </c>
      <c r="B148" s="33" t="s">
        <v>163</v>
      </c>
      <c r="C148" s="31"/>
      <c r="D148" s="32" t="s">
        <v>69</v>
      </c>
      <c r="E148" s="33" t="s">
        <v>163</v>
      </c>
      <c r="F148" s="31"/>
      <c r="G148" s="32" t="s">
        <v>67</v>
      </c>
      <c r="H148" s="33" t="s">
        <v>163</v>
      </c>
      <c r="I148" s="31"/>
      <c r="J148" s="31"/>
      <c r="L148" t="s">
        <v>203</v>
      </c>
    </row>
    <row r="149" spans="1:15" x14ac:dyDescent="0.4">
      <c r="A149" s="32" t="s">
        <v>4</v>
      </c>
      <c r="B149" s="30">
        <v>-2.8656999999999999</v>
      </c>
      <c r="C149" s="31"/>
      <c r="D149" s="32" t="s">
        <v>4</v>
      </c>
      <c r="E149" s="30">
        <v>-2.8504</v>
      </c>
      <c r="F149" s="31"/>
      <c r="G149" s="32" t="s">
        <v>4</v>
      </c>
      <c r="H149" s="30">
        <v>-2.8586</v>
      </c>
      <c r="I149" s="32" t="s">
        <v>2</v>
      </c>
      <c r="J149" s="1">
        <v>3.0030000000000001</v>
      </c>
      <c r="L149" t="s">
        <v>204</v>
      </c>
    </row>
    <row r="150" spans="1:15" x14ac:dyDescent="0.4">
      <c r="A150" s="32" t="s">
        <v>5</v>
      </c>
      <c r="B150" s="34">
        <v>18.975471226</v>
      </c>
      <c r="C150" s="31"/>
      <c r="D150" s="32" t="s">
        <v>5</v>
      </c>
      <c r="E150" s="35">
        <v>19.272983076000003</v>
      </c>
      <c r="F150" s="31"/>
      <c r="G150" s="32" t="s">
        <v>5</v>
      </c>
      <c r="H150" s="1">
        <v>19.149296223228315</v>
      </c>
      <c r="I150" s="32" t="s">
        <v>141</v>
      </c>
      <c r="J150" s="35">
        <v>4.903899</v>
      </c>
    </row>
    <row r="151" spans="1:15" x14ac:dyDescent="0.4">
      <c r="A151" s="32" t="s">
        <v>0</v>
      </c>
      <c r="B151" s="1"/>
      <c r="C151" s="31"/>
      <c r="D151" s="32" t="s">
        <v>0</v>
      </c>
      <c r="E151" s="1">
        <v>0.31519621494908862</v>
      </c>
      <c r="F151" s="31"/>
      <c r="G151" s="32" t="s">
        <v>0</v>
      </c>
      <c r="H151" s="1"/>
      <c r="I151" s="33" t="s">
        <v>140</v>
      </c>
      <c r="J151" s="1">
        <v>1.633</v>
      </c>
    </row>
    <row r="152" spans="1:15" x14ac:dyDescent="0.4">
      <c r="A152" s="36" t="s">
        <v>1</v>
      </c>
      <c r="B152" s="35"/>
      <c r="C152" s="31"/>
      <c r="D152" s="36" t="s">
        <v>1</v>
      </c>
      <c r="E152" s="35"/>
      <c r="F152" s="31"/>
      <c r="G152" s="36" t="s">
        <v>1</v>
      </c>
      <c r="H152" s="35"/>
      <c r="J152" s="31"/>
    </row>
    <row r="154" spans="1:15" x14ac:dyDescent="0.4">
      <c r="A154" s="32" t="s">
        <v>6</v>
      </c>
      <c r="B154" s="33" t="s">
        <v>29</v>
      </c>
      <c r="C154" s="31"/>
      <c r="D154" s="32" t="s">
        <v>69</v>
      </c>
      <c r="E154" s="33" t="s">
        <v>29</v>
      </c>
      <c r="F154" s="31"/>
      <c r="G154" s="32" t="s">
        <v>67</v>
      </c>
      <c r="H154" s="33" t="s">
        <v>29</v>
      </c>
      <c r="I154" s="31"/>
      <c r="J154" s="31"/>
    </row>
    <row r="155" spans="1:15" x14ac:dyDescent="0.4">
      <c r="A155" s="32" t="s">
        <v>4</v>
      </c>
      <c r="B155" s="30">
        <v>-4.2889999999999997</v>
      </c>
      <c r="C155" s="31"/>
      <c r="D155" s="32" t="s">
        <v>4</v>
      </c>
      <c r="E155" s="30">
        <v>-4.2771999999999997</v>
      </c>
      <c r="F155" s="31"/>
      <c r="G155" s="32" t="s">
        <v>4</v>
      </c>
      <c r="H155" s="30">
        <v>-4.2916999999999996</v>
      </c>
      <c r="I155" s="32" t="s">
        <v>2</v>
      </c>
      <c r="J155" s="35">
        <v>2.9910000000000001</v>
      </c>
    </row>
    <row r="156" spans="1:15" x14ac:dyDescent="0.4">
      <c r="A156" s="32" t="s">
        <v>5</v>
      </c>
      <c r="B156" s="34">
        <v>19.652999999999999</v>
      </c>
      <c r="C156" s="31"/>
      <c r="D156" s="32" t="s">
        <v>5</v>
      </c>
      <c r="E156" s="35">
        <v>19.513999999999999</v>
      </c>
      <c r="F156" s="31"/>
      <c r="G156" s="32" t="s">
        <v>5</v>
      </c>
      <c r="H156" s="1">
        <v>19.383500000000002</v>
      </c>
      <c r="I156" s="32" t="s">
        <v>141</v>
      </c>
      <c r="J156" s="35">
        <v>5.0030000000000001</v>
      </c>
    </row>
    <row r="157" spans="1:15" x14ac:dyDescent="0.4">
      <c r="A157" s="32" t="s">
        <v>0</v>
      </c>
      <c r="B157" s="35">
        <f>65/160.21766</f>
        <v>0.40569809844932203</v>
      </c>
      <c r="C157" s="31"/>
      <c r="D157" s="32" t="s">
        <v>0</v>
      </c>
      <c r="E157" s="35">
        <f>58/160.21766</f>
        <v>0.3620075340009335</v>
      </c>
      <c r="F157" s="31"/>
      <c r="G157" s="32" t="s">
        <v>0</v>
      </c>
      <c r="H157" s="35">
        <f>49/160.21766</f>
        <v>0.3058339511387197</v>
      </c>
      <c r="I157" s="31"/>
      <c r="J157" s="31"/>
      <c r="O157" t="s">
        <v>225</v>
      </c>
    </row>
    <row r="158" spans="1:15" x14ac:dyDescent="0.4">
      <c r="A158" s="36" t="s">
        <v>1</v>
      </c>
      <c r="B158" s="35"/>
      <c r="C158" s="31"/>
      <c r="D158" s="36" t="s">
        <v>1</v>
      </c>
      <c r="E158" s="35"/>
      <c r="F158" s="31"/>
      <c r="G158" s="36" t="s">
        <v>1</v>
      </c>
      <c r="H158" s="35"/>
      <c r="J158" s="31"/>
      <c r="O158" t="s">
        <v>306</v>
      </c>
    </row>
    <row r="160" spans="1:15" x14ac:dyDescent="0.4">
      <c r="A160" s="32" t="s">
        <v>6</v>
      </c>
      <c r="B160" s="33" t="s">
        <v>126</v>
      </c>
      <c r="C160" s="31"/>
      <c r="D160" s="32" t="s">
        <v>69</v>
      </c>
      <c r="E160" s="33" t="s">
        <v>164</v>
      </c>
      <c r="F160" s="31"/>
      <c r="G160" s="32" t="s">
        <v>67</v>
      </c>
      <c r="H160" s="33" t="s">
        <v>164</v>
      </c>
      <c r="I160" s="31"/>
      <c r="J160" s="31"/>
    </row>
    <row r="161" spans="1:15" x14ac:dyDescent="0.4">
      <c r="A161" s="32" t="s">
        <v>4</v>
      </c>
      <c r="B161" s="30">
        <v>-4.1005000000000003</v>
      </c>
      <c r="C161" s="31"/>
      <c r="D161" s="32" t="s">
        <v>4</v>
      </c>
      <c r="E161" s="30">
        <v>-4.2373000000000003</v>
      </c>
      <c r="F161" s="31"/>
      <c r="G161" s="32" t="s">
        <v>4</v>
      </c>
      <c r="H161" s="30">
        <v>-4.1764000000000001</v>
      </c>
      <c r="I161" s="32" t="s">
        <v>2</v>
      </c>
      <c r="J161" s="1">
        <v>2.96</v>
      </c>
    </row>
    <row r="162" spans="1:15" x14ac:dyDescent="0.4">
      <c r="A162" s="32" t="s">
        <v>5</v>
      </c>
      <c r="B162" s="34">
        <v>19.417999999999999</v>
      </c>
      <c r="C162" s="31"/>
      <c r="D162" s="32" t="s">
        <v>5</v>
      </c>
      <c r="E162" s="35">
        <v>19.102326015999996</v>
      </c>
      <c r="F162" s="31"/>
      <c r="G162" s="32" t="s">
        <v>5</v>
      </c>
      <c r="H162" s="1">
        <v>19.562480405271014</v>
      </c>
      <c r="I162" s="32" t="s">
        <v>141</v>
      </c>
      <c r="J162" s="35">
        <v>5.15632</v>
      </c>
    </row>
    <row r="163" spans="1:15" x14ac:dyDescent="0.4">
      <c r="A163" s="32" t="s">
        <v>0</v>
      </c>
      <c r="B163" s="35">
        <v>0.41</v>
      </c>
      <c r="C163" s="31"/>
      <c r="D163" s="32" t="s">
        <v>0</v>
      </c>
      <c r="E163" s="35">
        <v>0.35299999999999998</v>
      </c>
      <c r="F163" s="31"/>
      <c r="G163" s="32" t="s">
        <v>0</v>
      </c>
      <c r="H163" s="35">
        <v>0.35299999999999998</v>
      </c>
      <c r="I163" s="33" t="s">
        <v>140</v>
      </c>
      <c r="J163" s="1">
        <v>1.742</v>
      </c>
    </row>
    <row r="164" spans="1:15" x14ac:dyDescent="0.4">
      <c r="A164" s="36" t="s">
        <v>1</v>
      </c>
      <c r="B164" s="35">
        <v>3.085</v>
      </c>
      <c r="C164" s="31"/>
      <c r="D164" s="36" t="s">
        <v>1</v>
      </c>
      <c r="E164" s="35">
        <v>3.5870000000000002</v>
      </c>
      <c r="F164" s="31"/>
      <c r="G164" s="36" t="s">
        <v>1</v>
      </c>
      <c r="H164" s="35">
        <v>3.5870000000000002</v>
      </c>
      <c r="J164" s="31"/>
      <c r="O164" t="s">
        <v>306</v>
      </c>
    </row>
    <row r="166" spans="1:15" x14ac:dyDescent="0.4">
      <c r="A166" s="32" t="s">
        <v>6</v>
      </c>
      <c r="B166" s="33" t="s">
        <v>165</v>
      </c>
      <c r="C166" s="31"/>
      <c r="D166" s="32" t="s">
        <v>69</v>
      </c>
      <c r="E166" s="33" t="s">
        <v>127</v>
      </c>
      <c r="F166" s="31"/>
      <c r="G166" s="32" t="s">
        <v>67</v>
      </c>
      <c r="H166" s="33" t="s">
        <v>165</v>
      </c>
      <c r="I166" s="31"/>
      <c r="J166" s="31"/>
    </row>
    <row r="167" spans="1:15" x14ac:dyDescent="0.4">
      <c r="A167" s="32" t="s">
        <v>4</v>
      </c>
      <c r="B167" s="30">
        <v>-2.7928999999999999</v>
      </c>
      <c r="C167" s="31"/>
      <c r="D167" s="32" t="s">
        <v>4</v>
      </c>
      <c r="E167" s="30">
        <v>-2.8936000000000002</v>
      </c>
      <c r="F167" s="31"/>
      <c r="G167" s="32" t="s">
        <v>4</v>
      </c>
      <c r="H167" s="30">
        <v>-3.1648000000000001</v>
      </c>
      <c r="I167" s="32" t="s">
        <v>2</v>
      </c>
      <c r="J167" s="35">
        <v>3.6659999999999999</v>
      </c>
    </row>
    <row r="168" spans="1:15" x14ac:dyDescent="0.4">
      <c r="A168" s="32" t="s">
        <v>5</v>
      </c>
      <c r="B168" s="34">
        <v>20.47903540175</v>
      </c>
      <c r="C168" s="31"/>
      <c r="D168" s="32" t="s">
        <v>5</v>
      </c>
      <c r="E168" s="35">
        <v>20.492000000000001</v>
      </c>
      <c r="F168" s="31"/>
      <c r="G168" s="32" t="s">
        <v>5</v>
      </c>
      <c r="H168" s="1">
        <v>22.379661124540391</v>
      </c>
      <c r="I168" s="32" t="s">
        <v>141</v>
      </c>
      <c r="J168" s="35">
        <v>3.8456339999999996</v>
      </c>
    </row>
    <row r="169" spans="1:15" x14ac:dyDescent="0.4">
      <c r="A169" s="32" t="s">
        <v>0</v>
      </c>
      <c r="B169" s="35"/>
      <c r="C169" s="31"/>
      <c r="D169" s="32" t="s">
        <v>0</v>
      </c>
      <c r="E169" s="35">
        <f>74/160.21766</f>
        <v>0.46187168131153583</v>
      </c>
      <c r="F169" s="31"/>
      <c r="G169" s="32" t="s">
        <v>0</v>
      </c>
      <c r="H169" s="35"/>
      <c r="I169" s="33" t="s">
        <v>140</v>
      </c>
      <c r="J169" s="1">
        <v>1.0489999999999999</v>
      </c>
      <c r="O169" t="s">
        <v>226</v>
      </c>
    </row>
    <row r="170" spans="1:15" x14ac:dyDescent="0.4">
      <c r="A170" s="36" t="s">
        <v>1</v>
      </c>
      <c r="B170" s="35"/>
      <c r="C170" s="31"/>
      <c r="D170" s="36" t="s">
        <v>1</v>
      </c>
      <c r="E170" s="35"/>
      <c r="F170" s="31"/>
      <c r="G170" s="36" t="s">
        <v>1</v>
      </c>
      <c r="H170" s="35"/>
      <c r="J170" s="31"/>
      <c r="O170" t="s">
        <v>307</v>
      </c>
    </row>
    <row r="172" spans="1:15" x14ac:dyDescent="0.4">
      <c r="A172" s="32" t="s">
        <v>6</v>
      </c>
      <c r="B172" s="33" t="s">
        <v>129</v>
      </c>
      <c r="C172" s="31"/>
      <c r="D172" s="32" t="s">
        <v>69</v>
      </c>
      <c r="E172" s="33" t="s">
        <v>129</v>
      </c>
      <c r="F172" s="31"/>
      <c r="G172" s="32" t="s">
        <v>67</v>
      </c>
      <c r="H172" s="33" t="s">
        <v>166</v>
      </c>
      <c r="I172" s="31"/>
      <c r="J172" s="31"/>
    </row>
    <row r="173" spans="1:15" x14ac:dyDescent="0.4">
      <c r="A173" s="32" t="s">
        <v>4</v>
      </c>
      <c r="B173" s="30">
        <v>-0.97070000000000001</v>
      </c>
      <c r="C173" s="31"/>
      <c r="D173" s="32" t="s">
        <v>4</v>
      </c>
      <c r="E173" s="30">
        <v>-1.0074000000000001</v>
      </c>
      <c r="F173" s="31"/>
      <c r="G173" s="32" t="s">
        <v>4</v>
      </c>
      <c r="H173" s="30">
        <v>-0.97629999999999995</v>
      </c>
      <c r="I173" s="32" t="s">
        <v>2</v>
      </c>
      <c r="J173" s="1">
        <v>3.3490000000000002</v>
      </c>
    </row>
    <row r="174" spans="1:15" x14ac:dyDescent="0.4">
      <c r="A174" s="32" t="s">
        <v>5</v>
      </c>
      <c r="B174" s="34">
        <v>26.373999999999999</v>
      </c>
      <c r="C174" s="31"/>
      <c r="D174" s="32" t="s">
        <v>5</v>
      </c>
      <c r="E174" s="35">
        <v>26.596</v>
      </c>
      <c r="F174" s="31"/>
      <c r="G174" s="32" t="s">
        <v>5</v>
      </c>
      <c r="H174" s="1">
        <v>26.543991711483166</v>
      </c>
      <c r="I174" s="32" t="s">
        <v>141</v>
      </c>
      <c r="J174" s="35">
        <v>5.4655680000000002</v>
      </c>
    </row>
    <row r="175" spans="1:15" x14ac:dyDescent="0.4">
      <c r="A175" s="32" t="s">
        <v>0</v>
      </c>
      <c r="B175" s="35">
        <f>22/160.21766</f>
        <v>0.13731320255207821</v>
      </c>
      <c r="C175" s="31"/>
      <c r="D175" s="32" t="s">
        <v>0</v>
      </c>
      <c r="E175" s="35">
        <f>21/160.21766</f>
        <v>0.13107169334516558</v>
      </c>
      <c r="F175" s="31"/>
      <c r="G175" s="32" t="s">
        <v>0</v>
      </c>
      <c r="H175" s="35"/>
      <c r="I175" s="33" t="s">
        <v>140</v>
      </c>
      <c r="J175" s="33">
        <v>1.6319999999999999</v>
      </c>
      <c r="O175" t="s">
        <v>227</v>
      </c>
    </row>
    <row r="176" spans="1:15" x14ac:dyDescent="0.4">
      <c r="A176" s="36" t="s">
        <v>1</v>
      </c>
      <c r="B176" s="35"/>
      <c r="C176" s="31"/>
      <c r="D176" s="36" t="s">
        <v>1</v>
      </c>
      <c r="E176" s="35"/>
      <c r="F176" s="31"/>
      <c r="G176" s="36" t="s">
        <v>1</v>
      </c>
      <c r="H176" s="35"/>
      <c r="J176" s="31"/>
      <c r="O176" t="s">
        <v>308</v>
      </c>
    </row>
    <row r="178" spans="1:15" x14ac:dyDescent="0.4">
      <c r="A178" s="32" t="s">
        <v>6</v>
      </c>
      <c r="B178" s="33" t="s">
        <v>30</v>
      </c>
      <c r="C178" s="31"/>
      <c r="D178" s="32" t="s">
        <v>69</v>
      </c>
      <c r="E178" s="33" t="s">
        <v>30</v>
      </c>
      <c r="F178" s="31"/>
      <c r="G178" s="32" t="s">
        <v>67</v>
      </c>
      <c r="H178" s="33" t="s">
        <v>30</v>
      </c>
      <c r="I178" s="31"/>
      <c r="J178" s="31"/>
    </row>
    <row r="179" spans="1:15" x14ac:dyDescent="0.4">
      <c r="A179" s="32" t="s">
        <v>4</v>
      </c>
      <c r="B179" s="30">
        <v>-0.96519999999999995</v>
      </c>
      <c r="C179" s="31"/>
      <c r="D179" s="32" t="s">
        <v>4</v>
      </c>
      <c r="E179" s="30">
        <v>-0.97130000000000005</v>
      </c>
      <c r="F179" s="31"/>
      <c r="G179" s="32" t="s">
        <v>4</v>
      </c>
      <c r="H179" s="30">
        <v>-0.97050000000000003</v>
      </c>
      <c r="I179" s="32" t="s">
        <v>2</v>
      </c>
      <c r="J179" s="35">
        <v>5.0510000000000002</v>
      </c>
    </row>
    <row r="180" spans="1:15" x14ac:dyDescent="0.4">
      <c r="A180" s="32" t="s">
        <v>5</v>
      </c>
      <c r="B180" s="34">
        <v>90.891999999999996</v>
      </c>
      <c r="C180" s="31"/>
      <c r="D180" s="32" t="s">
        <v>5</v>
      </c>
      <c r="E180" s="35">
        <v>89.902000000000001</v>
      </c>
      <c r="F180" s="31"/>
      <c r="G180" s="32" t="s">
        <v>5</v>
      </c>
      <c r="H180" s="1">
        <v>90.495000000000005</v>
      </c>
      <c r="I180" s="32" t="s">
        <v>141</v>
      </c>
      <c r="J180" s="35">
        <v>8.1929999999999996</v>
      </c>
    </row>
    <row r="181" spans="1:15" x14ac:dyDescent="0.4">
      <c r="A181" s="32" t="s">
        <v>0</v>
      </c>
      <c r="B181" s="35">
        <f>3/160.21766</f>
        <v>1.8724527620737938E-2</v>
      </c>
      <c r="C181" s="31"/>
      <c r="D181" s="32" t="s">
        <v>0</v>
      </c>
      <c r="E181" s="35">
        <f>3/160.21766</f>
        <v>1.8724527620737938E-2</v>
      </c>
      <c r="F181" s="31"/>
      <c r="G181" s="32" t="s">
        <v>0</v>
      </c>
      <c r="H181" s="35">
        <v>1.7000000000000001E-2</v>
      </c>
      <c r="I181" s="31"/>
      <c r="J181" s="31"/>
      <c r="O181" t="s">
        <v>228</v>
      </c>
    </row>
    <row r="182" spans="1:15" x14ac:dyDescent="0.4">
      <c r="A182" s="36" t="s">
        <v>1</v>
      </c>
      <c r="B182" s="35"/>
      <c r="C182" s="31"/>
      <c r="D182" s="36" t="s">
        <v>1</v>
      </c>
      <c r="E182" s="35">
        <v>2.661</v>
      </c>
      <c r="F182" s="31"/>
      <c r="G182" s="36" t="s">
        <v>1</v>
      </c>
      <c r="H182" s="35"/>
      <c r="J182" s="31"/>
    </row>
    <row r="184" spans="1:15" x14ac:dyDescent="0.4">
      <c r="A184" s="32" t="s">
        <v>6</v>
      </c>
      <c r="B184" s="33" t="s">
        <v>95</v>
      </c>
      <c r="C184" s="31"/>
      <c r="D184" s="32" t="s">
        <v>69</v>
      </c>
      <c r="E184" s="33" t="s">
        <v>95</v>
      </c>
      <c r="F184" s="31"/>
      <c r="G184" s="32" t="s">
        <v>67</v>
      </c>
      <c r="H184" s="33" t="s">
        <v>95</v>
      </c>
      <c r="I184" s="31"/>
      <c r="J184" s="31"/>
    </row>
    <row r="185" spans="1:15" x14ac:dyDescent="0.4">
      <c r="A185" s="32" t="s">
        <v>4</v>
      </c>
      <c r="B185" s="30">
        <v>-1.6831</v>
      </c>
      <c r="C185" s="31"/>
      <c r="D185" s="32" t="s">
        <v>4</v>
      </c>
      <c r="E185" s="30">
        <v>-1.6763999999999999</v>
      </c>
      <c r="F185" s="31"/>
      <c r="G185" s="32" t="s">
        <v>4</v>
      </c>
      <c r="H185" s="30">
        <v>-1.6839</v>
      </c>
      <c r="I185" s="32" t="s">
        <v>2</v>
      </c>
      <c r="J185" s="35">
        <v>4.2510000000000003</v>
      </c>
    </row>
    <row r="186" spans="1:15" x14ac:dyDescent="0.4">
      <c r="A186" s="32" t="s">
        <v>5</v>
      </c>
      <c r="B186" s="34">
        <v>54.610999999999997</v>
      </c>
      <c r="C186" s="31"/>
      <c r="D186" s="32" t="s">
        <v>5</v>
      </c>
      <c r="E186" s="35">
        <v>53.706000000000003</v>
      </c>
      <c r="F186" s="31"/>
      <c r="G186" s="32" t="s">
        <v>5</v>
      </c>
      <c r="H186" s="1">
        <v>55.220500000000001</v>
      </c>
      <c r="I186" s="32" t="s">
        <v>141</v>
      </c>
      <c r="J186" s="35">
        <v>7.056</v>
      </c>
    </row>
    <row r="187" spans="1:15" x14ac:dyDescent="0.4">
      <c r="A187" s="32" t="s">
        <v>0</v>
      </c>
      <c r="B187" s="35">
        <f>12/160.21766</f>
        <v>7.4898110482951752E-2</v>
      </c>
      <c r="C187" s="31"/>
      <c r="D187" s="32" t="s">
        <v>0</v>
      </c>
      <c r="E187" s="35">
        <f>12/160.21766</f>
        <v>7.4898110482951752E-2</v>
      </c>
      <c r="F187" s="31"/>
      <c r="G187" s="32" t="s">
        <v>0</v>
      </c>
      <c r="H187" s="35">
        <f>11/160.21766</f>
        <v>6.8656601276039106E-2</v>
      </c>
      <c r="I187" s="31"/>
      <c r="J187" s="31"/>
      <c r="O187" t="s">
        <v>229</v>
      </c>
    </row>
    <row r="188" spans="1:15" x14ac:dyDescent="0.4">
      <c r="A188" s="36" t="s">
        <v>1</v>
      </c>
      <c r="B188" s="35">
        <v>2.661</v>
      </c>
      <c r="C188" s="31"/>
      <c r="D188" s="36" t="s">
        <v>1</v>
      </c>
      <c r="E188" s="35"/>
      <c r="F188" s="31"/>
      <c r="G188" s="36" t="s">
        <v>1</v>
      </c>
      <c r="H188" s="35"/>
      <c r="J188" s="31"/>
    </row>
    <row r="190" spans="1:15" x14ac:dyDescent="0.4">
      <c r="A190" s="32" t="s">
        <v>6</v>
      </c>
      <c r="B190" s="33" t="s">
        <v>31</v>
      </c>
      <c r="C190" s="31"/>
      <c r="D190" s="32" t="s">
        <v>69</v>
      </c>
      <c r="E190" s="33" t="s">
        <v>167</v>
      </c>
      <c r="F190" s="31"/>
      <c r="G190" s="32" t="s">
        <v>67</v>
      </c>
      <c r="H190" s="33" t="s">
        <v>31</v>
      </c>
      <c r="I190" s="31"/>
      <c r="J190" s="31"/>
    </row>
    <row r="191" spans="1:15" x14ac:dyDescent="0.4">
      <c r="A191" s="32" t="s">
        <v>4</v>
      </c>
      <c r="B191" s="30">
        <v>-6.4424999999999999</v>
      </c>
      <c r="C191" s="31"/>
      <c r="D191" s="32" t="s">
        <v>4</v>
      </c>
      <c r="E191" s="30">
        <v>-6.2576999999999998</v>
      </c>
      <c r="F191" s="31"/>
      <c r="G191" s="32" t="s">
        <v>4</v>
      </c>
      <c r="H191" s="30">
        <v>-6.4629000000000003</v>
      </c>
      <c r="I191" s="32" t="s">
        <v>2</v>
      </c>
      <c r="J191" s="35">
        <v>3.6589999999999998</v>
      </c>
    </row>
    <row r="192" spans="1:15" x14ac:dyDescent="0.4">
      <c r="A192" s="32" t="s">
        <v>5</v>
      </c>
      <c r="B192" s="34">
        <v>32.439</v>
      </c>
      <c r="C192" s="31"/>
      <c r="D192" s="32" t="s">
        <v>5</v>
      </c>
      <c r="E192" s="35">
        <v>32.7010581945</v>
      </c>
      <c r="F192" s="31"/>
      <c r="G192" s="32" t="s">
        <v>5</v>
      </c>
      <c r="H192" s="1">
        <v>32.847000000000001</v>
      </c>
      <c r="I192" s="32" t="s">
        <v>141</v>
      </c>
      <c r="J192" s="35">
        <v>5.6660000000000004</v>
      </c>
    </row>
    <row r="193" spans="1:15" x14ac:dyDescent="0.4">
      <c r="A193" s="32" t="s">
        <v>0</v>
      </c>
      <c r="B193" s="35">
        <f>39/160.21766</f>
        <v>0.24341885906959321</v>
      </c>
      <c r="C193" s="31"/>
      <c r="D193" s="32" t="s">
        <v>0</v>
      </c>
      <c r="E193" s="35"/>
      <c r="F193" s="31"/>
      <c r="G193" s="32" t="s">
        <v>0</v>
      </c>
      <c r="H193" s="35">
        <f>41/160.21766</f>
        <v>0.25590187748341853</v>
      </c>
      <c r="I193" s="31"/>
      <c r="J193" s="31"/>
      <c r="O193" t="s">
        <v>230</v>
      </c>
    </row>
    <row r="194" spans="1:15" x14ac:dyDescent="0.4">
      <c r="A194" s="36" t="s">
        <v>1</v>
      </c>
      <c r="B194" s="35"/>
      <c r="C194" s="31"/>
      <c r="D194" s="36" t="s">
        <v>1</v>
      </c>
      <c r="E194" s="35"/>
      <c r="F194" s="31"/>
      <c r="G194" s="36" t="s">
        <v>1</v>
      </c>
      <c r="H194" s="35">
        <v>2.0310000000000001</v>
      </c>
      <c r="J194" s="31"/>
    </row>
    <row r="196" spans="1:15" x14ac:dyDescent="0.4">
      <c r="A196" s="32" t="s">
        <v>6</v>
      </c>
      <c r="B196" s="33" t="s">
        <v>32</v>
      </c>
      <c r="C196" s="31"/>
      <c r="D196" s="32" t="s">
        <v>69</v>
      </c>
      <c r="E196" s="33" t="s">
        <v>32</v>
      </c>
      <c r="F196" s="31"/>
      <c r="G196" s="32" t="s">
        <v>67</v>
      </c>
      <c r="H196" s="33" t="s">
        <v>32</v>
      </c>
      <c r="I196" s="31"/>
      <c r="J196" s="31"/>
    </row>
    <row r="197" spans="1:15" x14ac:dyDescent="0.4">
      <c r="A197" s="32" t="s">
        <v>4</v>
      </c>
      <c r="B197" s="30">
        <v>-8.5068999999999999</v>
      </c>
      <c r="C197" s="31"/>
      <c r="D197" s="32" t="s">
        <v>4</v>
      </c>
      <c r="E197" s="30">
        <v>-8.4731000000000005</v>
      </c>
      <c r="F197" s="31"/>
      <c r="G197" s="32" t="s">
        <v>4</v>
      </c>
      <c r="H197" s="38">
        <v>-8.5477000000000007</v>
      </c>
      <c r="I197" s="32" t="s">
        <v>2</v>
      </c>
      <c r="J197" s="35">
        <v>3.2389999999999999</v>
      </c>
    </row>
    <row r="198" spans="1:15" x14ac:dyDescent="0.4">
      <c r="A198" s="32" t="s">
        <v>5</v>
      </c>
      <c r="B198" s="34">
        <v>23.344999999999999</v>
      </c>
      <c r="C198" s="31"/>
      <c r="D198" s="32" t="s">
        <v>5</v>
      </c>
      <c r="E198" s="35">
        <v>23.004000000000001</v>
      </c>
      <c r="F198" s="31"/>
      <c r="G198" s="32" t="s">
        <v>5</v>
      </c>
      <c r="H198" s="1">
        <v>23.499500000000001</v>
      </c>
      <c r="I198" s="32" t="s">
        <v>141</v>
      </c>
      <c r="J198" s="35">
        <v>5.1719999999999997</v>
      </c>
    </row>
    <row r="199" spans="1:15" x14ac:dyDescent="0.4">
      <c r="A199" s="32" t="s">
        <v>0</v>
      </c>
      <c r="B199" s="35">
        <f>90/160.21766</f>
        <v>0.56173582862213822</v>
      </c>
      <c r="C199" s="31"/>
      <c r="D199" s="32" t="s">
        <v>0</v>
      </c>
      <c r="E199" s="35">
        <f>89/160.21766</f>
        <v>0.55549431941522553</v>
      </c>
      <c r="F199" s="31"/>
      <c r="G199" s="32" t="s">
        <v>0</v>
      </c>
      <c r="H199" s="35">
        <f>94/160.21766</f>
        <v>0.58670186544978875</v>
      </c>
      <c r="I199" s="31"/>
      <c r="J199" s="31"/>
      <c r="O199" t="s">
        <v>231</v>
      </c>
    </row>
    <row r="200" spans="1:15" x14ac:dyDescent="0.4">
      <c r="A200" s="36" t="s">
        <v>1</v>
      </c>
      <c r="B200" s="35"/>
      <c r="C200" s="31"/>
      <c r="D200" s="36" t="s">
        <v>1</v>
      </c>
      <c r="E200" s="35"/>
      <c r="F200" s="31"/>
      <c r="G200" s="36" t="s">
        <v>1</v>
      </c>
      <c r="H200" s="35">
        <v>2.2959999999999998</v>
      </c>
      <c r="J200" s="31"/>
    </row>
    <row r="202" spans="1:15" x14ac:dyDescent="0.4">
      <c r="A202" s="32" t="s">
        <v>6</v>
      </c>
      <c r="B202" s="33" t="s">
        <v>33</v>
      </c>
      <c r="C202" s="31"/>
      <c r="D202" s="32" t="s">
        <v>69</v>
      </c>
      <c r="E202" s="33" t="s">
        <v>33</v>
      </c>
      <c r="F202" s="31"/>
      <c r="G202" s="32" t="s">
        <v>67</v>
      </c>
      <c r="H202" s="33" t="s">
        <v>168</v>
      </c>
      <c r="I202" s="31"/>
      <c r="J202" s="31"/>
    </row>
    <row r="203" spans="1:15" x14ac:dyDescent="0.4">
      <c r="A203" s="32" t="s">
        <v>4</v>
      </c>
      <c r="B203" s="30">
        <v>-9.7811000000000003</v>
      </c>
      <c r="C203" s="31"/>
      <c r="D203" s="32" t="s">
        <v>4</v>
      </c>
      <c r="E203" s="30">
        <v>-10.1013</v>
      </c>
      <c r="F203" s="31"/>
      <c r="G203" s="32" t="s">
        <v>4</v>
      </c>
      <c r="H203" s="38">
        <v>-9.7551000000000005</v>
      </c>
      <c r="I203" s="32" t="s">
        <v>2</v>
      </c>
      <c r="J203" s="35">
        <v>2.88</v>
      </c>
    </row>
    <row r="204" spans="1:15" x14ac:dyDescent="0.4">
      <c r="A204" s="32" t="s">
        <v>5</v>
      </c>
      <c r="B204" s="34">
        <v>18.936</v>
      </c>
      <c r="C204" s="31"/>
      <c r="D204" s="32" t="s">
        <v>5</v>
      </c>
      <c r="E204" s="35">
        <v>18.306000000000001</v>
      </c>
      <c r="F204" s="31"/>
      <c r="G204" s="32" t="s">
        <v>5</v>
      </c>
      <c r="H204" s="1">
        <v>18.835972386856568</v>
      </c>
      <c r="I204" s="32" t="s">
        <v>141</v>
      </c>
      <c r="J204" s="35">
        <v>5.2444799999999994</v>
      </c>
    </row>
    <row r="205" spans="1:15" x14ac:dyDescent="0.4">
      <c r="A205" s="32" t="s">
        <v>0</v>
      </c>
      <c r="B205" s="35">
        <f>167/160.21766</f>
        <v>1.0423320375544118</v>
      </c>
      <c r="C205" s="31"/>
      <c r="D205" s="32" t="s">
        <v>0</v>
      </c>
      <c r="E205" s="35">
        <f>174/160.21766</f>
        <v>1.0860226020028005</v>
      </c>
      <c r="F205" s="31"/>
      <c r="G205" s="32" t="s">
        <v>0</v>
      </c>
      <c r="H205" s="35"/>
      <c r="I205" s="33" t="s">
        <v>140</v>
      </c>
      <c r="J205" s="1">
        <v>1.821</v>
      </c>
      <c r="O205" t="s">
        <v>232</v>
      </c>
    </row>
    <row r="206" spans="1:15" x14ac:dyDescent="0.4">
      <c r="A206" s="36" t="s">
        <v>1</v>
      </c>
      <c r="B206" s="35"/>
      <c r="C206" s="31"/>
      <c r="D206" s="36" t="s">
        <v>1</v>
      </c>
      <c r="E206" s="35">
        <v>2.7519999999999998</v>
      </c>
      <c r="F206" s="31"/>
      <c r="G206" s="36" t="s">
        <v>1</v>
      </c>
      <c r="H206" s="35"/>
      <c r="J206" s="31"/>
    </row>
    <row r="208" spans="1:15" x14ac:dyDescent="0.4">
      <c r="A208" s="32" t="s">
        <v>6</v>
      </c>
      <c r="B208" s="33" t="s">
        <v>34</v>
      </c>
      <c r="C208" s="31"/>
      <c r="D208" s="32" t="s">
        <v>69</v>
      </c>
      <c r="E208" s="33" t="s">
        <v>34</v>
      </c>
      <c r="F208" s="31"/>
      <c r="G208" s="32" t="s">
        <v>67</v>
      </c>
      <c r="H208" s="33" t="s">
        <v>169</v>
      </c>
      <c r="I208" s="31"/>
      <c r="J208" s="31"/>
    </row>
    <row r="209" spans="1:15" x14ac:dyDescent="0.4">
      <c r="A209" s="32" t="s">
        <v>4</v>
      </c>
      <c r="B209" s="30">
        <v>-10.4193</v>
      </c>
      <c r="C209" s="31"/>
      <c r="D209" s="32" t="s">
        <v>4</v>
      </c>
      <c r="E209" s="30">
        <v>-10.845599999999999</v>
      </c>
      <c r="F209" s="31"/>
      <c r="G209" s="32" t="s">
        <v>4</v>
      </c>
      <c r="H209" s="38">
        <v>-10.3666</v>
      </c>
      <c r="I209" s="32" t="s">
        <v>2</v>
      </c>
      <c r="J209" s="35">
        <v>2.7669999999999999</v>
      </c>
    </row>
    <row r="210" spans="1:15" x14ac:dyDescent="0.4">
      <c r="A210" s="32" t="s">
        <v>5</v>
      </c>
      <c r="B210" s="34">
        <v>16.143999999999998</v>
      </c>
      <c r="C210" s="31"/>
      <c r="D210" s="32" t="s">
        <v>5</v>
      </c>
      <c r="E210" s="35">
        <v>15.891999999999999</v>
      </c>
      <c r="F210" s="31"/>
      <c r="G210" s="32" t="s">
        <v>5</v>
      </c>
      <c r="H210" s="1">
        <v>16.218488385203393</v>
      </c>
      <c r="I210" s="32" t="s">
        <v>141</v>
      </c>
      <c r="J210" s="35">
        <v>4.8920560000000002</v>
      </c>
    </row>
    <row r="211" spans="1:15" x14ac:dyDescent="0.4">
      <c r="A211" s="32" t="s">
        <v>0</v>
      </c>
      <c r="B211" s="35">
        <f>243/160.21766</f>
        <v>1.516686737279773</v>
      </c>
      <c r="C211" s="31"/>
      <c r="D211" s="32" t="s">
        <v>0</v>
      </c>
      <c r="E211" s="35">
        <f>262/160.21766</f>
        <v>1.6352754122111133</v>
      </c>
      <c r="F211" s="31"/>
      <c r="G211" s="32" t="s">
        <v>0</v>
      </c>
      <c r="H211" s="35"/>
      <c r="I211" s="33" t="s">
        <v>140</v>
      </c>
      <c r="J211" s="33">
        <v>1.768</v>
      </c>
      <c r="O211" t="s">
        <v>233</v>
      </c>
    </row>
    <row r="212" spans="1:15" x14ac:dyDescent="0.4">
      <c r="A212" s="36" t="s">
        <v>1</v>
      </c>
      <c r="B212" s="35"/>
      <c r="C212" s="31"/>
      <c r="D212" s="36" t="s">
        <v>1</v>
      </c>
      <c r="E212" s="35">
        <v>3.2</v>
      </c>
      <c r="F212" s="31"/>
      <c r="G212" s="36" t="s">
        <v>1</v>
      </c>
      <c r="H212" s="35"/>
      <c r="J212" s="31"/>
    </row>
    <row r="214" spans="1:15" x14ac:dyDescent="0.4">
      <c r="A214" s="32" t="s">
        <v>6</v>
      </c>
      <c r="B214" s="33" t="s">
        <v>97</v>
      </c>
      <c r="C214" s="31"/>
      <c r="D214" s="32" t="s">
        <v>69</v>
      </c>
      <c r="E214" s="33" t="s">
        <v>170</v>
      </c>
      <c r="F214" s="31"/>
      <c r="G214" s="32" t="s">
        <v>67</v>
      </c>
      <c r="H214" s="33" t="s">
        <v>97</v>
      </c>
      <c r="I214" s="31"/>
      <c r="J214" s="31"/>
    </row>
    <row r="215" spans="1:15" x14ac:dyDescent="0.4">
      <c r="A215" s="32" t="s">
        <v>4</v>
      </c>
      <c r="B215" s="30">
        <v>-10.293799999999999</v>
      </c>
      <c r="C215" s="31"/>
      <c r="D215" s="32" t="s">
        <v>4</v>
      </c>
      <c r="E215" s="30">
        <v>-10.7799</v>
      </c>
      <c r="F215" s="31"/>
      <c r="G215" s="32" t="s">
        <v>4</v>
      </c>
      <c r="H215" s="38">
        <v>-10.3606</v>
      </c>
      <c r="I215" s="32" t="s">
        <v>2</v>
      </c>
      <c r="J215" s="35">
        <v>2.7610000000000001</v>
      </c>
    </row>
    <row r="216" spans="1:15" x14ac:dyDescent="0.4">
      <c r="A216" s="32" t="s">
        <v>5</v>
      </c>
      <c r="B216" s="34">
        <v>14.66</v>
      </c>
      <c r="C216" s="31"/>
      <c r="D216" s="32" t="s">
        <v>5</v>
      </c>
      <c r="E216" s="35">
        <v>16.048397875999999</v>
      </c>
      <c r="F216" s="31"/>
      <c r="G216" s="32" t="s">
        <v>5</v>
      </c>
      <c r="H216" s="1">
        <v>14.5915</v>
      </c>
      <c r="I216" s="32" t="s">
        <v>141</v>
      </c>
      <c r="J216" s="35">
        <v>4.4210000000000003</v>
      </c>
    </row>
    <row r="217" spans="1:15" x14ac:dyDescent="0.4">
      <c r="A217" s="32" t="s">
        <v>0</v>
      </c>
      <c r="B217" s="35">
        <f>376/160.21766</f>
        <v>2.346807461799155</v>
      </c>
      <c r="C217" s="31"/>
      <c r="D217" s="32" t="s">
        <v>0</v>
      </c>
      <c r="E217" s="35"/>
      <c r="F217" s="31"/>
      <c r="G217" s="32" t="s">
        <v>0</v>
      </c>
      <c r="H217" s="35">
        <f>300/160.21766</f>
        <v>1.8724527620737939</v>
      </c>
      <c r="I217" s="31"/>
      <c r="J217" s="31"/>
      <c r="O217" t="s">
        <v>234</v>
      </c>
    </row>
    <row r="218" spans="1:15" x14ac:dyDescent="0.4">
      <c r="A218" s="36" t="s">
        <v>1</v>
      </c>
      <c r="B218" s="35"/>
      <c r="C218" s="31"/>
      <c r="D218" s="36" t="s">
        <v>1</v>
      </c>
      <c r="E218" s="35"/>
      <c r="F218" s="31"/>
      <c r="G218" s="36" t="s">
        <v>1</v>
      </c>
      <c r="H218" s="35">
        <v>3.39</v>
      </c>
      <c r="J218" s="31"/>
    </row>
    <row r="220" spans="1:15" x14ac:dyDescent="0.4">
      <c r="A220" s="32" t="s">
        <v>6</v>
      </c>
      <c r="B220" s="33" t="s">
        <v>35</v>
      </c>
      <c r="C220" s="31"/>
      <c r="D220" s="32" t="s">
        <v>69</v>
      </c>
      <c r="E220" s="33" t="s">
        <v>171</v>
      </c>
      <c r="F220" s="31"/>
      <c r="G220" s="32" t="s">
        <v>67</v>
      </c>
      <c r="H220" s="33" t="s">
        <v>35</v>
      </c>
      <c r="I220" s="31"/>
      <c r="J220" s="31"/>
    </row>
    <row r="221" spans="1:15" x14ac:dyDescent="0.4">
      <c r="A221" s="32" t="s">
        <v>4</v>
      </c>
      <c r="B221" s="30">
        <v>-9.1651000000000007</v>
      </c>
      <c r="C221" s="31"/>
      <c r="D221" s="32" t="s">
        <v>4</v>
      </c>
      <c r="E221" s="30">
        <v>-8.4677000000000007</v>
      </c>
      <c r="F221" s="31"/>
      <c r="G221" s="32" t="s">
        <v>4</v>
      </c>
      <c r="H221" s="38">
        <v>-9.2744</v>
      </c>
      <c r="I221" s="32" t="s">
        <v>2</v>
      </c>
      <c r="J221" s="35">
        <v>2.7330000000000001</v>
      </c>
    </row>
    <row r="222" spans="1:15" x14ac:dyDescent="0.4">
      <c r="A222" s="32" t="s">
        <v>5</v>
      </c>
      <c r="B222" s="34">
        <v>13.996</v>
      </c>
      <c r="C222" s="31"/>
      <c r="D222" s="32" t="s">
        <v>5</v>
      </c>
      <c r="E222" s="35">
        <v>14.438965216000001</v>
      </c>
      <c r="F222" s="31"/>
      <c r="G222" s="32" t="s">
        <v>5</v>
      </c>
      <c r="H222" s="1">
        <v>13.952</v>
      </c>
      <c r="I222" s="32" t="s">
        <v>141</v>
      </c>
      <c r="J222" s="35">
        <v>4.3140000000000001</v>
      </c>
    </row>
    <row r="223" spans="1:15" x14ac:dyDescent="0.4">
      <c r="A223" s="32" t="s">
        <v>0</v>
      </c>
      <c r="B223" s="35">
        <f>309/160.21766</f>
        <v>1.9286263449360077</v>
      </c>
      <c r="C223" s="31"/>
      <c r="D223" s="32" t="s">
        <v>0</v>
      </c>
      <c r="E223" s="35"/>
      <c r="F223" s="31"/>
      <c r="G223" s="32" t="s">
        <v>0</v>
      </c>
      <c r="H223" s="35">
        <f>308/160.21766</f>
        <v>1.9223848357290951</v>
      </c>
      <c r="I223" s="31"/>
      <c r="J223" s="31"/>
      <c r="O223" t="s">
        <v>235</v>
      </c>
    </row>
    <row r="224" spans="1:15" x14ac:dyDescent="0.4">
      <c r="A224" s="36" t="s">
        <v>1</v>
      </c>
      <c r="B224" s="35"/>
      <c r="C224" s="31"/>
      <c r="D224" s="36" t="s">
        <v>1</v>
      </c>
      <c r="E224" s="35"/>
      <c r="F224" s="31"/>
      <c r="G224" s="36" t="s">
        <v>1</v>
      </c>
      <c r="H224" s="35">
        <v>3.7130000000000001</v>
      </c>
      <c r="J224" s="31"/>
    </row>
    <row r="226" spans="1:15" x14ac:dyDescent="0.4">
      <c r="A226" s="32" t="s">
        <v>6</v>
      </c>
      <c r="B226" s="33" t="s">
        <v>58</v>
      </c>
      <c r="C226" s="31"/>
      <c r="D226" s="32" t="s">
        <v>69</v>
      </c>
      <c r="E226" s="33" t="s">
        <v>172</v>
      </c>
      <c r="F226" s="31"/>
      <c r="G226" s="32" t="s">
        <v>67</v>
      </c>
      <c r="H226" s="33" t="s">
        <v>172</v>
      </c>
      <c r="I226" s="31"/>
      <c r="J226" s="31"/>
    </row>
    <row r="227" spans="1:15" x14ac:dyDescent="0.4">
      <c r="A227" s="32" t="s">
        <v>4</v>
      </c>
      <c r="B227" s="30">
        <v>-7.3384999999999998</v>
      </c>
      <c r="C227" s="31"/>
      <c r="D227" s="32" t="s">
        <v>4</v>
      </c>
      <c r="E227" s="30">
        <v>-8.4677000000000007</v>
      </c>
      <c r="F227" s="31"/>
      <c r="G227" s="32" t="s">
        <v>4</v>
      </c>
      <c r="H227" s="30">
        <v>-7.1052</v>
      </c>
      <c r="I227" s="32" t="s">
        <v>2</v>
      </c>
      <c r="J227" s="35">
        <v>2.7410000000000001</v>
      </c>
    </row>
    <row r="228" spans="1:15" x14ac:dyDescent="0.4">
      <c r="A228" s="32" t="s">
        <v>5</v>
      </c>
      <c r="B228" s="34">
        <v>14.199</v>
      </c>
      <c r="C228" s="31"/>
      <c r="D228" s="32" t="s">
        <v>5</v>
      </c>
      <c r="E228" s="35">
        <v>14.637533683999997</v>
      </c>
      <c r="F228" s="31"/>
      <c r="G228" s="32" t="s">
        <v>5</v>
      </c>
      <c r="H228" s="1">
        <v>14.374501089454286</v>
      </c>
      <c r="I228" s="32" t="s">
        <v>141</v>
      </c>
      <c r="J228" s="35">
        <v>4.4184920000000005</v>
      </c>
    </row>
    <row r="229" spans="1:15" x14ac:dyDescent="0.4">
      <c r="A229" s="32" t="s">
        <v>0</v>
      </c>
      <c r="B229" s="35">
        <f>253/160.21766</f>
        <v>1.5791018293488996</v>
      </c>
      <c r="C229" s="31"/>
      <c r="D229" s="32" t="s">
        <v>0</v>
      </c>
      <c r="E229" s="35"/>
      <c r="F229" s="31"/>
      <c r="G229" s="32" t="s">
        <v>0</v>
      </c>
      <c r="H229" s="35"/>
      <c r="I229" s="33" t="s">
        <v>140</v>
      </c>
      <c r="J229" s="1">
        <v>1.6120000000000001</v>
      </c>
      <c r="O229" t="s">
        <v>236</v>
      </c>
    </row>
    <row r="230" spans="1:15" x14ac:dyDescent="0.4">
      <c r="A230" s="36" t="s">
        <v>1</v>
      </c>
      <c r="B230" s="35">
        <v>3.9740000000000002</v>
      </c>
      <c r="C230" s="31"/>
      <c r="D230" s="36" t="s">
        <v>1</v>
      </c>
      <c r="E230" s="35"/>
      <c r="F230" s="31"/>
      <c r="G230" s="36" t="s">
        <v>1</v>
      </c>
      <c r="H230" s="35"/>
      <c r="J230" s="31"/>
    </row>
    <row r="232" spans="1:15" x14ac:dyDescent="0.4">
      <c r="A232" s="32" t="s">
        <v>6</v>
      </c>
      <c r="B232" s="33" t="s">
        <v>36</v>
      </c>
      <c r="C232" s="31"/>
      <c r="D232" s="32" t="s">
        <v>69</v>
      </c>
      <c r="E232" s="33" t="s">
        <v>173</v>
      </c>
      <c r="F232" s="31"/>
      <c r="G232" s="32" t="s">
        <v>67</v>
      </c>
      <c r="H232" s="33" t="s">
        <v>173</v>
      </c>
      <c r="I232" s="31"/>
      <c r="J232" s="31"/>
    </row>
    <row r="233" spans="1:15" x14ac:dyDescent="0.4">
      <c r="A233" s="32" t="s">
        <v>4</v>
      </c>
      <c r="B233" s="30">
        <v>-5.1764999999999999</v>
      </c>
      <c r="C233" s="31"/>
      <c r="D233" s="32" t="s">
        <v>4</v>
      </c>
      <c r="E233" s="30">
        <v>-5.1001000000000003</v>
      </c>
      <c r="F233" s="31"/>
      <c r="G233" s="32" t="s">
        <v>4</v>
      </c>
      <c r="H233" s="30">
        <v>-5.1130000000000004</v>
      </c>
      <c r="I233" s="32" t="s">
        <v>2</v>
      </c>
      <c r="J233" s="35">
        <v>2.7850000000000001</v>
      </c>
    </row>
    <row r="234" spans="1:15" x14ac:dyDescent="0.4">
      <c r="A234" s="32" t="s">
        <v>5</v>
      </c>
      <c r="B234" s="34">
        <v>15.49</v>
      </c>
      <c r="C234" s="31"/>
      <c r="D234" s="32" t="s">
        <v>5</v>
      </c>
      <c r="E234" s="35">
        <v>15.553636812500001</v>
      </c>
      <c r="F234" s="31"/>
      <c r="G234" s="32" t="s">
        <v>5</v>
      </c>
      <c r="H234" s="1">
        <v>15.629773499992849</v>
      </c>
      <c r="I234" s="32" t="s">
        <v>141</v>
      </c>
      <c r="J234" s="35">
        <v>4.6537350000000002</v>
      </c>
    </row>
    <row r="235" spans="1:15" x14ac:dyDescent="0.4">
      <c r="A235" s="32" t="s">
        <v>0</v>
      </c>
      <c r="B235" s="35">
        <f>160/160.21766</f>
        <v>0.99864147310602347</v>
      </c>
      <c r="C235" s="31"/>
      <c r="D235" s="32" t="s">
        <v>0</v>
      </c>
      <c r="E235" s="35"/>
      <c r="F235" s="31"/>
      <c r="G235" s="32" t="s">
        <v>0</v>
      </c>
      <c r="H235" s="35"/>
      <c r="I235" s="33" t="s">
        <v>140</v>
      </c>
      <c r="J235" s="33">
        <v>1.671</v>
      </c>
      <c r="O235" t="s">
        <v>237</v>
      </c>
    </row>
    <row r="236" spans="1:15" x14ac:dyDescent="0.4">
      <c r="A236" s="36" t="s">
        <v>1</v>
      </c>
      <c r="B236" s="35">
        <v>4.2569999999999997</v>
      </c>
      <c r="C236" s="31"/>
      <c r="D236" s="36" t="s">
        <v>1</v>
      </c>
      <c r="E236" s="35"/>
      <c r="F236" s="31"/>
      <c r="G236" s="36" t="s">
        <v>1</v>
      </c>
      <c r="H236" s="35"/>
      <c r="J236" s="31"/>
    </row>
    <row r="238" spans="1:15" x14ac:dyDescent="0.4">
      <c r="A238" s="32" t="s">
        <v>6</v>
      </c>
      <c r="B238" s="33" t="s">
        <v>11</v>
      </c>
      <c r="C238" s="31"/>
      <c r="D238" s="32" t="s">
        <v>69</v>
      </c>
      <c r="E238" s="33" t="s">
        <v>174</v>
      </c>
      <c r="F238" s="31"/>
      <c r="G238" s="32" t="s">
        <v>67</v>
      </c>
      <c r="H238" s="33" t="s">
        <v>11</v>
      </c>
      <c r="I238" s="31"/>
      <c r="J238" s="31"/>
    </row>
    <row r="239" spans="1:15" x14ac:dyDescent="0.4">
      <c r="A239" s="32" t="s">
        <v>4</v>
      </c>
      <c r="B239" s="30">
        <v>-2.8289</v>
      </c>
      <c r="C239" s="31"/>
      <c r="D239" s="32" t="s">
        <v>4</v>
      </c>
      <c r="E239" s="30">
        <v>-2.7031999999999998</v>
      </c>
      <c r="F239" s="31"/>
      <c r="G239" s="32" t="s">
        <v>4</v>
      </c>
      <c r="H239" s="38">
        <v>-2.8250000000000002</v>
      </c>
      <c r="I239" s="32" t="s">
        <v>2</v>
      </c>
      <c r="J239" s="35">
        <v>2.9529999999999998</v>
      </c>
    </row>
    <row r="240" spans="1:15" x14ac:dyDescent="0.4">
      <c r="A240" s="32" t="s">
        <v>5</v>
      </c>
      <c r="B240" s="34">
        <v>18.004999999999999</v>
      </c>
      <c r="C240" s="31"/>
      <c r="D240" s="32" t="s">
        <v>5</v>
      </c>
      <c r="E240" s="35">
        <v>18.066688308</v>
      </c>
      <c r="F240" s="31"/>
      <c r="G240" s="32" t="s">
        <v>5</v>
      </c>
      <c r="H240" s="1">
        <v>18.114000000000001</v>
      </c>
      <c r="I240" s="32" t="s">
        <v>141</v>
      </c>
      <c r="J240" s="35">
        <v>4.798</v>
      </c>
    </row>
    <row r="241" spans="1:15" x14ac:dyDescent="0.4">
      <c r="A241" s="32" t="s">
        <v>0</v>
      </c>
      <c r="B241" s="35">
        <f>88/160.21766</f>
        <v>0.54925281020831285</v>
      </c>
      <c r="C241" s="31"/>
      <c r="D241" s="32" t="s">
        <v>0</v>
      </c>
      <c r="E241" s="35"/>
      <c r="F241" s="31"/>
      <c r="G241" s="32" t="s">
        <v>0</v>
      </c>
      <c r="H241" s="35">
        <f>88/160.21766</f>
        <v>0.54925281020831285</v>
      </c>
      <c r="I241" s="31"/>
      <c r="J241" s="31"/>
      <c r="O241" t="s">
        <v>238</v>
      </c>
    </row>
    <row r="242" spans="1:15" x14ac:dyDescent="0.4">
      <c r="A242" s="36" t="s">
        <v>1</v>
      </c>
      <c r="B242" s="35">
        <v>4.4649999999999999</v>
      </c>
      <c r="C242" s="31"/>
      <c r="D242" s="36" t="s">
        <v>1</v>
      </c>
      <c r="E242" s="35"/>
      <c r="F242" s="31"/>
      <c r="G242" s="36" t="s">
        <v>1</v>
      </c>
      <c r="H242" s="35"/>
      <c r="J242" s="31"/>
    </row>
    <row r="244" spans="1:15" x14ac:dyDescent="0.4">
      <c r="A244" s="32" t="s">
        <v>6</v>
      </c>
      <c r="B244" s="33" t="s">
        <v>37</v>
      </c>
      <c r="C244" s="31"/>
      <c r="D244" s="32" t="s">
        <v>69</v>
      </c>
      <c r="E244" s="33" t="s">
        <v>175</v>
      </c>
      <c r="F244" s="31"/>
      <c r="G244" s="32" t="s">
        <v>67</v>
      </c>
      <c r="H244" s="33" t="s">
        <v>37</v>
      </c>
      <c r="I244" s="31"/>
      <c r="J244" s="31"/>
    </row>
    <row r="245" spans="1:15" x14ac:dyDescent="0.4">
      <c r="A245" s="32" t="s">
        <v>4</v>
      </c>
      <c r="B245" s="30">
        <v>-0.90480000000000005</v>
      </c>
      <c r="C245" s="31"/>
      <c r="D245" s="32" t="s">
        <v>4</v>
      </c>
      <c r="E245" s="30">
        <v>-0.70599999999999996</v>
      </c>
      <c r="F245" s="31"/>
      <c r="G245" s="32" t="s">
        <v>4</v>
      </c>
      <c r="H245" s="38">
        <v>-0.90620000000000001</v>
      </c>
      <c r="I245" s="32" t="s">
        <v>2</v>
      </c>
      <c r="J245" s="35">
        <v>3.008</v>
      </c>
    </row>
    <row r="246" spans="1:15" x14ac:dyDescent="0.4">
      <c r="A246" s="32" t="s">
        <v>5</v>
      </c>
      <c r="B246" s="34">
        <v>23.254999999999999</v>
      </c>
      <c r="C246" s="31"/>
      <c r="D246" s="32" t="s">
        <v>5</v>
      </c>
      <c r="E246" s="35">
        <v>23.777982683500007</v>
      </c>
      <c r="F246" s="31"/>
      <c r="G246" s="32" t="s">
        <v>5</v>
      </c>
      <c r="H246" s="1">
        <v>23.277999999999999</v>
      </c>
      <c r="I246" s="32" t="s">
        <v>141</v>
      </c>
      <c r="J246" s="35">
        <v>5.9420000000000002</v>
      </c>
    </row>
    <row r="247" spans="1:15" x14ac:dyDescent="0.4">
      <c r="A247" s="32" t="s">
        <v>0</v>
      </c>
      <c r="B247" s="35"/>
      <c r="C247" s="31"/>
      <c r="D247" s="32" t="s">
        <v>0</v>
      </c>
      <c r="E247" s="35"/>
      <c r="F247" s="31"/>
      <c r="G247" s="32" t="s">
        <v>0</v>
      </c>
      <c r="H247" s="35">
        <f>45/160.21766</f>
        <v>0.28086791431106911</v>
      </c>
      <c r="I247" s="31"/>
      <c r="J247" s="31"/>
      <c r="O247" t="s">
        <v>239</v>
      </c>
    </row>
    <row r="248" spans="1:15" x14ac:dyDescent="0.4">
      <c r="A248" s="36" t="s">
        <v>1</v>
      </c>
      <c r="B248" s="35"/>
      <c r="C248" s="31"/>
      <c r="D248" s="36" t="s">
        <v>1</v>
      </c>
      <c r="E248" s="35"/>
      <c r="F248" s="31"/>
      <c r="G248" s="36" t="s">
        <v>1</v>
      </c>
      <c r="H248" s="35">
        <v>4.83</v>
      </c>
      <c r="J248" s="31"/>
    </row>
    <row r="250" spans="1:15" x14ac:dyDescent="0.4">
      <c r="A250" s="32" t="s">
        <v>6</v>
      </c>
      <c r="B250" s="33" t="s">
        <v>38</v>
      </c>
      <c r="C250" s="31"/>
      <c r="D250" s="32" t="s">
        <v>69</v>
      </c>
      <c r="E250" s="33" t="s">
        <v>38</v>
      </c>
      <c r="F250" s="31"/>
      <c r="G250" s="32" t="s">
        <v>67</v>
      </c>
      <c r="H250" s="33" t="s">
        <v>38</v>
      </c>
      <c r="I250" s="31"/>
      <c r="J250" s="31"/>
    </row>
    <row r="251" spans="1:15" x14ac:dyDescent="0.4">
      <c r="A251" s="32" t="s">
        <v>4</v>
      </c>
      <c r="B251" s="30">
        <v>-2.7149000000000001</v>
      </c>
      <c r="C251" s="31"/>
      <c r="D251" s="32" t="s">
        <v>4</v>
      </c>
      <c r="E251" s="30">
        <v>-2.7168000000000001</v>
      </c>
      <c r="F251" s="31"/>
      <c r="G251" s="32" t="s">
        <v>4</v>
      </c>
      <c r="H251" s="38">
        <v>-2.7040000000000002</v>
      </c>
      <c r="I251" s="32" t="s">
        <v>2</v>
      </c>
      <c r="J251" s="35">
        <v>3.423</v>
      </c>
    </row>
    <row r="252" spans="1:15" x14ac:dyDescent="0.4">
      <c r="A252" s="32" t="s">
        <v>5</v>
      </c>
      <c r="B252" s="34">
        <v>27.58</v>
      </c>
      <c r="C252" s="31"/>
      <c r="D252" s="32" t="s">
        <v>5</v>
      </c>
      <c r="E252" s="35">
        <v>28.093</v>
      </c>
      <c r="F252" s="31"/>
      <c r="G252" s="32" t="s">
        <v>5</v>
      </c>
      <c r="H252" s="1">
        <v>28.282499999999999</v>
      </c>
      <c r="I252" s="32" t="s">
        <v>141</v>
      </c>
      <c r="J252" s="35">
        <v>5.5759999999999996</v>
      </c>
    </row>
    <row r="253" spans="1:15" x14ac:dyDescent="0.4">
      <c r="A253" s="32" t="s">
        <v>0</v>
      </c>
      <c r="B253" s="35">
        <f>34/160.21766</f>
        <v>0.21221131303502999</v>
      </c>
      <c r="C253" s="31"/>
      <c r="D253" s="32" t="s">
        <v>0</v>
      </c>
      <c r="E253" s="35"/>
      <c r="F253" s="31"/>
      <c r="G253" s="32" t="s">
        <v>0</v>
      </c>
      <c r="H253" s="35">
        <f>117/160.21766</f>
        <v>0.73025657720877968</v>
      </c>
      <c r="I253" s="31"/>
      <c r="J253" s="31"/>
      <c r="O253" t="s">
        <v>309</v>
      </c>
    </row>
    <row r="254" spans="1:15" x14ac:dyDescent="0.4">
      <c r="A254" s="36" t="s">
        <v>1</v>
      </c>
      <c r="B254" s="35">
        <v>3.8929999999999998</v>
      </c>
      <c r="C254" s="31"/>
      <c r="D254" s="36" t="s">
        <v>1</v>
      </c>
      <c r="E254" s="35"/>
      <c r="F254" s="31"/>
      <c r="G254" s="36" t="s">
        <v>1</v>
      </c>
      <c r="H254" s="35"/>
      <c r="J254" s="31"/>
    </row>
    <row r="256" spans="1:15" x14ac:dyDescent="0.4">
      <c r="A256" s="32" t="s">
        <v>6</v>
      </c>
      <c r="B256" s="33" t="s">
        <v>98</v>
      </c>
      <c r="C256" s="31"/>
      <c r="D256" s="32" t="s">
        <v>69</v>
      </c>
      <c r="E256" s="33" t="s">
        <v>98</v>
      </c>
      <c r="F256" s="31"/>
      <c r="G256" s="32" t="s">
        <v>67</v>
      </c>
      <c r="H256" s="33" t="s">
        <v>176</v>
      </c>
      <c r="I256" s="31"/>
      <c r="J256" s="31"/>
    </row>
    <row r="257" spans="1:15" x14ac:dyDescent="0.4">
      <c r="A257" s="32" t="s">
        <v>4</v>
      </c>
      <c r="B257" s="30">
        <v>-3.9552999999999998</v>
      </c>
      <c r="C257" s="31"/>
      <c r="D257" s="32" t="s">
        <v>4</v>
      </c>
      <c r="E257" s="30">
        <v>-3.9352999999999998</v>
      </c>
      <c r="F257" s="31"/>
      <c r="G257" s="32" t="s">
        <v>4</v>
      </c>
      <c r="H257" s="38">
        <v>-3.7564000000000002</v>
      </c>
      <c r="I257" s="32" t="s">
        <v>2</v>
      </c>
      <c r="J257" s="1">
        <v>3.4</v>
      </c>
    </row>
    <row r="258" spans="1:15" x14ac:dyDescent="0.4">
      <c r="A258" s="32" t="s">
        <v>5</v>
      </c>
      <c r="B258" s="34">
        <v>27.879000000000001</v>
      </c>
      <c r="C258" s="31"/>
      <c r="D258" s="32" t="s">
        <v>5</v>
      </c>
      <c r="E258" s="35">
        <v>27.64</v>
      </c>
      <c r="F258" s="31"/>
      <c r="G258" s="32" t="s">
        <v>5</v>
      </c>
      <c r="H258" s="1">
        <v>27.809260438270694</v>
      </c>
      <c r="I258" s="32" t="s">
        <v>141</v>
      </c>
      <c r="J258" s="35">
        <v>5.5555999999999992</v>
      </c>
    </row>
    <row r="259" spans="1:15" x14ac:dyDescent="0.4">
      <c r="A259" s="32" t="s">
        <v>0</v>
      </c>
      <c r="B259" s="35">
        <f>93/160.21766</f>
        <v>0.58046035624287606</v>
      </c>
      <c r="C259" s="31"/>
      <c r="D259" s="32" t="s">
        <v>0</v>
      </c>
      <c r="E259" s="35">
        <f>44/160.21766</f>
        <v>0.27462640510415642</v>
      </c>
      <c r="F259" s="31"/>
      <c r="G259" s="32" t="s">
        <v>0</v>
      </c>
      <c r="H259" s="35"/>
      <c r="I259" s="33" t="s">
        <v>140</v>
      </c>
      <c r="J259" s="1">
        <v>1.6339999999999999</v>
      </c>
      <c r="O259" t="s">
        <v>240</v>
      </c>
    </row>
    <row r="260" spans="1:15" x14ac:dyDescent="0.4">
      <c r="A260" s="36" t="s">
        <v>1</v>
      </c>
      <c r="B260" s="35"/>
      <c r="C260" s="31"/>
      <c r="D260" s="36" t="s">
        <v>1</v>
      </c>
      <c r="E260" s="35"/>
      <c r="F260" s="31"/>
      <c r="G260" s="36" t="s">
        <v>1</v>
      </c>
      <c r="H260" s="35"/>
      <c r="J260" s="31"/>
      <c r="O260" t="s">
        <v>310</v>
      </c>
    </row>
    <row r="262" spans="1:15" x14ac:dyDescent="0.4">
      <c r="A262" s="32" t="s">
        <v>6</v>
      </c>
      <c r="B262" s="33" t="s">
        <v>100</v>
      </c>
      <c r="C262" s="31"/>
      <c r="D262" s="32" t="s">
        <v>69</v>
      </c>
      <c r="E262" s="33" t="s">
        <v>100</v>
      </c>
      <c r="F262" s="31"/>
      <c r="G262" s="32" t="s">
        <v>67</v>
      </c>
      <c r="H262" s="33" t="s">
        <v>100</v>
      </c>
      <c r="I262" s="31"/>
      <c r="J262" s="31"/>
    </row>
    <row r="263" spans="1:15" x14ac:dyDescent="0.4">
      <c r="A263" s="32" t="s">
        <v>4</v>
      </c>
      <c r="B263" s="30">
        <v>-3.8006000000000002</v>
      </c>
      <c r="C263" s="31"/>
      <c r="D263" s="32" t="s">
        <v>4</v>
      </c>
      <c r="E263" s="30">
        <v>-3.8904999999999998</v>
      </c>
      <c r="F263" s="31"/>
      <c r="G263" s="32" t="s">
        <v>4</v>
      </c>
      <c r="H263" s="38">
        <v>-3.8386999999999998</v>
      </c>
      <c r="I263" s="32" t="s">
        <v>2</v>
      </c>
      <c r="J263" s="35">
        <v>3.3940000000000001</v>
      </c>
    </row>
    <row r="264" spans="1:15" x14ac:dyDescent="0.4">
      <c r="A264" s="32" t="s">
        <v>5</v>
      </c>
      <c r="B264" s="34">
        <v>27.491</v>
      </c>
      <c r="C264" s="31"/>
      <c r="D264" s="32" t="s">
        <v>5</v>
      </c>
      <c r="E264" s="35">
        <v>27.119</v>
      </c>
      <c r="F264" s="31"/>
      <c r="G264" s="32" t="s">
        <v>5</v>
      </c>
      <c r="H264" s="1">
        <v>27.408999999999999</v>
      </c>
      <c r="I264" s="32" t="s">
        <v>141</v>
      </c>
      <c r="J264" s="35">
        <v>5.4950000000000001</v>
      </c>
    </row>
    <row r="265" spans="1:15" x14ac:dyDescent="0.4">
      <c r="A265" s="32" t="s">
        <v>0</v>
      </c>
      <c r="B265" s="35">
        <f>58/160.21766</f>
        <v>0.3620075340009335</v>
      </c>
      <c r="C265" s="31"/>
      <c r="D265" s="32" t="s">
        <v>0</v>
      </c>
      <c r="E265" s="35">
        <f>65/160.21766</f>
        <v>0.40569809844932203</v>
      </c>
      <c r="F265" s="31"/>
      <c r="G265" s="32" t="s">
        <v>0</v>
      </c>
      <c r="H265" s="35">
        <f>60/160.21766</f>
        <v>0.37449055241475876</v>
      </c>
      <c r="I265" s="31"/>
      <c r="J265" s="31"/>
      <c r="O265" t="s">
        <v>241</v>
      </c>
    </row>
    <row r="266" spans="1:15" x14ac:dyDescent="0.4">
      <c r="A266" s="36" t="s">
        <v>1</v>
      </c>
      <c r="B266" s="35"/>
      <c r="C266" s="31"/>
      <c r="D266" s="36" t="s">
        <v>1</v>
      </c>
      <c r="E266" s="35"/>
      <c r="F266" s="31"/>
      <c r="G266" s="36" t="s">
        <v>1</v>
      </c>
      <c r="H266" s="35"/>
      <c r="J266" s="31"/>
      <c r="O266" t="s">
        <v>311</v>
      </c>
    </row>
    <row r="267" spans="1:15" x14ac:dyDescent="0.4">
      <c r="A267" s="31"/>
      <c r="B267" s="37"/>
      <c r="C267" s="31"/>
      <c r="D267" s="31"/>
      <c r="E267" s="37"/>
      <c r="F267" s="31"/>
      <c r="G267" s="39"/>
      <c r="H267" s="37"/>
      <c r="J267" s="31"/>
    </row>
    <row r="268" spans="1:15" x14ac:dyDescent="0.4">
      <c r="A268" s="32" t="s">
        <v>6</v>
      </c>
      <c r="B268" s="33" t="s">
        <v>177</v>
      </c>
      <c r="C268" s="31"/>
      <c r="D268" s="32" t="s">
        <v>69</v>
      </c>
      <c r="E268" s="33" t="s">
        <v>177</v>
      </c>
      <c r="F268" s="31"/>
      <c r="G268" s="32" t="s">
        <v>67</v>
      </c>
      <c r="H268" s="33" t="s">
        <v>177</v>
      </c>
      <c r="I268" s="31"/>
      <c r="J268" s="31"/>
      <c r="L268" t="s">
        <v>194</v>
      </c>
    </row>
    <row r="269" spans="1:15" x14ac:dyDescent="0.4">
      <c r="A269" s="32" t="s">
        <v>4</v>
      </c>
      <c r="B269" s="30">
        <v>-2.7421000000000002</v>
      </c>
      <c r="C269" s="31"/>
      <c r="D269" s="32" t="s">
        <v>4</v>
      </c>
      <c r="E269" s="30">
        <v>-2.8580999999999999</v>
      </c>
      <c r="F269" s="31"/>
      <c r="G269" s="32" t="s">
        <v>4</v>
      </c>
      <c r="H269" s="38">
        <v>-2.9830000000000001</v>
      </c>
      <c r="I269" s="32" t="s">
        <v>2</v>
      </c>
      <c r="J269" s="1">
        <v>4.0880000000000001</v>
      </c>
      <c r="L269" t="s">
        <v>195</v>
      </c>
    </row>
    <row r="270" spans="1:15" x14ac:dyDescent="0.4">
      <c r="A270" s="32" t="s">
        <v>5</v>
      </c>
      <c r="B270" s="34">
        <v>28.380128921999994</v>
      </c>
      <c r="C270" s="31"/>
      <c r="D270" s="32" t="s">
        <v>5</v>
      </c>
      <c r="E270" s="35">
        <v>28.577803103999994</v>
      </c>
      <c r="F270" s="31"/>
      <c r="G270" s="32" t="s">
        <v>5</v>
      </c>
      <c r="H270" s="1">
        <v>31.564412972795498</v>
      </c>
      <c r="I270" s="32" t="s">
        <v>141</v>
      </c>
      <c r="J270" s="35">
        <v>4.3618959999999998</v>
      </c>
    </row>
    <row r="271" spans="1:15" x14ac:dyDescent="0.4">
      <c r="A271" s="32" t="s">
        <v>0</v>
      </c>
      <c r="B271" s="1">
        <v>0.39945658924240934</v>
      </c>
      <c r="C271" s="31"/>
      <c r="D271" s="32" t="s">
        <v>0</v>
      </c>
      <c r="E271" s="1">
        <v>0.39945658924240934</v>
      </c>
      <c r="F271" s="31"/>
      <c r="G271" s="32" t="s">
        <v>0</v>
      </c>
      <c r="H271">
        <v>0.39945658924240934</v>
      </c>
      <c r="I271" s="33" t="s">
        <v>140</v>
      </c>
      <c r="J271" s="1">
        <v>1.0669999999999999</v>
      </c>
    </row>
    <row r="272" spans="1:15" x14ac:dyDescent="0.4">
      <c r="A272" s="36" t="s">
        <v>1</v>
      </c>
      <c r="B272" s="35"/>
      <c r="C272" s="31"/>
      <c r="D272" s="36" t="s">
        <v>1</v>
      </c>
      <c r="E272" s="35"/>
      <c r="F272" s="31"/>
      <c r="G272" s="36" t="s">
        <v>1</v>
      </c>
      <c r="H272" s="35"/>
      <c r="J272" s="31"/>
    </row>
    <row r="274" spans="1:15" x14ac:dyDescent="0.4">
      <c r="A274" s="32" t="s">
        <v>6</v>
      </c>
      <c r="B274" s="33" t="s">
        <v>178</v>
      </c>
      <c r="C274" s="31"/>
      <c r="D274" s="32" t="s">
        <v>69</v>
      </c>
      <c r="E274" s="33" t="s">
        <v>131</v>
      </c>
      <c r="F274" s="31"/>
      <c r="G274" s="32" t="s">
        <v>67</v>
      </c>
      <c r="H274" s="33" t="s">
        <v>178</v>
      </c>
      <c r="I274" s="31"/>
      <c r="J274" s="31"/>
    </row>
    <row r="275" spans="1:15" x14ac:dyDescent="0.4">
      <c r="A275" s="32" t="s">
        <v>4</v>
      </c>
      <c r="B275" s="30">
        <v>-1.0702</v>
      </c>
      <c r="C275" s="31"/>
      <c r="D275" s="32" t="s">
        <v>4</v>
      </c>
      <c r="E275" s="30">
        <v>-1.0550999999999999</v>
      </c>
      <c r="F275" s="31"/>
      <c r="G275" s="32" t="s">
        <v>4</v>
      </c>
      <c r="H275" s="38">
        <v>-1.0599000000000001</v>
      </c>
      <c r="I275" s="32" t="s">
        <v>2</v>
      </c>
      <c r="J275" s="1">
        <v>3.3359999999999999</v>
      </c>
    </row>
    <row r="276" spans="1:15" x14ac:dyDescent="0.4">
      <c r="A276" s="32" t="s">
        <v>5</v>
      </c>
      <c r="B276" s="34">
        <v>35.050697468750009</v>
      </c>
      <c r="C276" s="31"/>
      <c r="D276" s="32" t="s">
        <v>5</v>
      </c>
      <c r="E276" s="35">
        <v>35.594999999999999</v>
      </c>
      <c r="F276" s="31"/>
      <c r="G276" s="32" t="s">
        <v>5</v>
      </c>
      <c r="H276" s="1">
        <v>31.380407233130537</v>
      </c>
      <c r="I276" s="32" t="s">
        <v>141</v>
      </c>
      <c r="J276" s="35">
        <v>6.5118719999999994</v>
      </c>
    </row>
    <row r="277" spans="1:15" x14ac:dyDescent="0.4">
      <c r="A277" s="32" t="s">
        <v>0</v>
      </c>
      <c r="B277" s="35"/>
      <c r="C277" s="31"/>
      <c r="D277" s="32" t="s">
        <v>0</v>
      </c>
      <c r="E277" s="35">
        <f>26/160.21766</f>
        <v>0.1622792393797288</v>
      </c>
      <c r="F277" s="31"/>
      <c r="G277" s="32" t="s">
        <v>0</v>
      </c>
      <c r="H277" s="35"/>
      <c r="I277" s="33" t="s">
        <v>140</v>
      </c>
      <c r="J277" s="1">
        <v>1.952</v>
      </c>
      <c r="O277" t="s">
        <v>242</v>
      </c>
    </row>
    <row r="278" spans="1:15" x14ac:dyDescent="0.4">
      <c r="A278" s="36" t="s">
        <v>1</v>
      </c>
      <c r="B278" s="35"/>
      <c r="C278" s="31"/>
      <c r="D278" s="36" t="s">
        <v>1</v>
      </c>
      <c r="E278" s="35">
        <v>3.835</v>
      </c>
      <c r="F278" s="31"/>
      <c r="G278" s="36" t="s">
        <v>1</v>
      </c>
      <c r="H278" s="35"/>
      <c r="J278" s="31"/>
      <c r="O278" t="s">
        <v>312</v>
      </c>
    </row>
    <row r="280" spans="1:15" x14ac:dyDescent="0.4">
      <c r="A280" s="32" t="s">
        <v>6</v>
      </c>
      <c r="B280" s="33" t="s">
        <v>39</v>
      </c>
      <c r="C280" s="31"/>
      <c r="D280" s="32" t="s">
        <v>69</v>
      </c>
      <c r="E280" s="33" t="s">
        <v>39</v>
      </c>
      <c r="F280" s="31"/>
      <c r="G280" s="32" t="s">
        <v>67</v>
      </c>
      <c r="H280" s="33" t="s">
        <v>39</v>
      </c>
      <c r="I280" s="31"/>
      <c r="J280" s="31"/>
    </row>
    <row r="281" spans="1:15" x14ac:dyDescent="0.4">
      <c r="A281" s="32" t="s">
        <v>4</v>
      </c>
      <c r="B281" s="30">
        <v>-0.85399999999999998</v>
      </c>
      <c r="C281" s="31"/>
      <c r="D281" s="32" t="s">
        <v>4</v>
      </c>
      <c r="E281" s="30">
        <v>-0.85660000000000003</v>
      </c>
      <c r="F281" s="31"/>
      <c r="G281" s="32" t="s">
        <v>4</v>
      </c>
      <c r="H281" s="38">
        <v>-0.86029999999999995</v>
      </c>
      <c r="I281" s="32" t="s">
        <v>2</v>
      </c>
      <c r="J281" s="35">
        <v>5.5119999999999996</v>
      </c>
    </row>
    <row r="282" spans="1:15" x14ac:dyDescent="0.4">
      <c r="A282" s="32" t="s">
        <v>5</v>
      </c>
      <c r="B282" s="34">
        <v>114.992</v>
      </c>
      <c r="C282" s="31"/>
      <c r="D282" s="32" t="s">
        <v>5</v>
      </c>
      <c r="E282" s="35">
        <v>114.05200000000001</v>
      </c>
      <c r="F282" s="31"/>
      <c r="G282" s="32" t="s">
        <v>5</v>
      </c>
      <c r="H282" s="1">
        <v>117.0235</v>
      </c>
      <c r="I282" s="32" t="s">
        <v>141</v>
      </c>
      <c r="J282" s="35">
        <v>8.8940000000000001</v>
      </c>
    </row>
    <row r="283" spans="1:15" x14ac:dyDescent="0.4">
      <c r="A283" s="32" t="s">
        <v>0</v>
      </c>
      <c r="B283" s="35"/>
      <c r="C283" s="31"/>
      <c r="D283" s="32" t="s">
        <v>0</v>
      </c>
      <c r="E283" s="35">
        <f>2/160.21766</f>
        <v>1.2483018413825292E-2</v>
      </c>
      <c r="F283" s="31"/>
      <c r="G283" s="32" t="s">
        <v>0</v>
      </c>
      <c r="H283" s="35">
        <f>2/160.21766</f>
        <v>1.2483018413825292E-2</v>
      </c>
      <c r="I283" s="31"/>
      <c r="J283" s="31"/>
      <c r="O283" t="s">
        <v>243</v>
      </c>
    </row>
    <row r="284" spans="1:15" x14ac:dyDescent="0.4">
      <c r="A284" s="36" t="s">
        <v>1</v>
      </c>
      <c r="B284" s="35"/>
      <c r="C284" s="31"/>
      <c r="D284" s="36" t="s">
        <v>1</v>
      </c>
      <c r="E284" s="35">
        <v>2.29</v>
      </c>
      <c r="F284" s="31"/>
      <c r="G284" s="36" t="s">
        <v>1</v>
      </c>
      <c r="H284" s="35"/>
      <c r="J284" s="31"/>
    </row>
    <row r="286" spans="1:15" x14ac:dyDescent="0.4">
      <c r="A286" s="32" t="s">
        <v>6</v>
      </c>
      <c r="B286" s="33" t="s">
        <v>40</v>
      </c>
      <c r="C286" s="31"/>
      <c r="D286" s="32" t="s">
        <v>69</v>
      </c>
      <c r="E286" s="33" t="s">
        <v>40</v>
      </c>
      <c r="F286" s="31"/>
      <c r="G286" s="32" t="s">
        <v>67</v>
      </c>
      <c r="H286" s="33" t="s">
        <v>40</v>
      </c>
      <c r="I286" s="31"/>
      <c r="J286" s="31"/>
    </row>
    <row r="287" spans="1:15" x14ac:dyDescent="0.4">
      <c r="A287" s="32" t="s">
        <v>4</v>
      </c>
      <c r="B287" s="30">
        <v>-1.9059999999999999</v>
      </c>
      <c r="C287" s="31"/>
      <c r="D287" s="32" t="s">
        <v>4</v>
      </c>
      <c r="E287" s="30">
        <v>-1.919</v>
      </c>
      <c r="F287" s="31"/>
      <c r="G287" s="32" t="s">
        <v>4</v>
      </c>
      <c r="H287" s="38">
        <v>-1.903</v>
      </c>
      <c r="I287" s="32" t="s">
        <v>2</v>
      </c>
      <c r="J287" s="35">
        <v>4.4790000000000001</v>
      </c>
    </row>
    <row r="288" spans="1:15" x14ac:dyDescent="0.4">
      <c r="A288" s="32" t="s">
        <v>5</v>
      </c>
      <c r="B288" s="34">
        <v>64.069999999999993</v>
      </c>
      <c r="C288" s="31"/>
      <c r="D288" s="32" t="s">
        <v>5</v>
      </c>
      <c r="E288" s="35">
        <v>63.643000000000001</v>
      </c>
      <c r="F288" s="31"/>
      <c r="G288" s="32" t="s">
        <v>5</v>
      </c>
      <c r="H288" s="1">
        <v>63.853499999999997</v>
      </c>
      <c r="I288" s="32" t="s">
        <v>141</v>
      </c>
      <c r="J288" s="35">
        <v>7.3520000000000003</v>
      </c>
    </row>
    <row r="289" spans="1:15" x14ac:dyDescent="0.4">
      <c r="A289" s="32" t="s">
        <v>0</v>
      </c>
      <c r="B289" s="35"/>
      <c r="C289" s="31"/>
      <c r="D289" s="32" t="s">
        <v>0</v>
      </c>
      <c r="E289" s="35">
        <f>9/160.21766</f>
        <v>5.6173582862213821E-2</v>
      </c>
      <c r="F289" s="31"/>
      <c r="G289" s="32" t="s">
        <v>0</v>
      </c>
      <c r="H289" s="35">
        <f>8/160.21766</f>
        <v>4.9932073655301168E-2</v>
      </c>
      <c r="I289" s="31"/>
      <c r="J289" s="31"/>
      <c r="O289" t="s">
        <v>244</v>
      </c>
    </row>
    <row r="290" spans="1:15" x14ac:dyDescent="0.4">
      <c r="A290" s="36" t="s">
        <v>1</v>
      </c>
      <c r="B290" s="35"/>
      <c r="C290" s="31"/>
      <c r="D290" s="36" t="s">
        <v>1</v>
      </c>
      <c r="E290" s="35">
        <v>1.897</v>
      </c>
      <c r="F290" s="31"/>
      <c r="G290" s="36" t="s">
        <v>1</v>
      </c>
      <c r="H290" s="35"/>
      <c r="J290" s="31"/>
    </row>
    <row r="292" spans="1:15" x14ac:dyDescent="0.4">
      <c r="A292" s="32" t="s">
        <v>6</v>
      </c>
      <c r="B292" s="33" t="s">
        <v>101</v>
      </c>
      <c r="C292" s="31"/>
      <c r="D292" s="32" t="s">
        <v>69</v>
      </c>
      <c r="E292" s="33" t="s">
        <v>101</v>
      </c>
      <c r="F292" s="31"/>
      <c r="G292" s="32" t="s">
        <v>67</v>
      </c>
      <c r="H292" s="33" t="s">
        <v>179</v>
      </c>
      <c r="I292" s="31"/>
      <c r="J292" s="31"/>
    </row>
    <row r="293" spans="1:15" x14ac:dyDescent="0.4">
      <c r="A293" s="32" t="s">
        <v>4</v>
      </c>
      <c r="B293" s="30">
        <v>-4.9352999999999998</v>
      </c>
      <c r="C293" s="31"/>
      <c r="D293" s="32" t="s">
        <v>4</v>
      </c>
      <c r="E293" s="30">
        <v>-4.8025000000000002</v>
      </c>
      <c r="F293" s="31"/>
      <c r="G293" s="32" t="s">
        <v>4</v>
      </c>
      <c r="H293" s="38">
        <v>-4.8817000000000004</v>
      </c>
      <c r="I293" s="32" t="s">
        <v>2</v>
      </c>
      <c r="J293" s="35">
        <v>3.7530000000000001</v>
      </c>
    </row>
    <row r="294" spans="1:15" x14ac:dyDescent="0.4">
      <c r="A294" s="32" t="s">
        <v>5</v>
      </c>
      <c r="B294" s="34">
        <v>37.030999999999999</v>
      </c>
      <c r="C294" s="31"/>
      <c r="D294" s="32" t="s">
        <v>5</v>
      </c>
      <c r="E294" s="35">
        <v>37.673000000000002</v>
      </c>
      <c r="F294" s="31"/>
      <c r="G294" s="32" t="s">
        <v>5</v>
      </c>
      <c r="H294" s="1">
        <v>37.241218494145805</v>
      </c>
      <c r="I294" s="32" t="s">
        <v>141</v>
      </c>
      <c r="J294" s="35">
        <v>6.1061310000000004</v>
      </c>
    </row>
    <row r="295" spans="1:15" x14ac:dyDescent="0.4">
      <c r="A295" s="32" t="s">
        <v>0</v>
      </c>
      <c r="B295" s="35">
        <f>23/160.21766</f>
        <v>0.14355471175899087</v>
      </c>
      <c r="C295" s="31"/>
      <c r="D295" s="32" t="s">
        <v>0</v>
      </c>
      <c r="E295" s="35"/>
      <c r="F295" s="31"/>
      <c r="G295" s="32" t="s">
        <v>0</v>
      </c>
      <c r="H295" s="35"/>
      <c r="I295" s="33" t="s">
        <v>140</v>
      </c>
      <c r="J295" s="1">
        <v>1.627</v>
      </c>
      <c r="O295" t="s">
        <v>245</v>
      </c>
    </row>
    <row r="296" spans="1:15" x14ac:dyDescent="0.4">
      <c r="A296" s="36" t="s">
        <v>1</v>
      </c>
      <c r="B296" s="35"/>
      <c r="C296" s="31"/>
      <c r="D296" s="36" t="s">
        <v>1</v>
      </c>
      <c r="E296" s="35"/>
      <c r="F296" s="31"/>
      <c r="G296" s="36" t="s">
        <v>1</v>
      </c>
      <c r="H296" s="35"/>
      <c r="J296" s="31"/>
      <c r="O296" t="s">
        <v>313</v>
      </c>
    </row>
    <row r="298" spans="1:15" x14ac:dyDescent="0.4">
      <c r="A298" s="32" t="s">
        <v>6</v>
      </c>
      <c r="B298" s="33" t="s">
        <v>41</v>
      </c>
      <c r="C298" s="31"/>
      <c r="D298" s="32" t="s">
        <v>69</v>
      </c>
      <c r="E298" s="33" t="s">
        <v>41</v>
      </c>
      <c r="F298" s="31"/>
      <c r="G298" s="32" t="s">
        <v>67</v>
      </c>
      <c r="H298" s="33" t="s">
        <v>41</v>
      </c>
      <c r="I298" s="31"/>
      <c r="J298" s="31"/>
    </row>
    <row r="299" spans="1:15" x14ac:dyDescent="0.4">
      <c r="A299" s="32" t="s">
        <v>4</v>
      </c>
      <c r="B299" s="30">
        <v>-5.9314999999999998</v>
      </c>
      <c r="C299" s="31"/>
      <c r="D299" s="32" t="s">
        <v>4</v>
      </c>
      <c r="E299" s="30">
        <v>-4.8025000000000002</v>
      </c>
      <c r="F299" s="31"/>
      <c r="G299" s="32" t="s">
        <v>4</v>
      </c>
      <c r="H299" s="38">
        <v>-5.8357999999999999</v>
      </c>
      <c r="I299" s="32" t="s">
        <v>2</v>
      </c>
      <c r="J299" s="35">
        <v>3.2610000000000001</v>
      </c>
    </row>
    <row r="300" spans="1:15" x14ac:dyDescent="0.4">
      <c r="A300" s="32" t="s">
        <v>5</v>
      </c>
      <c r="B300" s="34">
        <v>26.295999999999999</v>
      </c>
      <c r="C300" s="31"/>
      <c r="D300" s="32" t="s">
        <v>5</v>
      </c>
      <c r="E300" s="35">
        <v>37.673000000000002</v>
      </c>
      <c r="F300" s="31"/>
      <c r="G300" s="32" t="s">
        <v>5</v>
      </c>
      <c r="H300" s="1">
        <v>26.506499999999999</v>
      </c>
      <c r="I300" s="32" t="s">
        <v>141</v>
      </c>
      <c r="J300" s="35">
        <v>5.7560000000000002</v>
      </c>
    </row>
    <row r="301" spans="1:15" x14ac:dyDescent="0.4">
      <c r="A301" s="32" t="s">
        <v>0</v>
      </c>
      <c r="B301" s="35">
        <f>37/160.21766</f>
        <v>0.23093584065576792</v>
      </c>
      <c r="C301" s="31"/>
      <c r="D301" s="32" t="s">
        <v>0</v>
      </c>
      <c r="E301" s="35"/>
      <c r="F301" s="31"/>
      <c r="G301" s="32" t="s">
        <v>0</v>
      </c>
      <c r="H301" s="35"/>
      <c r="I301" s="31"/>
      <c r="J301" s="31"/>
      <c r="O301" t="s">
        <v>314</v>
      </c>
    </row>
    <row r="302" spans="1:15" x14ac:dyDescent="0.4">
      <c r="A302" s="36" t="s">
        <v>1</v>
      </c>
      <c r="B302" s="35">
        <v>3.3029999999999999</v>
      </c>
      <c r="C302" s="31"/>
      <c r="D302" s="36" t="s">
        <v>1</v>
      </c>
      <c r="E302" s="35"/>
      <c r="F302" s="31"/>
      <c r="G302" s="36" t="s">
        <v>1</v>
      </c>
      <c r="H302" s="35"/>
      <c r="J302" s="31"/>
    </row>
    <row r="304" spans="1:15" x14ac:dyDescent="0.4">
      <c r="A304" s="32" t="s">
        <v>6</v>
      </c>
      <c r="B304" s="33" t="s">
        <v>102</v>
      </c>
      <c r="C304" s="31"/>
      <c r="D304" s="32" t="s">
        <v>69</v>
      </c>
      <c r="E304" s="33" t="s">
        <v>102</v>
      </c>
      <c r="F304" s="31"/>
      <c r="G304" s="32" t="s">
        <v>67</v>
      </c>
      <c r="H304" s="33" t="s">
        <v>102</v>
      </c>
      <c r="I304" s="31"/>
      <c r="J304" s="31"/>
    </row>
    <row r="305" spans="1:15" x14ac:dyDescent="0.4">
      <c r="A305" s="32" t="s">
        <v>4</v>
      </c>
      <c r="B305" s="30">
        <v>-4.7728999999999999</v>
      </c>
      <c r="C305" s="31"/>
      <c r="D305" s="32" t="s">
        <v>4</v>
      </c>
      <c r="E305" s="30">
        <v>-4.6452999999999998</v>
      </c>
      <c r="F305" s="31"/>
      <c r="G305" s="32" t="s">
        <v>4</v>
      </c>
      <c r="H305" s="38">
        <v>-4.7519999999999998</v>
      </c>
      <c r="I305" s="32" t="s">
        <v>2</v>
      </c>
      <c r="J305" s="35">
        <v>3.766</v>
      </c>
    </row>
    <row r="306" spans="1:15" x14ac:dyDescent="0.4">
      <c r="A306" s="32" t="s">
        <v>5</v>
      </c>
      <c r="B306" s="34">
        <v>36.56</v>
      </c>
      <c r="C306" s="31"/>
      <c r="D306" s="32" t="s">
        <v>5</v>
      </c>
      <c r="E306" s="35">
        <v>36.375</v>
      </c>
      <c r="F306" s="31"/>
      <c r="G306" s="32" t="s">
        <v>5</v>
      </c>
      <c r="H306" s="1">
        <v>36.521500000000003</v>
      </c>
      <c r="I306" s="32" t="s">
        <v>141</v>
      </c>
      <c r="J306" s="35">
        <v>5.9480000000000004</v>
      </c>
    </row>
    <row r="307" spans="1:15" x14ac:dyDescent="0.4">
      <c r="A307" s="32" t="s">
        <v>0</v>
      </c>
      <c r="B307" s="35">
        <f>32/160.21766</f>
        <v>0.19972829462120467</v>
      </c>
      <c r="C307" s="31"/>
      <c r="D307" s="32" t="s">
        <v>0</v>
      </c>
      <c r="E307" s="35"/>
      <c r="F307" s="31"/>
      <c r="G307" s="32" t="s">
        <v>0</v>
      </c>
      <c r="H307" s="35"/>
      <c r="I307" s="31"/>
      <c r="J307" s="31"/>
      <c r="O307" t="s">
        <v>246</v>
      </c>
    </row>
    <row r="308" spans="1:15" x14ac:dyDescent="0.4">
      <c r="A308" s="36" t="s">
        <v>1</v>
      </c>
      <c r="B308" s="35"/>
      <c r="C308" s="31"/>
      <c r="D308" s="36" t="s">
        <v>1</v>
      </c>
      <c r="E308" s="35"/>
      <c r="F308" s="31"/>
      <c r="G308" s="36" t="s">
        <v>1</v>
      </c>
      <c r="H308" s="35"/>
      <c r="J308" s="31"/>
      <c r="O308" t="s">
        <v>315</v>
      </c>
    </row>
    <row r="310" spans="1:15" x14ac:dyDescent="0.4">
      <c r="A310" s="32" t="s">
        <v>6</v>
      </c>
      <c r="B310" s="33" t="s">
        <v>59</v>
      </c>
      <c r="C310" s="31"/>
      <c r="D310" s="32" t="s">
        <v>69</v>
      </c>
      <c r="E310" s="33" t="s">
        <v>59</v>
      </c>
      <c r="F310" s="31"/>
      <c r="G310" s="32" t="s">
        <v>67</v>
      </c>
      <c r="H310" s="33" t="s">
        <v>180</v>
      </c>
      <c r="I310" s="31"/>
      <c r="J310" s="31"/>
    </row>
    <row r="311" spans="1:15" x14ac:dyDescent="0.4">
      <c r="A311" s="32" t="s">
        <v>4</v>
      </c>
      <c r="B311" s="30">
        <v>-4.7591000000000001</v>
      </c>
      <c r="C311" s="31"/>
      <c r="D311" s="32" t="s">
        <v>4</v>
      </c>
      <c r="E311" s="30">
        <v>-4.6281999999999996</v>
      </c>
      <c r="F311" s="31"/>
      <c r="G311" s="32" t="s">
        <v>4</v>
      </c>
      <c r="H311" s="38">
        <v>-4.6833999999999998</v>
      </c>
      <c r="I311" s="32" t="s">
        <v>2</v>
      </c>
      <c r="J311" s="1">
        <v>3.6840000000000002</v>
      </c>
    </row>
    <row r="312" spans="1:15" x14ac:dyDescent="0.4">
      <c r="A312" s="32" t="s">
        <v>5</v>
      </c>
      <c r="B312" s="34">
        <v>35.473999999999997</v>
      </c>
      <c r="C312" s="31"/>
      <c r="D312" s="32" t="s">
        <v>5</v>
      </c>
      <c r="E312" s="35">
        <v>35.308</v>
      </c>
      <c r="F312" s="31"/>
      <c r="G312" s="32" t="s">
        <v>5</v>
      </c>
      <c r="H312" s="1">
        <v>35.008178967962941</v>
      </c>
      <c r="I312" s="32" t="s">
        <v>141</v>
      </c>
      <c r="J312" s="35">
        <v>5.9570280000000002</v>
      </c>
    </row>
    <row r="313" spans="1:15" x14ac:dyDescent="0.4">
      <c r="A313" s="32" t="s">
        <v>0</v>
      </c>
      <c r="B313" s="35">
        <f>34/160.21766</f>
        <v>0.21221131303502999</v>
      </c>
      <c r="C313" s="31"/>
      <c r="D313" s="32" t="s">
        <v>0</v>
      </c>
      <c r="E313" s="35"/>
      <c r="F313" s="31"/>
      <c r="G313" s="32" t="s">
        <v>0</v>
      </c>
      <c r="H313" s="35">
        <f>33/160.21766</f>
        <v>0.20596980382811733</v>
      </c>
      <c r="I313" s="33" t="s">
        <v>140</v>
      </c>
      <c r="J313" s="1">
        <v>1.617</v>
      </c>
      <c r="O313" t="s">
        <v>247</v>
      </c>
    </row>
    <row r="314" spans="1:15" x14ac:dyDescent="0.4">
      <c r="A314" s="36" t="s">
        <v>1</v>
      </c>
      <c r="B314" s="35"/>
      <c r="C314" s="31"/>
      <c r="D314" s="36" t="s">
        <v>1</v>
      </c>
      <c r="E314" s="35"/>
      <c r="F314" s="31"/>
      <c r="G314" s="36" t="s">
        <v>1</v>
      </c>
      <c r="H314" s="35">
        <v>1.94</v>
      </c>
      <c r="J314" s="31"/>
    </row>
    <row r="316" spans="1:15" x14ac:dyDescent="0.4">
      <c r="A316" s="32" t="s">
        <v>6</v>
      </c>
      <c r="B316" s="33" t="s">
        <v>103</v>
      </c>
      <c r="C316" s="31"/>
      <c r="D316" s="32" t="s">
        <v>69</v>
      </c>
      <c r="E316" s="33" t="s">
        <v>181</v>
      </c>
      <c r="F316" s="31"/>
      <c r="G316" s="32" t="s">
        <v>67</v>
      </c>
      <c r="H316" s="33" t="s">
        <v>181</v>
      </c>
      <c r="I316" s="31"/>
      <c r="J316" s="31"/>
    </row>
    <row r="317" spans="1:15" x14ac:dyDescent="0.4">
      <c r="A317" s="32" t="s">
        <v>4</v>
      </c>
      <c r="B317" s="30">
        <v>-4.7409999999999997</v>
      </c>
      <c r="C317" s="31"/>
      <c r="D317" s="32" t="s">
        <v>4</v>
      </c>
      <c r="E317" s="30">
        <v>-4.5435999999999996</v>
      </c>
      <c r="F317" s="31"/>
      <c r="G317" s="32" t="s">
        <v>4</v>
      </c>
      <c r="H317" s="38">
        <v>-4.6551999999999998</v>
      </c>
      <c r="I317" s="32" t="s">
        <v>2</v>
      </c>
      <c r="J317" s="1">
        <v>3.6739999999999999</v>
      </c>
    </row>
    <row r="318" spans="1:15" x14ac:dyDescent="0.4">
      <c r="A318" s="32" t="s">
        <v>5</v>
      </c>
      <c r="B318" s="34">
        <v>34.51</v>
      </c>
      <c r="C318" s="31"/>
      <c r="D318" s="32" t="s">
        <v>5</v>
      </c>
      <c r="E318" s="35">
        <v>34.359738368000002</v>
      </c>
      <c r="F318" s="31"/>
      <c r="G318" s="32" t="s">
        <v>5</v>
      </c>
      <c r="H318" s="1">
        <v>34.487652420399669</v>
      </c>
      <c r="I318" s="32" t="s">
        <v>141</v>
      </c>
      <c r="J318" s="1">
        <v>5.9004440000000002</v>
      </c>
    </row>
    <row r="319" spans="1:15" x14ac:dyDescent="0.4">
      <c r="A319" s="32" t="s">
        <v>0</v>
      </c>
      <c r="B319" s="35">
        <v>0.215</v>
      </c>
      <c r="C319" s="31"/>
      <c r="D319" s="32" t="s">
        <v>0</v>
      </c>
      <c r="E319" s="35">
        <v>0.215</v>
      </c>
      <c r="F319" s="31"/>
      <c r="G319" s="32" t="s">
        <v>0</v>
      </c>
      <c r="H319" s="35">
        <v>0.215</v>
      </c>
      <c r="I319" s="33" t="s">
        <v>140</v>
      </c>
      <c r="J319" s="1">
        <v>1.6060000000000001</v>
      </c>
    </row>
    <row r="320" spans="1:15" x14ac:dyDescent="0.4">
      <c r="A320" s="36" t="s">
        <v>1</v>
      </c>
      <c r="B320" s="35">
        <v>1.968</v>
      </c>
      <c r="C320" s="31"/>
      <c r="D320" s="36" t="s">
        <v>1</v>
      </c>
      <c r="E320" s="35">
        <v>1.968</v>
      </c>
      <c r="F320" s="31"/>
      <c r="G320" s="36" t="s">
        <v>1</v>
      </c>
      <c r="H320" s="35">
        <v>1.968</v>
      </c>
      <c r="J320" s="31"/>
    </row>
    <row r="322" spans="1:15" x14ac:dyDescent="0.4">
      <c r="A322" s="32" t="s">
        <v>6</v>
      </c>
      <c r="B322" s="33" t="s">
        <v>104</v>
      </c>
      <c r="C322" s="31"/>
      <c r="D322" s="32" t="s">
        <v>69</v>
      </c>
      <c r="E322" s="33" t="s">
        <v>182</v>
      </c>
      <c r="F322" s="31"/>
      <c r="G322" s="32" t="s">
        <v>67</v>
      </c>
      <c r="H322" s="33" t="s">
        <v>104</v>
      </c>
      <c r="I322" s="31"/>
      <c r="J322" s="31"/>
    </row>
    <row r="323" spans="1:15" x14ac:dyDescent="0.4">
      <c r="A323" s="32" t="s">
        <v>4</v>
      </c>
      <c r="B323" s="30">
        <v>-4.7081</v>
      </c>
      <c r="C323" s="31"/>
      <c r="D323" s="32" t="s">
        <v>4</v>
      </c>
      <c r="E323" s="30">
        <v>-4.4984000000000002</v>
      </c>
      <c r="F323" s="31"/>
      <c r="G323" s="32" t="s">
        <v>4</v>
      </c>
      <c r="H323" s="38">
        <v>-4.6965000000000003</v>
      </c>
      <c r="I323" s="32" t="s">
        <v>2</v>
      </c>
      <c r="J323" s="35">
        <v>3.6819999999999999</v>
      </c>
    </row>
    <row r="324" spans="1:15" x14ac:dyDescent="0.4">
      <c r="A324" s="32" t="s">
        <v>5</v>
      </c>
      <c r="B324" s="34">
        <v>34.261000000000003</v>
      </c>
      <c r="C324" s="31"/>
      <c r="D324" s="32" t="s">
        <v>5</v>
      </c>
      <c r="E324" s="35">
        <v>33.610279748000004</v>
      </c>
      <c r="F324" s="31"/>
      <c r="G324" s="32" t="s">
        <v>5</v>
      </c>
      <c r="H324" s="1">
        <v>34.336500000000001</v>
      </c>
      <c r="I324" s="32" t="s">
        <v>141</v>
      </c>
      <c r="J324" s="35">
        <v>5.85</v>
      </c>
    </row>
    <row r="325" spans="1:15" x14ac:dyDescent="0.4">
      <c r="A325" s="32" t="s">
        <v>0</v>
      </c>
      <c r="B325" s="35">
        <f>37/160.21766</f>
        <v>0.23093584065576792</v>
      </c>
      <c r="C325" s="31"/>
      <c r="D325" s="32" t="s">
        <v>0</v>
      </c>
      <c r="E325" s="35"/>
      <c r="F325" s="31"/>
      <c r="G325" s="32" t="s">
        <v>0</v>
      </c>
      <c r="H325" s="35">
        <f>35/160.21766</f>
        <v>0.21845282224194262</v>
      </c>
      <c r="I325" s="31"/>
      <c r="J325" s="31"/>
      <c r="O325" t="s">
        <v>248</v>
      </c>
    </row>
    <row r="326" spans="1:15" x14ac:dyDescent="0.4">
      <c r="A326" s="36" t="s">
        <v>1</v>
      </c>
      <c r="B326" s="35"/>
      <c r="C326" s="31"/>
      <c r="D326" s="36" t="s">
        <v>1</v>
      </c>
      <c r="E326" s="35"/>
      <c r="F326" s="31"/>
      <c r="G326" s="36" t="s">
        <v>1</v>
      </c>
      <c r="H326" s="35"/>
      <c r="J326" s="31"/>
      <c r="O326" t="s">
        <v>316</v>
      </c>
    </row>
    <row r="328" spans="1:15" x14ac:dyDescent="0.4">
      <c r="A328" s="32" t="s">
        <v>6</v>
      </c>
      <c r="B328" s="33" t="s">
        <v>42</v>
      </c>
      <c r="C328" s="31"/>
      <c r="D328" s="32" t="s">
        <v>69</v>
      </c>
      <c r="E328" s="33" t="s">
        <v>42</v>
      </c>
      <c r="F328" s="31"/>
      <c r="G328" s="32" t="s">
        <v>67</v>
      </c>
      <c r="H328" s="33" t="s">
        <v>42</v>
      </c>
      <c r="I328" s="31"/>
      <c r="J328" s="31"/>
    </row>
    <row r="329" spans="1:15" x14ac:dyDescent="0.4">
      <c r="A329" s="32" t="s">
        <v>4</v>
      </c>
      <c r="B329" s="30">
        <v>-10.2569</v>
      </c>
      <c r="C329" s="31"/>
      <c r="D329" s="32" t="s">
        <v>4</v>
      </c>
      <c r="E329" s="30">
        <v>-10.207000000000001</v>
      </c>
      <c r="F329" s="31"/>
      <c r="G329" s="32" t="s">
        <v>4</v>
      </c>
      <c r="H329" s="30">
        <v>-10.246499999999999</v>
      </c>
      <c r="I329" s="32" t="s">
        <v>2</v>
      </c>
      <c r="J329" s="35">
        <v>4.0510000000000002</v>
      </c>
    </row>
    <row r="330" spans="1:15" x14ac:dyDescent="0.4">
      <c r="A330" s="32" t="s">
        <v>5</v>
      </c>
      <c r="B330" s="34">
        <v>41.97</v>
      </c>
      <c r="C330" s="31"/>
      <c r="D330" s="32" t="s">
        <v>5</v>
      </c>
      <c r="E330" s="35">
        <v>49.917000000000002</v>
      </c>
      <c r="F330" s="31"/>
      <c r="G330" s="32" t="s">
        <v>5</v>
      </c>
      <c r="H330" s="1">
        <f>92.558/2</f>
        <v>46.279000000000003</v>
      </c>
      <c r="I330" s="32" t="s">
        <v>141</v>
      </c>
      <c r="J330" s="35">
        <v>6.5140000000000002</v>
      </c>
    </row>
    <row r="331" spans="1:15" x14ac:dyDescent="0.4">
      <c r="A331" s="32" t="s">
        <v>0</v>
      </c>
      <c r="B331" s="35"/>
      <c r="C331" s="31"/>
      <c r="D331" s="32" t="s">
        <v>0</v>
      </c>
      <c r="E331" s="35"/>
      <c r="F331" s="31"/>
      <c r="G331" s="32" t="s">
        <v>0</v>
      </c>
      <c r="H331" s="35">
        <f>13/160.21766</f>
        <v>8.1139619689864398E-2</v>
      </c>
      <c r="I331" s="31"/>
      <c r="J331" s="31"/>
      <c r="O331" t="s">
        <v>249</v>
      </c>
    </row>
    <row r="332" spans="1:15" x14ac:dyDescent="0.4">
      <c r="A332" s="36" t="s">
        <v>1</v>
      </c>
      <c r="B332" s="35"/>
      <c r="C332" s="31"/>
      <c r="D332" s="36" t="s">
        <v>1</v>
      </c>
      <c r="E332" s="35"/>
      <c r="F332" s="31"/>
      <c r="G332" s="36" t="s">
        <v>1</v>
      </c>
      <c r="H332" s="35">
        <v>2.0339999999999998</v>
      </c>
      <c r="J332" s="31"/>
    </row>
    <row r="334" spans="1:15" x14ac:dyDescent="0.4">
      <c r="A334" s="32" t="s">
        <v>6</v>
      </c>
      <c r="B334" s="33" t="s">
        <v>43</v>
      </c>
      <c r="C334" s="31"/>
      <c r="D334" s="32" t="s">
        <v>69</v>
      </c>
      <c r="E334" s="33" t="s">
        <v>43</v>
      </c>
      <c r="F334" s="31"/>
      <c r="G334" s="32" t="s">
        <v>67</v>
      </c>
      <c r="H334" s="33" t="s">
        <v>43</v>
      </c>
      <c r="I334" s="31"/>
      <c r="J334" s="31"/>
    </row>
    <row r="335" spans="1:15" x14ac:dyDescent="0.4">
      <c r="A335" s="32" t="s">
        <v>4</v>
      </c>
      <c r="B335" s="30">
        <v>-14.027699999999999</v>
      </c>
      <c r="C335" s="31"/>
      <c r="D335" s="32" t="s">
        <v>4</v>
      </c>
      <c r="E335" s="30">
        <v>-13.9885</v>
      </c>
      <c r="F335" s="31"/>
      <c r="G335" s="32" t="s">
        <v>4</v>
      </c>
      <c r="H335" s="30">
        <v>-14.0761</v>
      </c>
      <c r="I335" s="32" t="s">
        <v>2</v>
      </c>
      <c r="J335" s="35">
        <v>3.6139999999999999</v>
      </c>
    </row>
    <row r="336" spans="1:15" x14ac:dyDescent="0.4">
      <c r="A336" s="32" t="s">
        <v>5</v>
      </c>
      <c r="B336" s="34">
        <v>32.067</v>
      </c>
      <c r="C336" s="31"/>
      <c r="D336" s="32" t="s">
        <v>5</v>
      </c>
      <c r="E336" s="35">
        <v>32.893000000000001</v>
      </c>
      <c r="F336" s="31"/>
      <c r="G336" s="32" t="s">
        <v>5</v>
      </c>
      <c r="H336" s="1">
        <v>32.631999999999998</v>
      </c>
      <c r="I336" s="32" t="s">
        <v>141</v>
      </c>
      <c r="J336" s="35">
        <v>5.77</v>
      </c>
    </row>
    <row r="337" spans="1:15" x14ac:dyDescent="0.4">
      <c r="A337" s="32" t="s">
        <v>0</v>
      </c>
      <c r="B337" s="35"/>
      <c r="C337" s="31"/>
      <c r="D337" s="32" t="s">
        <v>0</v>
      </c>
      <c r="E337" s="35">
        <f>105/160.21766</f>
        <v>0.65535846672582787</v>
      </c>
      <c r="F337" s="31"/>
      <c r="G337" s="32" t="s">
        <v>0</v>
      </c>
      <c r="H337" s="35">
        <f>37/160.21766</f>
        <v>0.23093584065576792</v>
      </c>
      <c r="I337" s="31"/>
      <c r="J337" s="31"/>
      <c r="O337" t="s">
        <v>250</v>
      </c>
    </row>
    <row r="338" spans="1:15" x14ac:dyDescent="0.4">
      <c r="A338" s="36" t="s">
        <v>1</v>
      </c>
      <c r="B338" s="35"/>
      <c r="C338" s="31"/>
      <c r="D338" s="36" t="s">
        <v>1</v>
      </c>
      <c r="E338" s="35"/>
      <c r="F338" s="31"/>
      <c r="G338" s="36" t="s">
        <v>1</v>
      </c>
      <c r="H338" s="35">
        <v>1.9410000000000001</v>
      </c>
      <c r="J338" s="31"/>
    </row>
    <row r="340" spans="1:15" x14ac:dyDescent="0.4">
      <c r="A340" s="32" t="s">
        <v>6</v>
      </c>
      <c r="B340" s="33" t="s">
        <v>105</v>
      </c>
      <c r="C340" s="31"/>
      <c r="D340" s="32" t="s">
        <v>69</v>
      </c>
      <c r="E340" s="33" t="s">
        <v>105</v>
      </c>
      <c r="F340" s="31"/>
      <c r="G340" s="32" t="s">
        <v>67</v>
      </c>
      <c r="H340" s="33" t="s">
        <v>105</v>
      </c>
      <c r="I340" s="31"/>
      <c r="J340" s="31"/>
    </row>
    <row r="341" spans="1:15" x14ac:dyDescent="0.4">
      <c r="A341" s="32" t="s">
        <v>4</v>
      </c>
      <c r="B341" s="30">
        <v>-4.6154999999999999</v>
      </c>
      <c r="C341" s="31"/>
      <c r="D341" s="32" t="s">
        <v>4</v>
      </c>
      <c r="E341" s="30">
        <v>-4.4863</v>
      </c>
      <c r="F341" s="31"/>
      <c r="G341" s="32" t="s">
        <v>4</v>
      </c>
      <c r="H341" s="30">
        <v>-4.6154999999999999</v>
      </c>
      <c r="I341" s="32" t="s">
        <v>2</v>
      </c>
      <c r="J341" s="35">
        <v>3.64</v>
      </c>
    </row>
    <row r="342" spans="1:15" x14ac:dyDescent="0.4">
      <c r="A342" s="32" t="s">
        <v>5</v>
      </c>
      <c r="B342" s="34">
        <v>31.927</v>
      </c>
      <c r="C342" s="31"/>
      <c r="D342" s="32" t="s">
        <v>5</v>
      </c>
      <c r="E342" s="35">
        <v>32.481999999999999</v>
      </c>
      <c r="F342" s="31"/>
      <c r="G342" s="32" t="s">
        <v>5</v>
      </c>
      <c r="H342" s="1">
        <v>32.5</v>
      </c>
      <c r="I342" s="32" t="s">
        <v>141</v>
      </c>
      <c r="J342" s="35">
        <v>5.6639999999999997</v>
      </c>
    </row>
    <row r="343" spans="1:15" x14ac:dyDescent="0.4">
      <c r="A343" s="32" t="s">
        <v>0</v>
      </c>
      <c r="B343" s="35">
        <f>41/160.21766</f>
        <v>0.25590187748341853</v>
      </c>
      <c r="C343" s="31"/>
      <c r="D343" s="32" t="s">
        <v>0</v>
      </c>
      <c r="E343" s="35"/>
      <c r="F343" s="31"/>
      <c r="G343" s="32" t="s">
        <v>0</v>
      </c>
      <c r="H343" s="35">
        <f>39/160.21766</f>
        <v>0.24341885906959321</v>
      </c>
      <c r="I343" s="31"/>
      <c r="J343" s="31"/>
      <c r="O343" t="s">
        <v>251</v>
      </c>
    </row>
    <row r="344" spans="1:15" x14ac:dyDescent="0.4">
      <c r="A344" s="36" t="s">
        <v>1</v>
      </c>
      <c r="B344" s="35"/>
      <c r="C344" s="31"/>
      <c r="D344" s="36" t="s">
        <v>1</v>
      </c>
      <c r="E344" s="35"/>
      <c r="F344" s="31"/>
      <c r="G344" s="36" t="s">
        <v>1</v>
      </c>
      <c r="H344" s="35"/>
      <c r="J344" s="31"/>
      <c r="O344" t="s">
        <v>317</v>
      </c>
    </row>
    <row r="346" spans="1:15" x14ac:dyDescent="0.4">
      <c r="A346" s="32" t="s">
        <v>6</v>
      </c>
      <c r="B346" s="33" t="s">
        <v>44</v>
      </c>
      <c r="C346" s="31"/>
      <c r="D346" s="32" t="s">
        <v>69</v>
      </c>
      <c r="E346" s="33" t="s">
        <v>44</v>
      </c>
      <c r="F346" s="31"/>
      <c r="G346" s="32" t="s">
        <v>67</v>
      </c>
      <c r="H346" s="33" t="s">
        <v>44</v>
      </c>
      <c r="I346" s="31"/>
      <c r="J346" s="31"/>
    </row>
    <row r="347" spans="1:15" x14ac:dyDescent="0.4">
      <c r="A347" s="32" t="s">
        <v>4</v>
      </c>
      <c r="B347" s="30">
        <v>-4.5854999999999997</v>
      </c>
      <c r="C347" s="31"/>
      <c r="D347" s="32" t="s">
        <v>4</v>
      </c>
      <c r="E347" s="30">
        <v>-4.4598000000000004</v>
      </c>
      <c r="F347" s="31"/>
      <c r="G347" s="32" t="s">
        <v>4</v>
      </c>
      <c r="H347" s="30">
        <v>-4.5872999999999999</v>
      </c>
      <c r="I347" s="32" t="s">
        <v>2</v>
      </c>
      <c r="J347" s="35">
        <v>3.6269999999999998</v>
      </c>
    </row>
    <row r="348" spans="1:15" x14ac:dyDescent="0.4">
      <c r="A348" s="32" t="s">
        <v>5</v>
      </c>
      <c r="B348" s="34">
        <v>31.471</v>
      </c>
      <c r="C348" s="31"/>
      <c r="D348" s="32" t="s">
        <v>5</v>
      </c>
      <c r="E348" s="35">
        <v>32.030999999999999</v>
      </c>
      <c r="F348" s="31"/>
      <c r="G348" s="32" t="s">
        <v>5</v>
      </c>
      <c r="H348" s="1">
        <v>31.987500000000001</v>
      </c>
      <c r="I348" s="32" t="s">
        <v>141</v>
      </c>
      <c r="J348" s="35">
        <v>5.6159999999999997</v>
      </c>
    </row>
    <row r="349" spans="1:15" x14ac:dyDescent="0.4">
      <c r="A349" s="32" t="s">
        <v>0</v>
      </c>
      <c r="B349" s="35">
        <f>41/160.21766</f>
        <v>0.25590187748341853</v>
      </c>
      <c r="C349" s="31"/>
      <c r="D349" s="32" t="s">
        <v>0</v>
      </c>
      <c r="E349" s="35"/>
      <c r="F349" s="31"/>
      <c r="G349" s="32" t="s">
        <v>0</v>
      </c>
      <c r="H349" s="35">
        <f>39/160.21766</f>
        <v>0.24341885906959321</v>
      </c>
      <c r="I349" s="31"/>
      <c r="J349" s="31"/>
      <c r="O349" t="s">
        <v>251</v>
      </c>
    </row>
    <row r="350" spans="1:15" x14ac:dyDescent="0.4">
      <c r="A350" s="36" t="s">
        <v>1</v>
      </c>
      <c r="B350" s="35"/>
      <c r="C350" s="31"/>
      <c r="D350" s="36" t="s">
        <v>1</v>
      </c>
      <c r="E350" s="35"/>
      <c r="F350" s="31"/>
      <c r="G350" s="36" t="s">
        <v>1</v>
      </c>
      <c r="H350" s="35"/>
      <c r="J350" s="31"/>
      <c r="O350" t="s">
        <v>318</v>
      </c>
    </row>
    <row r="352" spans="1:15" x14ac:dyDescent="0.4">
      <c r="A352" s="32" t="s">
        <v>6</v>
      </c>
      <c r="B352" s="33" t="s">
        <v>106</v>
      </c>
      <c r="C352" s="31"/>
      <c r="D352" s="32" t="s">
        <v>69</v>
      </c>
      <c r="E352" s="33" t="s">
        <v>106</v>
      </c>
      <c r="F352" s="31"/>
      <c r="G352" s="32" t="s">
        <v>67</v>
      </c>
      <c r="H352" s="33" t="s">
        <v>106</v>
      </c>
      <c r="I352" s="31"/>
      <c r="J352" s="31"/>
    </row>
    <row r="353" spans="1:15" x14ac:dyDescent="0.4">
      <c r="A353" s="32" t="s">
        <v>4</v>
      </c>
      <c r="B353" s="30">
        <v>-4.5587</v>
      </c>
      <c r="C353" s="31"/>
      <c r="D353" s="32" t="s">
        <v>4</v>
      </c>
      <c r="E353" s="30">
        <v>-4.4374000000000002</v>
      </c>
      <c r="F353" s="31"/>
      <c r="G353" s="32" t="s">
        <v>4</v>
      </c>
      <c r="H353" s="30">
        <v>-4.5682999999999998</v>
      </c>
      <c r="I353" s="32" t="s">
        <v>2</v>
      </c>
      <c r="J353" s="35">
        <v>3.609</v>
      </c>
    </row>
    <row r="354" spans="1:15" x14ac:dyDescent="0.4">
      <c r="A354" s="32" t="s">
        <v>5</v>
      </c>
      <c r="B354" s="34">
        <v>30.943999999999999</v>
      </c>
      <c r="C354" s="31"/>
      <c r="D354" s="32" t="s">
        <v>5</v>
      </c>
      <c r="E354" s="35">
        <v>31.593</v>
      </c>
      <c r="F354" s="31"/>
      <c r="G354" s="32" t="s">
        <v>5</v>
      </c>
      <c r="H354" s="1">
        <v>31.452500000000001</v>
      </c>
      <c r="I354" s="32" t="s">
        <v>141</v>
      </c>
      <c r="J354" s="35">
        <v>5.5780000000000003</v>
      </c>
    </row>
    <row r="355" spans="1:15" x14ac:dyDescent="0.4">
      <c r="A355" s="32" t="s">
        <v>0</v>
      </c>
      <c r="B355" s="35"/>
      <c r="C355" s="31"/>
      <c r="D355" s="32" t="s">
        <v>0</v>
      </c>
      <c r="E355" s="35"/>
      <c r="F355" s="31"/>
      <c r="G355" s="32" t="s">
        <v>0</v>
      </c>
      <c r="H355" s="35">
        <f>43/160.21766</f>
        <v>0.26838489589724379</v>
      </c>
      <c r="I355" s="31"/>
      <c r="J355" s="31"/>
      <c r="O355" t="s">
        <v>252</v>
      </c>
    </row>
    <row r="356" spans="1:15" x14ac:dyDescent="0.4">
      <c r="A356" s="36" t="s">
        <v>1</v>
      </c>
      <c r="B356" s="35"/>
      <c r="C356" s="31"/>
      <c r="D356" s="36" t="s">
        <v>1</v>
      </c>
      <c r="E356" s="35"/>
      <c r="F356" s="31"/>
      <c r="G356" s="36" t="s">
        <v>1</v>
      </c>
      <c r="H356" s="35">
        <v>1.9790000000000001</v>
      </c>
      <c r="J356" s="31"/>
    </row>
    <row r="358" spans="1:15" x14ac:dyDescent="0.4">
      <c r="A358" s="32" t="s">
        <v>6</v>
      </c>
      <c r="B358" s="33" t="s">
        <v>45</v>
      </c>
      <c r="C358" s="31"/>
      <c r="D358" s="32" t="s">
        <v>69</v>
      </c>
      <c r="E358" s="33" t="s">
        <v>45</v>
      </c>
      <c r="F358" s="31"/>
      <c r="G358" s="32" t="s">
        <v>67</v>
      </c>
      <c r="H358" s="33" t="s">
        <v>45</v>
      </c>
      <c r="I358" s="31"/>
      <c r="J358" s="31"/>
    </row>
    <row r="359" spans="1:15" x14ac:dyDescent="0.4">
      <c r="A359" s="32" t="s">
        <v>4</v>
      </c>
      <c r="B359" s="30">
        <v>-4.5407999999999999</v>
      </c>
      <c r="C359" s="31"/>
      <c r="D359" s="32" t="s">
        <v>4</v>
      </c>
      <c r="E359" s="30">
        <v>-4.4248000000000003</v>
      </c>
      <c r="F359" s="31"/>
      <c r="G359" s="32" t="s">
        <v>4</v>
      </c>
      <c r="H359" s="30">
        <v>-4.5574000000000003</v>
      </c>
      <c r="I359" s="32" t="s">
        <v>2</v>
      </c>
      <c r="J359" s="35">
        <v>3.5870000000000002</v>
      </c>
    </row>
    <row r="360" spans="1:15" x14ac:dyDescent="0.4">
      <c r="A360" s="32" t="s">
        <v>5</v>
      </c>
      <c r="B360" s="34">
        <v>30.492000000000001</v>
      </c>
      <c r="C360" s="31"/>
      <c r="D360" s="32" t="s">
        <v>5</v>
      </c>
      <c r="E360" s="35">
        <v>31.103999999999999</v>
      </c>
      <c r="F360" s="31"/>
      <c r="G360" s="32" t="s">
        <v>5</v>
      </c>
      <c r="H360" s="1">
        <v>30.9025</v>
      </c>
      <c r="I360" s="32" t="s">
        <v>141</v>
      </c>
      <c r="J360" s="35">
        <v>5.5460000000000003</v>
      </c>
    </row>
    <row r="361" spans="1:15" x14ac:dyDescent="0.4">
      <c r="A361" s="32" t="s">
        <v>0</v>
      </c>
      <c r="B361" s="35">
        <f>42/160.21766</f>
        <v>0.26214338669033116</v>
      </c>
      <c r="C361" s="31"/>
      <c r="D361" s="32" t="s">
        <v>0</v>
      </c>
      <c r="E361" s="35">
        <f>40/160.21766</f>
        <v>0.24966036827650587</v>
      </c>
      <c r="F361" s="31"/>
      <c r="G361" s="32" t="s">
        <v>0</v>
      </c>
      <c r="H361" s="35">
        <f>44/160.21766</f>
        <v>0.27462640510415642</v>
      </c>
      <c r="I361" s="31"/>
      <c r="J361" s="31"/>
      <c r="O361" t="s">
        <v>253</v>
      </c>
    </row>
    <row r="362" spans="1:15" x14ac:dyDescent="0.4">
      <c r="A362" s="36" t="s">
        <v>1</v>
      </c>
      <c r="B362" s="35"/>
      <c r="C362" s="31"/>
      <c r="D362" s="36" t="s">
        <v>1</v>
      </c>
      <c r="E362" s="35"/>
      <c r="F362" s="31"/>
      <c r="G362" s="36" t="s">
        <v>1</v>
      </c>
      <c r="H362" s="35">
        <v>2.036</v>
      </c>
      <c r="J362" s="31"/>
    </row>
    <row r="364" spans="1:15" x14ac:dyDescent="0.4">
      <c r="A364" s="32" t="s">
        <v>6</v>
      </c>
      <c r="B364" s="33" t="s">
        <v>134</v>
      </c>
      <c r="C364" s="31"/>
      <c r="D364" s="32" t="s">
        <v>69</v>
      </c>
      <c r="E364" s="33" t="s">
        <v>134</v>
      </c>
      <c r="F364" s="31"/>
      <c r="G364" s="32" t="s">
        <v>67</v>
      </c>
      <c r="H364" s="33" t="s">
        <v>134</v>
      </c>
      <c r="I364" s="31"/>
      <c r="J364" s="31"/>
      <c r="L364" t="s">
        <v>196</v>
      </c>
    </row>
    <row r="365" spans="1:15" x14ac:dyDescent="0.4">
      <c r="A365" s="32" t="s">
        <v>4</v>
      </c>
      <c r="B365" s="30">
        <v>-4.4443999999999999</v>
      </c>
      <c r="C365" s="31"/>
      <c r="D365" s="32" t="s">
        <v>4</v>
      </c>
      <c r="E365" s="30">
        <v>-4.3350999999999997</v>
      </c>
      <c r="F365" s="31"/>
      <c r="G365" s="32" t="s">
        <v>4</v>
      </c>
      <c r="H365" s="30">
        <v>-4.4722</v>
      </c>
      <c r="I365" s="32" t="s">
        <v>2</v>
      </c>
      <c r="J365" s="35">
        <v>3.5630000000000002</v>
      </c>
      <c r="L365" t="s">
        <v>197</v>
      </c>
    </row>
    <row r="366" spans="1:15" x14ac:dyDescent="0.4">
      <c r="A366" s="32" t="s">
        <v>5</v>
      </c>
      <c r="B366" s="34">
        <v>30.01</v>
      </c>
      <c r="C366" s="31"/>
      <c r="D366" s="32" t="s">
        <v>5</v>
      </c>
      <c r="E366" s="35">
        <v>30.603999999999999</v>
      </c>
      <c r="F366" s="31"/>
      <c r="G366" s="32" t="s">
        <v>5</v>
      </c>
      <c r="H366" s="1">
        <v>30.3</v>
      </c>
      <c r="I366" s="32" t="s">
        <v>141</v>
      </c>
      <c r="J366" s="35">
        <v>5.5129999999999999</v>
      </c>
    </row>
    <row r="367" spans="1:15" x14ac:dyDescent="0.4">
      <c r="A367" s="32" t="s">
        <v>0</v>
      </c>
      <c r="B367" s="35"/>
      <c r="C367" s="31"/>
      <c r="D367" s="32" t="s">
        <v>0</v>
      </c>
      <c r="E367" s="35"/>
      <c r="F367" s="31"/>
      <c r="G367" s="32" t="s">
        <v>0</v>
      </c>
      <c r="H367" s="35">
        <f>46/160.21766</f>
        <v>0.28710942351798174</v>
      </c>
      <c r="I367" s="31"/>
      <c r="J367" s="31"/>
      <c r="O367" t="s">
        <v>254</v>
      </c>
    </row>
    <row r="368" spans="1:15" x14ac:dyDescent="0.4">
      <c r="A368" s="36" t="s">
        <v>1</v>
      </c>
      <c r="B368" s="35"/>
      <c r="C368" s="31"/>
      <c r="D368" s="36" t="s">
        <v>1</v>
      </c>
      <c r="E368" s="35"/>
      <c r="F368" s="31"/>
      <c r="G368" s="36" t="s">
        <v>1</v>
      </c>
      <c r="H368" s="35"/>
      <c r="J368" s="31"/>
    </row>
    <row r="370" spans="1:15" x14ac:dyDescent="0.4">
      <c r="A370" s="32" t="s">
        <v>6</v>
      </c>
      <c r="B370" s="33" t="s">
        <v>46</v>
      </c>
      <c r="C370" s="31"/>
      <c r="D370" s="32" t="s">
        <v>69</v>
      </c>
      <c r="E370" s="33" t="s">
        <v>46</v>
      </c>
      <c r="F370" s="31"/>
      <c r="G370" s="32" t="s">
        <v>67</v>
      </c>
      <c r="H370" s="33" t="s">
        <v>46</v>
      </c>
      <c r="I370" s="31"/>
      <c r="J370" s="31"/>
      <c r="L370" t="s">
        <v>198</v>
      </c>
    </row>
    <row r="371" spans="1:15" x14ac:dyDescent="0.4">
      <c r="A371" s="32" t="s">
        <v>4</v>
      </c>
      <c r="B371" s="30">
        <v>-1.5367999999999999</v>
      </c>
      <c r="C371" s="31"/>
      <c r="D371" s="32" t="s">
        <v>4</v>
      </c>
      <c r="E371" s="30">
        <v>-1.5224</v>
      </c>
      <c r="F371" s="31"/>
      <c r="G371" s="32" t="s">
        <v>4</v>
      </c>
      <c r="H371" s="30">
        <v>-1.5259</v>
      </c>
      <c r="I371" s="32" t="s">
        <v>2</v>
      </c>
      <c r="J371" s="35">
        <v>3.8530000000000002</v>
      </c>
      <c r="L371" t="s">
        <v>199</v>
      </c>
    </row>
    <row r="372" spans="1:15" x14ac:dyDescent="0.4">
      <c r="A372" s="32" t="s">
        <v>5</v>
      </c>
      <c r="B372" s="34">
        <v>40.453000000000003</v>
      </c>
      <c r="C372" s="31"/>
      <c r="D372" s="32" t="s">
        <v>5</v>
      </c>
      <c r="E372" s="35">
        <v>39.835999999999999</v>
      </c>
      <c r="F372" s="31"/>
      <c r="G372" s="32" t="s">
        <v>5</v>
      </c>
      <c r="H372" s="1">
        <v>40.991</v>
      </c>
      <c r="I372" s="32" t="s">
        <v>141</v>
      </c>
      <c r="J372" s="35">
        <v>6.3769999999999998</v>
      </c>
    </row>
    <row r="373" spans="1:15" x14ac:dyDescent="0.4">
      <c r="A373" s="32" t="s">
        <v>0</v>
      </c>
      <c r="B373" s="35">
        <f>15/160.21766</f>
        <v>9.362263810368969E-2</v>
      </c>
      <c r="C373" s="31"/>
      <c r="D373" s="32" t="s">
        <v>0</v>
      </c>
      <c r="E373" s="35">
        <f>15/160.21766</f>
        <v>9.362263810368969E-2</v>
      </c>
      <c r="F373" s="31"/>
      <c r="G373" s="32" t="s">
        <v>0</v>
      </c>
      <c r="H373" s="35">
        <f>15/160.21766</f>
        <v>9.362263810368969E-2</v>
      </c>
      <c r="I373" s="31"/>
      <c r="J373" s="31"/>
      <c r="O373" t="s">
        <v>255</v>
      </c>
    </row>
    <row r="374" spans="1:15" x14ac:dyDescent="0.4">
      <c r="A374" s="36" t="s">
        <v>1</v>
      </c>
      <c r="B374" s="35"/>
      <c r="C374" s="31"/>
      <c r="D374" s="36" t="s">
        <v>1</v>
      </c>
      <c r="E374" s="35"/>
      <c r="F374" s="31"/>
      <c r="G374" s="36" t="s">
        <v>1</v>
      </c>
      <c r="H374" s="35"/>
      <c r="J374" s="31"/>
    </row>
    <row r="376" spans="1:15" x14ac:dyDescent="0.4">
      <c r="A376" s="32" t="s">
        <v>6</v>
      </c>
      <c r="B376" s="33" t="s">
        <v>107</v>
      </c>
      <c r="C376" s="31"/>
      <c r="D376" s="32" t="s">
        <v>69</v>
      </c>
      <c r="E376" s="33" t="s">
        <v>107</v>
      </c>
      <c r="F376" s="31"/>
      <c r="G376" s="32" t="s">
        <v>67</v>
      </c>
      <c r="H376" s="33" t="s">
        <v>107</v>
      </c>
      <c r="I376" s="31"/>
      <c r="J376" s="31"/>
    </row>
    <row r="377" spans="1:15" x14ac:dyDescent="0.4">
      <c r="A377" s="32" t="s">
        <v>4</v>
      </c>
      <c r="B377" s="30">
        <v>-4.3838999999999997</v>
      </c>
      <c r="C377" s="31"/>
      <c r="D377" s="32" t="s">
        <v>4</v>
      </c>
      <c r="E377" s="30">
        <v>-4.3888999999999996</v>
      </c>
      <c r="F377" s="31"/>
      <c r="G377" s="32" t="s">
        <v>4</v>
      </c>
      <c r="H377" s="30">
        <v>-4.5209999999999999</v>
      </c>
      <c r="I377" s="32" t="s">
        <v>2</v>
      </c>
      <c r="J377" s="35">
        <v>3.5249999999999999</v>
      </c>
    </row>
    <row r="378" spans="1:15" x14ac:dyDescent="0.4">
      <c r="A378" s="32" t="s">
        <v>5</v>
      </c>
      <c r="B378" s="34">
        <v>28.928721654250005</v>
      </c>
      <c r="C378" s="31"/>
      <c r="D378" s="32" t="s">
        <v>5</v>
      </c>
      <c r="E378" s="35">
        <v>29.852</v>
      </c>
      <c r="F378" s="31"/>
      <c r="G378" s="32" t="s">
        <v>5</v>
      </c>
      <c r="H378" s="1">
        <v>29.4315</v>
      </c>
      <c r="I378" s="32" t="s">
        <v>141</v>
      </c>
      <c r="J378" s="35">
        <v>5.4710000000000001</v>
      </c>
    </row>
    <row r="379" spans="1:15" x14ac:dyDescent="0.4">
      <c r="A379" s="32" t="s">
        <v>0</v>
      </c>
      <c r="B379" s="35">
        <v>0.28299999999999997</v>
      </c>
      <c r="C379" s="31"/>
      <c r="D379" s="32" t="s">
        <v>0</v>
      </c>
      <c r="E379" s="35">
        <v>0.28299999999999997</v>
      </c>
      <c r="F379" s="31"/>
      <c r="G379" s="32" t="s">
        <v>0</v>
      </c>
      <c r="H379" s="35">
        <v>0.28299999999999997</v>
      </c>
      <c r="I379" s="31"/>
      <c r="J379" s="31"/>
    </row>
    <row r="380" spans="1:15" x14ac:dyDescent="0.4">
      <c r="A380" s="36" t="s">
        <v>1</v>
      </c>
      <c r="B380" s="1">
        <v>2.2629999999999999</v>
      </c>
      <c r="C380" s="31"/>
      <c r="D380" s="36" t="s">
        <v>1</v>
      </c>
      <c r="E380" s="1">
        <v>2.2629999999999999</v>
      </c>
      <c r="F380" s="31"/>
      <c r="G380" s="36" t="s">
        <v>1</v>
      </c>
      <c r="H380" s="1">
        <v>2.2629999999999999</v>
      </c>
      <c r="J380" s="31"/>
    </row>
    <row r="382" spans="1:15" x14ac:dyDescent="0.4">
      <c r="A382" s="32" t="s">
        <v>6</v>
      </c>
      <c r="B382" s="33" t="s">
        <v>47</v>
      </c>
      <c r="C382" s="31"/>
      <c r="D382" s="32" t="s">
        <v>69</v>
      </c>
      <c r="E382" s="33" t="s">
        <v>47</v>
      </c>
      <c r="F382" s="31"/>
      <c r="G382" s="32" t="s">
        <v>67</v>
      </c>
      <c r="H382" s="33" t="s">
        <v>47</v>
      </c>
      <c r="I382" s="31"/>
      <c r="J382" s="31"/>
    </row>
    <row r="383" spans="1:15" x14ac:dyDescent="0.4">
      <c r="A383" s="32" t="s">
        <v>4</v>
      </c>
      <c r="B383" s="30">
        <v>-9.8841000000000001</v>
      </c>
      <c r="C383" s="31"/>
      <c r="D383" s="32" t="s">
        <v>4</v>
      </c>
      <c r="E383" s="30">
        <v>-9.7779000000000007</v>
      </c>
      <c r="F383" s="31"/>
      <c r="G383" s="32" t="s">
        <v>4</v>
      </c>
      <c r="H383" s="30">
        <v>-9.9572000000000003</v>
      </c>
      <c r="I383" s="32" t="s">
        <v>2</v>
      </c>
      <c r="J383" s="35">
        <v>3.198</v>
      </c>
    </row>
    <row r="384" spans="1:15" x14ac:dyDescent="0.4">
      <c r="A384" s="32" t="s">
        <v>5</v>
      </c>
      <c r="B384" s="34">
        <v>22.501000000000001</v>
      </c>
      <c r="C384" s="31"/>
      <c r="D384" s="32" t="s">
        <v>5</v>
      </c>
      <c r="E384" s="35">
        <v>22.212</v>
      </c>
      <c r="F384" s="31"/>
      <c r="G384" s="32" t="s">
        <v>5</v>
      </c>
      <c r="H384" s="1">
        <v>22.482500000000002</v>
      </c>
      <c r="I384" s="32" t="s">
        <v>141</v>
      </c>
      <c r="J384" s="35">
        <v>5.0750000000000002</v>
      </c>
    </row>
    <row r="385" spans="1:15" x14ac:dyDescent="0.4">
      <c r="A385" s="32" t="s">
        <v>0</v>
      </c>
      <c r="B385" s="35">
        <f>101/160.21766</f>
        <v>0.63039242989817723</v>
      </c>
      <c r="C385" s="31"/>
      <c r="D385" s="32" t="s">
        <v>0</v>
      </c>
      <c r="E385" s="35"/>
      <c r="F385" s="31"/>
      <c r="G385" s="32" t="s">
        <v>0</v>
      </c>
      <c r="H385" s="35">
        <f>108/160.21766</f>
        <v>0.67408299434656582</v>
      </c>
      <c r="I385" s="31"/>
      <c r="J385" s="31"/>
      <c r="O385" t="s">
        <v>256</v>
      </c>
    </row>
    <row r="386" spans="1:15" x14ac:dyDescent="0.4">
      <c r="A386" s="36" t="s">
        <v>1</v>
      </c>
      <c r="B386" s="1"/>
      <c r="C386" s="31"/>
      <c r="D386" s="36" t="s">
        <v>1</v>
      </c>
      <c r="E386" s="1"/>
      <c r="F386" s="31"/>
      <c r="G386" s="36" t="s">
        <v>1</v>
      </c>
      <c r="H386" s="1">
        <v>2.3410000000000002</v>
      </c>
      <c r="J386" s="31"/>
    </row>
    <row r="388" spans="1:15" x14ac:dyDescent="0.4">
      <c r="A388" s="32" t="s">
        <v>6</v>
      </c>
      <c r="B388" s="33" t="s">
        <v>48</v>
      </c>
      <c r="C388" s="31"/>
      <c r="D388" s="32" t="s">
        <v>69</v>
      </c>
      <c r="E388" s="33" t="s">
        <v>48</v>
      </c>
      <c r="F388" s="31"/>
      <c r="G388" s="32" t="s">
        <v>67</v>
      </c>
      <c r="H388" s="33" t="s">
        <v>48</v>
      </c>
      <c r="I388" s="31"/>
      <c r="J388" s="31"/>
    </row>
    <row r="389" spans="1:15" x14ac:dyDescent="0.4">
      <c r="A389" s="32" t="s">
        <v>4</v>
      </c>
      <c r="B389" s="30">
        <v>-11.6129</v>
      </c>
      <c r="C389" s="31"/>
      <c r="D389" s="32" t="s">
        <v>4</v>
      </c>
      <c r="E389" s="30">
        <v>-11.857799999999999</v>
      </c>
      <c r="F389" s="31"/>
      <c r="G389" s="32" t="s">
        <v>4</v>
      </c>
      <c r="H389" s="30">
        <v>-11.4579</v>
      </c>
      <c r="I389" s="32" t="s">
        <v>2</v>
      </c>
      <c r="J389" s="1">
        <v>2.8980000000000001</v>
      </c>
    </row>
    <row r="390" spans="1:15" x14ac:dyDescent="0.4">
      <c r="A390" s="32" t="s">
        <v>5</v>
      </c>
      <c r="B390" s="34">
        <v>18.88</v>
      </c>
      <c r="C390" s="31"/>
      <c r="D390" s="32" t="s">
        <v>5</v>
      </c>
      <c r="E390" s="34">
        <v>18.335000000000001</v>
      </c>
      <c r="F390" s="31"/>
      <c r="G390" s="32" t="s">
        <v>5</v>
      </c>
      <c r="H390" s="1">
        <v>18.75926341498381</v>
      </c>
      <c r="I390" s="32" t="s">
        <v>141</v>
      </c>
      <c r="J390" s="35">
        <v>5.1584400000000006</v>
      </c>
    </row>
    <row r="391" spans="1:15" x14ac:dyDescent="0.4">
      <c r="A391" s="32" t="s">
        <v>0</v>
      </c>
      <c r="B391" s="35">
        <f>194/160.21766</f>
        <v>1.2108527861410534</v>
      </c>
      <c r="C391" s="31"/>
      <c r="D391" s="32" t="s">
        <v>0</v>
      </c>
      <c r="E391" s="35">
        <f>194/160.21766</f>
        <v>1.2108527861410534</v>
      </c>
      <c r="F391" s="31"/>
      <c r="G391" s="32" t="s">
        <v>0</v>
      </c>
      <c r="H391" s="35"/>
      <c r="I391" s="33" t="s">
        <v>140</v>
      </c>
      <c r="J391" s="1">
        <v>1.78</v>
      </c>
      <c r="O391" t="s">
        <v>257</v>
      </c>
    </row>
    <row r="392" spans="1:15" x14ac:dyDescent="0.4">
      <c r="A392" s="36" t="s">
        <v>1</v>
      </c>
      <c r="B392" s="1"/>
      <c r="C392" s="31"/>
      <c r="D392" s="36" t="s">
        <v>1</v>
      </c>
      <c r="E392" s="1">
        <v>2.6859999999999999</v>
      </c>
      <c r="F392" s="31"/>
      <c r="G392" s="36" t="s">
        <v>1</v>
      </c>
      <c r="H392" s="1"/>
      <c r="J392" s="31"/>
    </row>
    <row r="394" spans="1:15" x14ac:dyDescent="0.4">
      <c r="A394" s="32" t="s">
        <v>6</v>
      </c>
      <c r="B394" s="33" t="s">
        <v>49</v>
      </c>
      <c r="C394" s="31"/>
      <c r="D394" s="32" t="s">
        <v>69</v>
      </c>
      <c r="E394" s="33" t="s">
        <v>49</v>
      </c>
      <c r="F394" s="31"/>
      <c r="G394" s="32" t="s">
        <v>67</v>
      </c>
      <c r="H394" s="33" t="s">
        <v>49</v>
      </c>
      <c r="I394" s="31"/>
      <c r="J394" s="31"/>
    </row>
    <row r="395" spans="1:15" x14ac:dyDescent="0.4">
      <c r="A395" s="32" t="s">
        <v>4</v>
      </c>
      <c r="B395" s="30">
        <v>-12.486700000000001</v>
      </c>
      <c r="C395" s="31"/>
      <c r="D395" s="32" t="s">
        <v>4</v>
      </c>
      <c r="E395" s="30">
        <v>-12.9581</v>
      </c>
      <c r="F395" s="31"/>
      <c r="G395" s="32" t="s">
        <v>4</v>
      </c>
      <c r="H395" s="30">
        <v>-12.2928</v>
      </c>
      <c r="I395" s="32" t="s">
        <v>2</v>
      </c>
      <c r="J395" s="1">
        <v>2.7810000000000001</v>
      </c>
    </row>
    <row r="396" spans="1:15" x14ac:dyDescent="0.4">
      <c r="A396" s="32" t="s">
        <v>5</v>
      </c>
      <c r="B396" s="34">
        <v>16.524999999999999</v>
      </c>
      <c r="C396" s="31"/>
      <c r="D396" s="32" t="s">
        <v>5</v>
      </c>
      <c r="E396" s="34">
        <v>16.190999999999999</v>
      </c>
      <c r="F396" s="31"/>
      <c r="G396" s="32" t="s">
        <v>5</v>
      </c>
      <c r="H396" s="1">
        <v>16.605614280491299</v>
      </c>
      <c r="I396" s="32" t="s">
        <v>141</v>
      </c>
      <c r="J396" s="35">
        <v>4.9585230000000005</v>
      </c>
    </row>
    <row r="397" spans="1:15" x14ac:dyDescent="0.4">
      <c r="A397" s="32" t="s">
        <v>0</v>
      </c>
      <c r="B397" s="35">
        <f>283/160.21766</f>
        <v>1.7663471055562789</v>
      </c>
      <c r="C397" s="31"/>
      <c r="D397" s="32" t="s">
        <v>0</v>
      </c>
      <c r="E397" s="35">
        <f>304/160.21766</f>
        <v>1.8974187989014446</v>
      </c>
      <c r="F397" s="31"/>
      <c r="G397" s="32" t="s">
        <v>0</v>
      </c>
      <c r="H397" s="35"/>
      <c r="I397" s="33" t="s">
        <v>140</v>
      </c>
      <c r="J397" s="1">
        <v>1.7829999999999999</v>
      </c>
      <c r="O397" t="s">
        <v>258</v>
      </c>
    </row>
    <row r="398" spans="1:15" x14ac:dyDescent="0.4">
      <c r="A398" s="36" t="s">
        <v>1</v>
      </c>
      <c r="B398" s="1"/>
      <c r="C398" s="31"/>
      <c r="D398" s="36" t="s">
        <v>1</v>
      </c>
      <c r="E398" s="1">
        <v>3.11</v>
      </c>
      <c r="F398" s="31"/>
      <c r="G398" s="36" t="s">
        <v>1</v>
      </c>
      <c r="H398" s="1"/>
      <c r="J398" s="31"/>
    </row>
    <row r="400" spans="1:15" x14ac:dyDescent="0.4">
      <c r="A400" s="32" t="s">
        <v>6</v>
      </c>
      <c r="B400" s="33" t="s">
        <v>50</v>
      </c>
      <c r="C400" s="31"/>
      <c r="D400" s="32" t="s">
        <v>69</v>
      </c>
      <c r="E400" s="33" t="s">
        <v>183</v>
      </c>
      <c r="F400" s="31"/>
      <c r="G400" s="32" t="s">
        <v>67</v>
      </c>
      <c r="H400" s="33" t="s">
        <v>50</v>
      </c>
      <c r="I400" s="31"/>
      <c r="J400" s="31"/>
    </row>
    <row r="401" spans="1:15" x14ac:dyDescent="0.4">
      <c r="A401" s="32" t="s">
        <v>4</v>
      </c>
      <c r="B401" s="30">
        <v>-12.3818</v>
      </c>
      <c r="C401" s="31"/>
      <c r="D401" s="32" t="s">
        <v>4</v>
      </c>
      <c r="E401" s="30">
        <v>-11.9107</v>
      </c>
      <c r="F401" s="31"/>
      <c r="G401" s="32" t="s">
        <v>4</v>
      </c>
      <c r="H401" s="30">
        <v>-12.4445</v>
      </c>
      <c r="I401" s="32" t="s">
        <v>2</v>
      </c>
      <c r="J401" s="35">
        <v>2.7810000000000001</v>
      </c>
    </row>
    <row r="402" spans="1:15" x14ac:dyDescent="0.4">
      <c r="A402" s="32" t="s">
        <v>5</v>
      </c>
      <c r="B402" s="34">
        <v>15.116</v>
      </c>
      <c r="C402" s="31"/>
      <c r="D402" s="32" t="s">
        <v>5</v>
      </c>
      <c r="E402" s="34">
        <v>15.2587890625</v>
      </c>
      <c r="F402" s="31"/>
      <c r="G402" s="32" t="s">
        <v>5</v>
      </c>
      <c r="H402" s="1">
        <v>15.061</v>
      </c>
      <c r="I402" s="32" t="s">
        <v>141</v>
      </c>
      <c r="J402" s="35">
        <v>4.4969999999999999</v>
      </c>
    </row>
    <row r="403" spans="1:15" x14ac:dyDescent="0.4">
      <c r="A403" s="32" t="s">
        <v>0</v>
      </c>
      <c r="B403" s="35">
        <f>363/160.21766</f>
        <v>2.2656678421092908</v>
      </c>
      <c r="C403" s="31"/>
      <c r="D403" s="32" t="s">
        <v>0</v>
      </c>
      <c r="E403" s="35"/>
      <c r="F403" s="31"/>
      <c r="G403" s="32" t="s">
        <v>0</v>
      </c>
      <c r="H403" s="35">
        <f>365/160.21766</f>
        <v>2.278150860523116</v>
      </c>
      <c r="I403" s="31"/>
      <c r="J403" s="31"/>
      <c r="O403" t="s">
        <v>259</v>
      </c>
    </row>
    <row r="404" spans="1:15" x14ac:dyDescent="0.4">
      <c r="A404" s="36" t="s">
        <v>1</v>
      </c>
      <c r="B404" s="1"/>
      <c r="C404" s="31"/>
      <c r="D404" s="36" t="s">
        <v>1</v>
      </c>
      <c r="E404" s="1"/>
      <c r="F404" s="31"/>
      <c r="G404" s="36" t="s">
        <v>1</v>
      </c>
      <c r="H404" s="1">
        <v>3.359</v>
      </c>
      <c r="J404" s="31"/>
    </row>
    <row r="406" spans="1:15" x14ac:dyDescent="0.4">
      <c r="A406" s="32" t="s">
        <v>6</v>
      </c>
      <c r="B406" s="33" t="s">
        <v>108</v>
      </c>
      <c r="C406" s="31"/>
      <c r="D406" s="32" t="s">
        <v>69</v>
      </c>
      <c r="E406" s="33" t="s">
        <v>184</v>
      </c>
      <c r="F406" s="31"/>
      <c r="G406" s="32" t="s">
        <v>67</v>
      </c>
      <c r="H406" s="33" t="s">
        <v>108</v>
      </c>
      <c r="I406" s="31"/>
      <c r="J406" s="31"/>
    </row>
    <row r="407" spans="1:15" x14ac:dyDescent="0.4">
      <c r="A407" s="32" t="s">
        <v>4</v>
      </c>
      <c r="B407" s="30">
        <v>-11.093999999999999</v>
      </c>
      <c r="C407" s="31"/>
      <c r="D407" s="32" t="s">
        <v>4</v>
      </c>
      <c r="E407" s="30">
        <v>-10.244</v>
      </c>
      <c r="F407" s="31"/>
      <c r="G407" s="32" t="s">
        <v>4</v>
      </c>
      <c r="H407" s="30">
        <v>-11.2273</v>
      </c>
      <c r="I407" s="32" t="s">
        <v>2</v>
      </c>
      <c r="J407" s="35">
        <v>2.7589999999999999</v>
      </c>
    </row>
    <row r="408" spans="1:15" x14ac:dyDescent="0.4">
      <c r="A408" s="32" t="s">
        <v>5</v>
      </c>
      <c r="B408" s="34">
        <v>14.417</v>
      </c>
      <c r="C408" s="31"/>
      <c r="D408" s="32" t="s">
        <v>5</v>
      </c>
      <c r="E408" s="34">
        <v>14.881089649500002</v>
      </c>
      <c r="F408" s="31"/>
      <c r="G408" s="32" t="s">
        <v>5</v>
      </c>
      <c r="H408" s="1">
        <v>14.355499999999999</v>
      </c>
      <c r="I408" s="32" t="s">
        <v>141</v>
      </c>
      <c r="J408" s="35">
        <v>4.3570000000000002</v>
      </c>
    </row>
    <row r="409" spans="1:15" x14ac:dyDescent="0.4">
      <c r="A409" s="32" t="s">
        <v>0</v>
      </c>
      <c r="B409" s="35">
        <f>408/160.21766</f>
        <v>2.5465357564203597</v>
      </c>
      <c r="C409" s="31"/>
      <c r="D409" s="32" t="s">
        <v>0</v>
      </c>
      <c r="E409" s="35"/>
      <c r="F409" s="31"/>
      <c r="G409" s="32" t="s">
        <v>0</v>
      </c>
      <c r="H409" s="35">
        <f>402/160.21766</f>
        <v>2.5090867011788838</v>
      </c>
      <c r="I409" s="31"/>
      <c r="J409" s="31"/>
      <c r="O409" t="s">
        <v>260</v>
      </c>
    </row>
    <row r="410" spans="1:15" x14ac:dyDescent="0.4">
      <c r="A410" s="36" t="s">
        <v>1</v>
      </c>
      <c r="B410" s="1"/>
      <c r="C410" s="31"/>
      <c r="D410" s="36" t="s">
        <v>1</v>
      </c>
      <c r="E410" s="1"/>
      <c r="F410" s="31"/>
      <c r="G410" s="36" t="s">
        <v>1</v>
      </c>
      <c r="H410" s="1">
        <v>3.6960000000000002</v>
      </c>
      <c r="J410" s="31"/>
    </row>
    <row r="412" spans="1:15" x14ac:dyDescent="0.4">
      <c r="A412" s="32" t="s">
        <v>6</v>
      </c>
      <c r="B412" s="33" t="s">
        <v>51</v>
      </c>
      <c r="C412" s="31"/>
      <c r="D412" s="32" t="s">
        <v>69</v>
      </c>
      <c r="E412" s="33" t="s">
        <v>185</v>
      </c>
      <c r="F412" s="31"/>
      <c r="G412" s="32" t="s">
        <v>67</v>
      </c>
      <c r="H412" s="33" t="s">
        <v>185</v>
      </c>
      <c r="I412" s="31"/>
      <c r="J412" s="31"/>
    </row>
    <row r="413" spans="1:15" x14ac:dyDescent="0.4">
      <c r="A413" s="32" t="s">
        <v>4</v>
      </c>
      <c r="B413" s="30">
        <v>-8.8384</v>
      </c>
      <c r="C413" s="31"/>
      <c r="D413" s="32" t="s">
        <v>4</v>
      </c>
      <c r="E413" s="30">
        <v>-8.1765000000000008</v>
      </c>
      <c r="F413" s="31"/>
      <c r="G413" s="32" t="s">
        <v>4</v>
      </c>
      <c r="H413" s="30">
        <v>-8.7241</v>
      </c>
      <c r="I413" s="32" t="s">
        <v>2</v>
      </c>
      <c r="J413" s="1">
        <v>2.7530000000000001</v>
      </c>
    </row>
    <row r="414" spans="1:15" x14ac:dyDescent="0.4">
      <c r="A414" s="32" t="s">
        <v>5</v>
      </c>
      <c r="B414" s="34">
        <v>14.555</v>
      </c>
      <c r="C414" s="31"/>
      <c r="D414" s="32" t="s">
        <v>5</v>
      </c>
      <c r="E414" s="34">
        <v>15.185664000000001</v>
      </c>
      <c r="F414" s="31"/>
      <c r="G414" s="32" t="s">
        <v>5</v>
      </c>
      <c r="H414" s="1">
        <v>14.654470132055399</v>
      </c>
      <c r="I414" s="32" t="s">
        <v>141</v>
      </c>
      <c r="J414" s="35">
        <v>4.4653660000000004</v>
      </c>
    </row>
    <row r="415" spans="1:15" x14ac:dyDescent="0.4">
      <c r="A415" s="32" t="s">
        <v>0</v>
      </c>
      <c r="B415" s="35">
        <f>346/160.21766</f>
        <v>2.1595621855917755</v>
      </c>
      <c r="C415" s="31"/>
      <c r="D415" s="32" t="s">
        <v>0</v>
      </c>
      <c r="E415" s="35"/>
      <c r="F415" s="31"/>
      <c r="G415" s="32" t="s">
        <v>0</v>
      </c>
      <c r="H415" s="35"/>
      <c r="I415" s="33" t="s">
        <v>140</v>
      </c>
      <c r="J415" s="1">
        <v>1.6220000000000001</v>
      </c>
      <c r="O415" t="s">
        <v>261</v>
      </c>
    </row>
    <row r="416" spans="1:15" x14ac:dyDescent="0.4">
      <c r="A416" s="36" t="s">
        <v>1</v>
      </c>
      <c r="B416" s="1">
        <v>3.883</v>
      </c>
      <c r="C416" s="31"/>
      <c r="D416" s="36" t="s">
        <v>1</v>
      </c>
      <c r="E416" s="1"/>
      <c r="F416" s="31"/>
      <c r="G416" s="36" t="s">
        <v>1</v>
      </c>
      <c r="H416" s="1"/>
      <c r="J416" s="31"/>
    </row>
    <row r="418" spans="1:15" x14ac:dyDescent="0.4">
      <c r="A418" s="32" t="s">
        <v>6</v>
      </c>
      <c r="B418" s="33" t="s">
        <v>52</v>
      </c>
      <c r="C418" s="31"/>
      <c r="D418" s="32" t="s">
        <v>69</v>
      </c>
      <c r="E418" s="33" t="s">
        <v>186</v>
      </c>
      <c r="F418" s="31"/>
      <c r="G418" s="32" t="s">
        <v>67</v>
      </c>
      <c r="H418" s="33" t="s">
        <v>186</v>
      </c>
      <c r="I418" s="31"/>
      <c r="J418" s="31"/>
    </row>
    <row r="419" spans="1:15" x14ac:dyDescent="0.4">
      <c r="A419" s="32" t="s">
        <v>4</v>
      </c>
      <c r="B419" s="30">
        <v>-6.0709</v>
      </c>
      <c r="C419" s="31"/>
      <c r="D419" s="32" t="s">
        <v>4</v>
      </c>
      <c r="E419" s="30">
        <v>-5.9637000000000002</v>
      </c>
      <c r="F419" s="31"/>
      <c r="G419" s="32" t="s">
        <v>4</v>
      </c>
      <c r="H419" s="30">
        <v>-5.9931000000000001</v>
      </c>
      <c r="I419" s="32" t="s">
        <v>2</v>
      </c>
      <c r="J419" s="1">
        <v>2.7690000000000001</v>
      </c>
    </row>
    <row r="420" spans="1:15" x14ac:dyDescent="0.4">
      <c r="A420" s="32" t="s">
        <v>5</v>
      </c>
      <c r="B420" s="34">
        <v>15.723000000000001</v>
      </c>
      <c r="C420" s="31"/>
      <c r="D420" s="32" t="s">
        <v>5</v>
      </c>
      <c r="E420" s="34">
        <v>16.002992187499999</v>
      </c>
      <c r="F420" s="31"/>
      <c r="G420" s="32" t="s">
        <v>5</v>
      </c>
      <c r="H420" s="1">
        <v>15.941111387927066</v>
      </c>
      <c r="I420" s="32" t="s">
        <v>141</v>
      </c>
      <c r="J420" s="35">
        <v>4.8014460000000003</v>
      </c>
    </row>
    <row r="421" spans="1:15" x14ac:dyDescent="0.4">
      <c r="A421" s="32" t="s">
        <v>0</v>
      </c>
      <c r="B421" s="35">
        <f>247/160.21766</f>
        <v>1.5416527741074237</v>
      </c>
      <c r="C421" s="31"/>
      <c r="D421" s="32" t="s">
        <v>0</v>
      </c>
      <c r="E421" s="35"/>
      <c r="F421" s="31"/>
      <c r="G421" s="32" t="s">
        <v>0</v>
      </c>
      <c r="H421" s="35"/>
      <c r="I421" s="33" t="s">
        <v>140</v>
      </c>
      <c r="J421" s="1">
        <v>1.734</v>
      </c>
      <c r="O421" t="s">
        <v>262</v>
      </c>
    </row>
    <row r="422" spans="1:15" x14ac:dyDescent="0.4">
      <c r="A422" s="36" t="s">
        <v>1</v>
      </c>
      <c r="B422" s="1">
        <v>4.2439999999999998</v>
      </c>
      <c r="C422" s="31"/>
      <c r="D422" s="36" t="s">
        <v>1</v>
      </c>
      <c r="E422" s="1"/>
      <c r="F422" s="31"/>
      <c r="G422" s="36" t="s">
        <v>1</v>
      </c>
      <c r="H422" s="1"/>
      <c r="J422" s="31"/>
    </row>
    <row r="424" spans="1:15" x14ac:dyDescent="0.4">
      <c r="A424" s="32" t="s">
        <v>6</v>
      </c>
      <c r="B424" s="33" t="s">
        <v>53</v>
      </c>
      <c r="C424" s="31"/>
      <c r="D424" s="32" t="s">
        <v>69</v>
      </c>
      <c r="E424" s="33" t="s">
        <v>187</v>
      </c>
      <c r="F424" s="31"/>
      <c r="G424" s="32" t="s">
        <v>67</v>
      </c>
      <c r="H424" s="33" t="s">
        <v>53</v>
      </c>
      <c r="I424" s="31"/>
      <c r="J424" s="31"/>
      <c r="L424" t="s">
        <v>188</v>
      </c>
    </row>
    <row r="425" spans="1:15" x14ac:dyDescent="0.4">
      <c r="A425" s="32" t="s">
        <v>4</v>
      </c>
      <c r="B425" s="30">
        <v>-3.2738999999999998</v>
      </c>
      <c r="C425" s="31"/>
      <c r="D425" s="32" t="s">
        <v>4</v>
      </c>
      <c r="E425" s="30">
        <v>-3.1829000000000001</v>
      </c>
      <c r="F425" s="31"/>
      <c r="G425" s="32" t="s">
        <v>4</v>
      </c>
      <c r="H425">
        <v>-3.2044999999999999</v>
      </c>
      <c r="I425" s="32" t="s">
        <v>2</v>
      </c>
      <c r="J425" s="35">
        <v>2.952</v>
      </c>
    </row>
    <row r="426" spans="1:15" x14ac:dyDescent="0.4">
      <c r="A426" s="32" t="s">
        <v>5</v>
      </c>
      <c r="B426" s="34">
        <v>18.145</v>
      </c>
      <c r="C426" s="31"/>
      <c r="D426" s="32" t="s">
        <v>5</v>
      </c>
      <c r="E426" s="34">
        <v>18.280655379499997</v>
      </c>
      <c r="F426" s="31"/>
      <c r="G426" s="32" t="s">
        <v>5</v>
      </c>
      <c r="H426" s="1">
        <v>18.433080103933598</v>
      </c>
      <c r="I426" s="32" t="s">
        <v>141</v>
      </c>
      <c r="J426" s="35">
        <v>4.8849999999999998</v>
      </c>
    </row>
    <row r="427" spans="1:15" x14ac:dyDescent="0.4">
      <c r="A427" s="32" t="s">
        <v>0</v>
      </c>
      <c r="B427" s="35">
        <f>137/160.21766</f>
        <v>0.85508676134703254</v>
      </c>
      <c r="C427" s="31"/>
      <c r="D427" s="32" t="s">
        <v>0</v>
      </c>
      <c r="E427" s="35"/>
      <c r="F427" s="31"/>
      <c r="G427" s="32" t="s">
        <v>0</v>
      </c>
      <c r="H427" s="35"/>
      <c r="I427" s="33" t="s">
        <v>140</v>
      </c>
      <c r="J427" s="33">
        <f>J426/J425</f>
        <v>1.6548102981029811</v>
      </c>
      <c r="O427" t="s">
        <v>263</v>
      </c>
    </row>
    <row r="428" spans="1:15" x14ac:dyDescent="0.4">
      <c r="A428" s="36" t="s">
        <v>1</v>
      </c>
      <c r="B428" s="1">
        <v>4.6050000000000004</v>
      </c>
      <c r="C428" s="31"/>
      <c r="D428" s="36" t="s">
        <v>1</v>
      </c>
      <c r="E428" s="1"/>
      <c r="F428" s="31"/>
      <c r="G428" s="36" t="s">
        <v>1</v>
      </c>
      <c r="H428" s="1"/>
      <c r="J428" s="31"/>
    </row>
    <row r="430" spans="1:15" x14ac:dyDescent="0.4">
      <c r="A430" s="32" t="s">
        <v>6</v>
      </c>
      <c r="B430" s="33" t="s">
        <v>145</v>
      </c>
      <c r="C430" s="31"/>
      <c r="D430" s="32" t="s">
        <v>69</v>
      </c>
      <c r="E430" s="33" t="s">
        <v>145</v>
      </c>
      <c r="F430" s="31"/>
      <c r="G430" s="32" t="s">
        <v>67</v>
      </c>
      <c r="H430" s="33" t="s">
        <v>145</v>
      </c>
      <c r="I430" s="31"/>
      <c r="J430" s="31"/>
    </row>
    <row r="431" spans="1:15" x14ac:dyDescent="0.4">
      <c r="A431" s="32" t="s">
        <v>4</v>
      </c>
      <c r="B431" s="30">
        <v>-0.29120000000000001</v>
      </c>
      <c r="C431" s="31"/>
      <c r="D431" s="32" t="s">
        <v>4</v>
      </c>
      <c r="E431" s="30">
        <v>-0.30259999999999998</v>
      </c>
      <c r="F431" s="31"/>
      <c r="G431" s="32" t="s">
        <v>4</v>
      </c>
      <c r="H431" s="30">
        <v>-0.30359999999999998</v>
      </c>
      <c r="I431" s="32" t="s">
        <v>2</v>
      </c>
      <c r="J431" s="35">
        <v>3.58</v>
      </c>
    </row>
    <row r="432" spans="1:15" x14ac:dyDescent="0.4">
      <c r="A432" s="32" t="s">
        <v>5</v>
      </c>
      <c r="B432" s="34">
        <v>32.597000000000001</v>
      </c>
      <c r="C432" s="31"/>
      <c r="D432" s="32" t="s">
        <v>5</v>
      </c>
      <c r="E432" s="34">
        <v>30.373000000000001</v>
      </c>
      <c r="F432" s="31"/>
      <c r="G432" s="32" t="s">
        <v>5</v>
      </c>
      <c r="H432" s="1">
        <v>31.823</v>
      </c>
      <c r="I432" s="32" t="s">
        <v>141</v>
      </c>
      <c r="J432" s="35">
        <v>5.7350000000000003</v>
      </c>
    </row>
    <row r="433" spans="1:15" x14ac:dyDescent="0.4">
      <c r="A433" s="32" t="s">
        <v>0</v>
      </c>
      <c r="B433" s="35">
        <f>7/160.21766</f>
        <v>4.3690564448388522E-2</v>
      </c>
      <c r="C433" s="31"/>
      <c r="D433" s="32" t="s">
        <v>0</v>
      </c>
      <c r="E433" s="35"/>
      <c r="F433" s="31"/>
      <c r="G433" s="32" t="s">
        <v>0</v>
      </c>
      <c r="H433" s="35"/>
      <c r="I433" s="31"/>
      <c r="J433" s="31"/>
      <c r="O433" t="s">
        <v>264</v>
      </c>
    </row>
    <row r="434" spans="1:15" x14ac:dyDescent="0.4">
      <c r="A434" s="36" t="s">
        <v>1</v>
      </c>
      <c r="B434" s="1"/>
      <c r="C434" s="31"/>
      <c r="D434" s="36" t="s">
        <v>1</v>
      </c>
      <c r="E434" s="1"/>
      <c r="F434" s="31"/>
      <c r="G434" s="36" t="s">
        <v>1</v>
      </c>
      <c r="H434" s="1"/>
      <c r="J434" s="31"/>
      <c r="O434" t="s">
        <v>319</v>
      </c>
    </row>
    <row r="436" spans="1:15" x14ac:dyDescent="0.4">
      <c r="A436" s="32" t="s">
        <v>6</v>
      </c>
      <c r="B436" s="33" t="s">
        <v>54</v>
      </c>
      <c r="C436" s="31"/>
      <c r="D436" s="32" t="s">
        <v>69</v>
      </c>
      <c r="E436" s="33" t="s">
        <v>54</v>
      </c>
      <c r="F436" s="31"/>
      <c r="G436" s="32" t="s">
        <v>67</v>
      </c>
      <c r="H436" s="33" t="s">
        <v>54</v>
      </c>
      <c r="I436" s="31"/>
      <c r="J436" s="31"/>
    </row>
    <row r="437" spans="1:15" x14ac:dyDescent="0.4">
      <c r="A437" s="32" t="s">
        <v>4</v>
      </c>
      <c r="B437" s="30">
        <v>-2.3519999999999999</v>
      </c>
      <c r="C437" s="31"/>
      <c r="D437" s="32" t="s">
        <v>4</v>
      </c>
      <c r="E437" s="30">
        <v>-2.3616999999999999</v>
      </c>
      <c r="F437" s="31"/>
      <c r="G437" s="32" t="s">
        <v>4</v>
      </c>
      <c r="H437" s="30">
        <v>-2.3586999999999998</v>
      </c>
      <c r="I437" s="32" t="s">
        <v>2</v>
      </c>
      <c r="J437" s="35">
        <v>3.5489999999999999</v>
      </c>
    </row>
    <row r="438" spans="1:15" x14ac:dyDescent="0.4">
      <c r="A438" s="32" t="s">
        <v>5</v>
      </c>
      <c r="B438" s="34">
        <v>31.123000000000001</v>
      </c>
      <c r="C438" s="31"/>
      <c r="D438" s="32" t="s">
        <v>5</v>
      </c>
      <c r="E438" s="34">
        <v>31.132999999999999</v>
      </c>
      <c r="F438" s="31"/>
      <c r="G438" s="32" t="s">
        <v>5</v>
      </c>
      <c r="H438" s="1">
        <v>31.295999999999999</v>
      </c>
      <c r="I438" s="32" t="s">
        <v>141</v>
      </c>
      <c r="J438" s="35">
        <v>5.7380000000000004</v>
      </c>
    </row>
    <row r="439" spans="1:15" x14ac:dyDescent="0.4">
      <c r="A439" s="32" t="s">
        <v>0</v>
      </c>
      <c r="B439" s="35">
        <f>25/160.21766</f>
        <v>0.15603773017281616</v>
      </c>
      <c r="C439" s="31"/>
      <c r="D439" s="32" t="s">
        <v>0</v>
      </c>
      <c r="E439" s="35">
        <f>27/160.21766</f>
        <v>0.16852074858664146</v>
      </c>
      <c r="F439" s="31"/>
      <c r="G439" s="32" t="s">
        <v>0</v>
      </c>
      <c r="H439" s="35">
        <f>27/160.21766</f>
        <v>0.16852074858664146</v>
      </c>
      <c r="I439" s="31"/>
      <c r="J439" s="31"/>
      <c r="O439" t="s">
        <v>265</v>
      </c>
    </row>
    <row r="440" spans="1:15" x14ac:dyDescent="0.4">
      <c r="A440" s="36" t="s">
        <v>1</v>
      </c>
      <c r="B440" s="1"/>
      <c r="C440" s="31"/>
      <c r="D440" s="36" t="s">
        <v>1</v>
      </c>
      <c r="E440" s="1">
        <v>4.1470000000000002</v>
      </c>
      <c r="F440" s="31"/>
      <c r="G440" s="36" t="s">
        <v>1</v>
      </c>
      <c r="H440" s="1"/>
      <c r="J440" s="31"/>
    </row>
    <row r="442" spans="1:15" x14ac:dyDescent="0.4">
      <c r="A442" s="32" t="s">
        <v>6</v>
      </c>
      <c r="B442" s="33" t="s">
        <v>55</v>
      </c>
      <c r="C442" s="31"/>
      <c r="D442" s="32" t="s">
        <v>69</v>
      </c>
      <c r="E442" s="33" t="s">
        <v>55</v>
      </c>
      <c r="F442" s="31"/>
      <c r="G442" s="32" t="s">
        <v>67</v>
      </c>
      <c r="H442" s="33" t="s">
        <v>55</v>
      </c>
      <c r="I442" s="31"/>
      <c r="J442" s="31"/>
    </row>
    <row r="443" spans="1:15" x14ac:dyDescent="0.4">
      <c r="A443" s="32" t="s">
        <v>4</v>
      </c>
      <c r="B443" s="30">
        <v>-3.7126000000000001</v>
      </c>
      <c r="C443" s="31"/>
      <c r="D443" s="32" t="s">
        <v>4</v>
      </c>
      <c r="E443" s="30">
        <v>-3.665</v>
      </c>
      <c r="F443" s="31"/>
      <c r="G443" s="32" t="s">
        <v>4</v>
      </c>
      <c r="H443" s="30">
        <v>-3.6983000000000001</v>
      </c>
      <c r="I443" s="32" t="s">
        <v>2</v>
      </c>
      <c r="J443" s="35">
        <v>3.548</v>
      </c>
    </row>
    <row r="444" spans="1:15" x14ac:dyDescent="0.4">
      <c r="A444" s="32" t="s">
        <v>5</v>
      </c>
      <c r="B444" s="34">
        <v>32.207000000000001</v>
      </c>
      <c r="C444" s="31"/>
      <c r="D444" s="32" t="s">
        <v>5</v>
      </c>
      <c r="E444" s="34">
        <v>32.106000000000002</v>
      </c>
      <c r="F444" s="31"/>
      <c r="G444" s="32" t="s">
        <v>5</v>
      </c>
      <c r="H444" s="1">
        <v>31.847000000000001</v>
      </c>
      <c r="I444" s="32" t="s">
        <v>141</v>
      </c>
      <c r="J444" s="35">
        <v>5.8410000000000002</v>
      </c>
    </row>
    <row r="445" spans="1:15" x14ac:dyDescent="0.4">
      <c r="A445" s="32" t="s">
        <v>0</v>
      </c>
      <c r="B445" s="35">
        <f>37/160.21766</f>
        <v>0.23093584065576792</v>
      </c>
      <c r="C445" s="31"/>
      <c r="D445" s="32" t="s">
        <v>0</v>
      </c>
      <c r="E445" s="35">
        <f>38/160.21766</f>
        <v>0.23717734986268058</v>
      </c>
      <c r="F445" s="31"/>
      <c r="G445" s="32" t="s">
        <v>0</v>
      </c>
      <c r="H445" s="35">
        <f>40/160.21766</f>
        <v>0.24966036827650587</v>
      </c>
      <c r="I445" s="31"/>
      <c r="J445" s="31"/>
      <c r="O445" t="s">
        <v>266</v>
      </c>
    </row>
    <row r="446" spans="1:15" x14ac:dyDescent="0.4">
      <c r="A446" s="36" t="s">
        <v>1</v>
      </c>
      <c r="B446" s="1">
        <v>3.62</v>
      </c>
      <c r="C446" s="31"/>
      <c r="D446" s="36" t="s">
        <v>1</v>
      </c>
      <c r="E446" s="1"/>
      <c r="F446" s="31"/>
      <c r="G446" s="36" t="s">
        <v>1</v>
      </c>
      <c r="H446" s="1"/>
      <c r="J446" s="31"/>
    </row>
    <row r="448" spans="1:15" x14ac:dyDescent="0.4">
      <c r="A448" s="32" t="s">
        <v>6</v>
      </c>
      <c r="B448" s="33" t="s">
        <v>60</v>
      </c>
      <c r="C448" s="31"/>
      <c r="D448" s="32" t="s">
        <v>69</v>
      </c>
      <c r="E448" s="33" t="s">
        <v>60</v>
      </c>
      <c r="F448" s="31"/>
      <c r="G448" s="32" t="s">
        <v>67</v>
      </c>
      <c r="H448" s="33" t="s">
        <v>189</v>
      </c>
      <c r="I448" s="31"/>
      <c r="J448" s="31"/>
    </row>
    <row r="449" spans="1:15" x14ac:dyDescent="0.4">
      <c r="A449" s="32" t="s">
        <v>4</v>
      </c>
      <c r="B449" s="30">
        <v>-3.6695000000000002</v>
      </c>
      <c r="C449" s="31"/>
      <c r="D449" s="32" t="s">
        <v>4</v>
      </c>
      <c r="E449" s="30">
        <v>-3.7507000000000001</v>
      </c>
      <c r="F449" s="31"/>
      <c r="G449" s="32" t="s">
        <v>4</v>
      </c>
      <c r="H449" s="30">
        <v>-3.7130000000000001</v>
      </c>
      <c r="I449" s="32" t="s">
        <v>2</v>
      </c>
      <c r="J449" s="1">
        <v>3.5369999999999999</v>
      </c>
    </row>
    <row r="450" spans="1:15" x14ac:dyDescent="0.4">
      <c r="A450" s="32" t="s">
        <v>5</v>
      </c>
      <c r="B450" s="34">
        <v>32.330980048250005</v>
      </c>
      <c r="C450" s="31"/>
      <c r="D450" s="32" t="s">
        <v>5</v>
      </c>
      <c r="E450" s="34">
        <v>31.706</v>
      </c>
      <c r="F450" s="31"/>
      <c r="G450" s="32" t="s">
        <v>5</v>
      </c>
      <c r="H450" s="1">
        <v>31.672231932347774</v>
      </c>
      <c r="I450" s="32" t="s">
        <v>141</v>
      </c>
      <c r="J450" s="1">
        <v>5.8466610000000001</v>
      </c>
    </row>
    <row r="451" spans="1:15" x14ac:dyDescent="0.4">
      <c r="A451" s="32" t="s">
        <v>0</v>
      </c>
      <c r="B451" s="35"/>
      <c r="C451" s="31"/>
      <c r="D451" s="32" t="s">
        <v>0</v>
      </c>
      <c r="E451" s="35">
        <f>53/160.21766</f>
        <v>0.33079998796637028</v>
      </c>
      <c r="F451" s="31"/>
      <c r="G451" s="32" t="s">
        <v>0</v>
      </c>
      <c r="H451" s="35"/>
      <c r="I451" s="33" t="s">
        <v>140</v>
      </c>
      <c r="J451" s="1">
        <v>1.653</v>
      </c>
      <c r="O451" t="s">
        <v>267</v>
      </c>
    </row>
    <row r="452" spans="1:15" x14ac:dyDescent="0.4">
      <c r="A452" s="36" t="s">
        <v>1</v>
      </c>
      <c r="B452" s="1"/>
      <c r="C452" s="31"/>
      <c r="D452" s="36" t="s">
        <v>1</v>
      </c>
      <c r="E452" s="1"/>
      <c r="F452" s="31"/>
      <c r="G452" s="36" t="s">
        <v>1</v>
      </c>
      <c r="H452" s="1"/>
      <c r="J452" s="31"/>
      <c r="O452" t="s">
        <v>320</v>
      </c>
    </row>
    <row r="454" spans="1:15" x14ac:dyDescent="0.4">
      <c r="A454" s="32" t="s">
        <v>6</v>
      </c>
      <c r="B454" s="33" t="s">
        <v>109</v>
      </c>
      <c r="C454" s="31"/>
      <c r="D454" s="32" t="s">
        <v>69</v>
      </c>
      <c r="E454" s="33" t="s">
        <v>200</v>
      </c>
      <c r="F454" s="31"/>
      <c r="G454" s="32" t="s">
        <v>67</v>
      </c>
      <c r="H454" s="33" t="s">
        <v>200</v>
      </c>
      <c r="I454" s="31"/>
      <c r="J454" s="31"/>
    </row>
    <row r="455" spans="1:15" x14ac:dyDescent="0.4">
      <c r="A455" s="32" t="s">
        <v>4</v>
      </c>
      <c r="B455" s="30">
        <v>-4.1007999999999996</v>
      </c>
      <c r="C455" s="31"/>
      <c r="D455" s="32" t="s">
        <v>4</v>
      </c>
      <c r="E455" s="30">
        <v>-3.9339</v>
      </c>
      <c r="F455" s="31"/>
      <c r="G455" s="32" t="s">
        <v>4</v>
      </c>
      <c r="H455" s="30">
        <v>-4.0557999999999996</v>
      </c>
      <c r="I455" s="32" t="s">
        <v>2</v>
      </c>
      <c r="J455" s="1">
        <v>4.0069999999999997</v>
      </c>
    </row>
    <row r="456" spans="1:15" x14ac:dyDescent="0.4">
      <c r="A456" s="32" t="s">
        <v>5</v>
      </c>
      <c r="B456" s="34">
        <v>45.384999999999998</v>
      </c>
      <c r="C456" s="31"/>
      <c r="D456" s="32" t="s">
        <v>5</v>
      </c>
      <c r="E456" s="34">
        <v>45.380492891999999</v>
      </c>
      <c r="F456" s="31"/>
      <c r="G456" s="32" t="s">
        <v>5</v>
      </c>
      <c r="H456" s="1">
        <v>45.325877036908921</v>
      </c>
      <c r="I456" s="32" t="s">
        <v>141</v>
      </c>
      <c r="J456" s="35">
        <v>6.5193889999999994</v>
      </c>
    </row>
    <row r="457" spans="1:15" x14ac:dyDescent="0.4">
      <c r="A457" s="32" t="s">
        <v>0</v>
      </c>
      <c r="B457" s="35">
        <f>24/160.21766</f>
        <v>0.1497962209659035</v>
      </c>
      <c r="C457" s="31"/>
      <c r="D457" s="32" t="s">
        <v>0</v>
      </c>
      <c r="E457" s="35"/>
      <c r="F457" s="31"/>
      <c r="G457" s="32" t="s">
        <v>0</v>
      </c>
      <c r="H457" s="35"/>
      <c r="I457" s="33" t="s">
        <v>140</v>
      </c>
      <c r="J457" s="1">
        <v>1.627</v>
      </c>
      <c r="O457" t="s">
        <v>268</v>
      </c>
    </row>
    <row r="458" spans="1:15" x14ac:dyDescent="0.4">
      <c r="A458" s="36" t="s">
        <v>1</v>
      </c>
      <c r="B458" s="1"/>
      <c r="C458" s="31"/>
      <c r="D458" s="36" t="s">
        <v>1</v>
      </c>
      <c r="E458" s="1"/>
      <c r="F458" s="31"/>
      <c r="G458" s="36" t="s">
        <v>1</v>
      </c>
      <c r="H458" s="1"/>
      <c r="J458" s="31"/>
      <c r="O458" t="s">
        <v>321</v>
      </c>
    </row>
    <row r="460" spans="1:15" x14ac:dyDescent="0.4">
      <c r="A460" s="32" t="s">
        <v>6</v>
      </c>
      <c r="B460" s="33" t="s">
        <v>56</v>
      </c>
      <c r="C460" s="31"/>
      <c r="D460" s="32" t="s">
        <v>69</v>
      </c>
      <c r="E460" s="33" t="s">
        <v>190</v>
      </c>
      <c r="F460" s="31"/>
      <c r="G460" s="32" t="s">
        <v>67</v>
      </c>
      <c r="H460" s="33" t="s">
        <v>190</v>
      </c>
      <c r="I460" s="31"/>
      <c r="J460" s="31"/>
    </row>
    <row r="461" spans="1:15" x14ac:dyDescent="0.4">
      <c r="A461" s="32" t="s">
        <v>4</v>
      </c>
      <c r="B461" s="30">
        <v>-7.4138999999999999</v>
      </c>
      <c r="C461" s="31"/>
      <c r="D461" s="32" t="s">
        <v>4</v>
      </c>
      <c r="E461" s="30">
        <v>-7.2039</v>
      </c>
      <c r="F461" s="31"/>
      <c r="G461" s="32" t="s">
        <v>4</v>
      </c>
      <c r="H461" s="30">
        <v>-7.3070000000000004</v>
      </c>
      <c r="I461" s="32" t="s">
        <v>2</v>
      </c>
      <c r="J461" s="1">
        <v>3.552</v>
      </c>
    </row>
    <row r="462" spans="1:15" x14ac:dyDescent="0.4">
      <c r="A462" s="32" t="s">
        <v>5</v>
      </c>
      <c r="B462" s="34">
        <v>32.029000000000003</v>
      </c>
      <c r="C462" s="31"/>
      <c r="D462" s="32" t="s">
        <v>5</v>
      </c>
      <c r="E462" s="34">
        <v>32.433946915999996</v>
      </c>
      <c r="F462" s="31"/>
      <c r="G462" s="32" t="s">
        <v>5</v>
      </c>
      <c r="H462" s="1">
        <v>32.600839905693441</v>
      </c>
      <c r="I462" s="32" t="s">
        <v>141</v>
      </c>
      <c r="J462" s="35">
        <v>5.9673600000000002</v>
      </c>
    </row>
    <row r="463" spans="1:15" x14ac:dyDescent="0.4">
      <c r="A463" s="32" t="s">
        <v>0</v>
      </c>
      <c r="B463" s="35">
        <f>56/160.21766</f>
        <v>0.34952451558710818</v>
      </c>
      <c r="C463" s="31"/>
      <c r="D463" s="32" t="s">
        <v>0</v>
      </c>
      <c r="E463" s="35">
        <f>62/160.21766</f>
        <v>0.38697357082858408</v>
      </c>
      <c r="F463" s="31"/>
      <c r="G463" s="32" t="s">
        <v>0</v>
      </c>
      <c r="H463" s="35"/>
      <c r="I463" s="33" t="s">
        <v>140</v>
      </c>
      <c r="J463" s="1">
        <v>1.68</v>
      </c>
      <c r="O463" t="s">
        <v>269</v>
      </c>
    </row>
    <row r="464" spans="1:15" x14ac:dyDescent="0.4">
      <c r="A464" s="36" t="s">
        <v>1</v>
      </c>
      <c r="B464" s="1">
        <v>2.3109999999999999</v>
      </c>
      <c r="C464" s="31"/>
      <c r="D464" s="36" t="s">
        <v>1</v>
      </c>
      <c r="E464" s="1"/>
      <c r="F464" s="31"/>
      <c r="G464" s="36" t="s">
        <v>1</v>
      </c>
      <c r="H464" s="1"/>
      <c r="J464" s="31"/>
    </row>
    <row r="466" spans="1:15" x14ac:dyDescent="0.4">
      <c r="A466" s="32" t="s">
        <v>6</v>
      </c>
      <c r="B466" s="33" t="s">
        <v>111</v>
      </c>
      <c r="C466" s="31"/>
      <c r="D466" s="32" t="s">
        <v>69</v>
      </c>
      <c r="E466" s="33" t="s">
        <v>191</v>
      </c>
      <c r="F466" s="31"/>
      <c r="G466" s="32" t="s">
        <v>67</v>
      </c>
      <c r="H466" s="33" t="s">
        <v>191</v>
      </c>
      <c r="I466" s="31"/>
      <c r="J466" s="31"/>
    </row>
    <row r="467" spans="1:15" x14ac:dyDescent="0.4">
      <c r="A467" s="32" t="s">
        <v>4</v>
      </c>
      <c r="B467" s="30">
        <v>-9.5146999999999995</v>
      </c>
      <c r="C467" s="31"/>
      <c r="D467" s="32" t="s">
        <v>4</v>
      </c>
      <c r="E467" s="30">
        <v>-9.2207000000000008</v>
      </c>
      <c r="F467" s="31"/>
      <c r="G467" s="32" t="s">
        <v>4</v>
      </c>
      <c r="H467" s="30">
        <v>-9.3926999999999996</v>
      </c>
      <c r="I467" s="32" t="s">
        <v>2</v>
      </c>
      <c r="J467" s="1">
        <v>3.19</v>
      </c>
    </row>
    <row r="468" spans="1:15" x14ac:dyDescent="0.4">
      <c r="A468" s="32" t="s">
        <v>5</v>
      </c>
      <c r="B468" s="34">
        <v>25.21</v>
      </c>
      <c r="C468" s="31"/>
      <c r="D468" s="32" t="s">
        <v>5</v>
      </c>
      <c r="E468" s="34">
        <v>24.857124866500001</v>
      </c>
      <c r="F468" s="31"/>
      <c r="G468" s="32" t="s">
        <v>5</v>
      </c>
      <c r="H468" s="1">
        <v>25.048422779465568</v>
      </c>
      <c r="I468" s="32" t="s">
        <v>141</v>
      </c>
      <c r="J468" s="35">
        <v>5.6845800000000004</v>
      </c>
    </row>
    <row r="469" spans="1:15" x14ac:dyDescent="0.4">
      <c r="A469" s="32" t="s">
        <v>0</v>
      </c>
      <c r="B469" s="35">
        <f>95/160.21766</f>
        <v>0.59294337465670144</v>
      </c>
      <c r="C469" s="31"/>
      <c r="D469" s="32" t="s">
        <v>0</v>
      </c>
      <c r="E469" s="35"/>
      <c r="F469" s="31"/>
      <c r="G469" s="32" t="s">
        <v>0</v>
      </c>
      <c r="H469" s="35"/>
      <c r="I469" s="33" t="s">
        <v>140</v>
      </c>
      <c r="J469" s="1">
        <v>1.782</v>
      </c>
      <c r="O469" t="s">
        <v>270</v>
      </c>
    </row>
    <row r="470" spans="1:15" x14ac:dyDescent="0.4">
      <c r="A470" s="36" t="s">
        <v>1</v>
      </c>
      <c r="B470" s="1">
        <v>2.94</v>
      </c>
      <c r="C470" s="31"/>
      <c r="D470" s="36" t="s">
        <v>1</v>
      </c>
      <c r="E470" s="1"/>
      <c r="F470" s="31"/>
      <c r="G470" s="36" t="s">
        <v>1</v>
      </c>
      <c r="H470" s="1"/>
      <c r="J470" s="31"/>
    </row>
    <row r="472" spans="1:15" x14ac:dyDescent="0.4">
      <c r="A472" s="32" t="s">
        <v>6</v>
      </c>
      <c r="B472" s="33" t="s">
        <v>112</v>
      </c>
      <c r="C472" s="31"/>
      <c r="D472" s="32" t="s">
        <v>69</v>
      </c>
      <c r="E472" s="33" t="s">
        <v>112</v>
      </c>
      <c r="F472" s="31"/>
      <c r="G472" s="32" t="s">
        <v>67</v>
      </c>
      <c r="H472" s="33" t="s">
        <v>201</v>
      </c>
      <c r="I472" s="31"/>
      <c r="J472" s="31"/>
    </row>
    <row r="473" spans="1:15" x14ac:dyDescent="0.4">
      <c r="A473" s="32" t="s">
        <v>4</v>
      </c>
      <c r="B473" s="30">
        <v>-10.919</v>
      </c>
      <c r="C473" s="31"/>
      <c r="D473" s="32" t="s">
        <v>4</v>
      </c>
      <c r="E473" s="30">
        <v>-11.02</v>
      </c>
      <c r="F473" s="31"/>
      <c r="G473" s="32" t="s">
        <v>4</v>
      </c>
      <c r="H473" s="30">
        <v>-10.929399999999999</v>
      </c>
      <c r="I473" s="32" t="s">
        <v>2</v>
      </c>
      <c r="J473" s="1">
        <v>2.9860000000000002</v>
      </c>
    </row>
    <row r="474" spans="1:15" x14ac:dyDescent="0.4">
      <c r="A474" s="32" t="s">
        <v>5</v>
      </c>
      <c r="B474" s="34">
        <v>21.765999999999998</v>
      </c>
      <c r="C474" s="31"/>
      <c r="D474" s="32" t="s">
        <v>5</v>
      </c>
      <c r="E474" s="34">
        <v>20.228000000000002</v>
      </c>
      <c r="F474" s="31"/>
      <c r="G474" s="32" t="s">
        <v>5</v>
      </c>
      <c r="H474" s="1">
        <v>21.154663170648895</v>
      </c>
      <c r="I474" s="32" t="s">
        <v>141</v>
      </c>
      <c r="J474" s="35">
        <v>5.4793099999999999</v>
      </c>
    </row>
    <row r="475" spans="1:15" x14ac:dyDescent="0.4">
      <c r="A475" s="32" t="s">
        <v>0</v>
      </c>
      <c r="B475" s="35">
        <f>105/160.21766</f>
        <v>0.65535846672582787</v>
      </c>
      <c r="C475" s="31"/>
      <c r="D475" s="32" t="s">
        <v>0</v>
      </c>
      <c r="E475" s="35">
        <f>133/160.21766</f>
        <v>0.83012072451938201</v>
      </c>
      <c r="F475" s="31"/>
      <c r="G475" s="32" t="s">
        <v>0</v>
      </c>
      <c r="H475" s="35"/>
      <c r="I475" s="33" t="s">
        <v>140</v>
      </c>
      <c r="J475" s="1">
        <v>1.835</v>
      </c>
      <c r="O475" t="s">
        <v>271</v>
      </c>
    </row>
    <row r="476" spans="1:15" x14ac:dyDescent="0.4">
      <c r="A476" s="36" t="s">
        <v>1</v>
      </c>
      <c r="B476" s="1"/>
      <c r="C476" s="31"/>
      <c r="D476" s="36" t="s">
        <v>1</v>
      </c>
      <c r="E476" s="1"/>
      <c r="F476" s="31"/>
      <c r="G476" s="36" t="s">
        <v>1</v>
      </c>
      <c r="H476" s="1"/>
      <c r="J476" s="31"/>
      <c r="O476" t="s">
        <v>322</v>
      </c>
    </row>
    <row r="478" spans="1:15" x14ac:dyDescent="0.4">
      <c r="A478" s="32" t="s">
        <v>6</v>
      </c>
      <c r="B478" s="33" t="s">
        <v>114</v>
      </c>
      <c r="C478" s="31"/>
      <c r="D478" s="32" t="s">
        <v>69</v>
      </c>
      <c r="E478" s="33" t="s">
        <v>114</v>
      </c>
      <c r="F478" s="31"/>
      <c r="G478" s="32" t="s">
        <v>67</v>
      </c>
      <c r="H478" s="33" t="s">
        <v>202</v>
      </c>
      <c r="I478" s="31"/>
      <c r="J478" s="31"/>
    </row>
    <row r="479" spans="1:15" x14ac:dyDescent="0.4">
      <c r="A479" s="32" t="s">
        <v>4</v>
      </c>
      <c r="B479" s="30">
        <v>-12.060600000000001</v>
      </c>
      <c r="C479" s="31"/>
      <c r="D479" s="32" t="s">
        <v>4</v>
      </c>
      <c r="E479" s="30">
        <v>-12.500299999999999</v>
      </c>
      <c r="F479" s="31"/>
      <c r="G479" s="32" t="s">
        <v>4</v>
      </c>
      <c r="H479" s="30">
        <v>-12.2058</v>
      </c>
      <c r="I479" s="32" t="s">
        <v>2</v>
      </c>
      <c r="J479" s="1">
        <v>2.7989999999999999</v>
      </c>
    </row>
    <row r="480" spans="1:15" x14ac:dyDescent="0.4">
      <c r="A480" s="32" t="s">
        <v>5</v>
      </c>
      <c r="B480" s="34">
        <v>20.620823744249996</v>
      </c>
      <c r="C480" s="31"/>
      <c r="D480" s="32" t="s">
        <v>5</v>
      </c>
      <c r="E480" s="34">
        <v>17.754999999999999</v>
      </c>
      <c r="F480" s="31"/>
      <c r="G480" s="32" t="s">
        <v>5</v>
      </c>
      <c r="H480" s="1">
        <v>20.557354831786775</v>
      </c>
      <c r="I480" s="32" t="s">
        <v>141</v>
      </c>
      <c r="J480" s="35">
        <v>6.0598349999999996</v>
      </c>
    </row>
    <row r="481" spans="1:15" x14ac:dyDescent="0.4">
      <c r="A481" s="32" t="s">
        <v>0</v>
      </c>
      <c r="B481" s="35"/>
      <c r="C481" s="31"/>
      <c r="D481" s="32" t="s">
        <v>0</v>
      </c>
      <c r="E481" s="35">
        <f>198/160.21766</f>
        <v>1.2358188229687039</v>
      </c>
      <c r="F481" s="31"/>
      <c r="G481" s="32" t="s">
        <v>0</v>
      </c>
      <c r="H481" s="35"/>
      <c r="I481" s="33" t="s">
        <v>140</v>
      </c>
      <c r="J481" s="33">
        <v>2.165</v>
      </c>
      <c r="O481" t="s">
        <v>272</v>
      </c>
    </row>
    <row r="482" spans="1:15" x14ac:dyDescent="0.4">
      <c r="A482" s="36" t="s">
        <v>1</v>
      </c>
      <c r="B482" s="1"/>
      <c r="C482" s="31"/>
      <c r="D482" s="36" t="s">
        <v>1</v>
      </c>
      <c r="E482" s="1"/>
      <c r="F482" s="31"/>
      <c r="G482" s="36" t="s">
        <v>1</v>
      </c>
      <c r="H482" s="1"/>
      <c r="J482" s="31"/>
      <c r="O482" t="s">
        <v>323</v>
      </c>
    </row>
    <row r="484" spans="1:15" x14ac:dyDescent="0.4">
      <c r="A484" s="32" t="s">
        <v>6</v>
      </c>
      <c r="B484" s="33" t="s">
        <v>133</v>
      </c>
      <c r="C484" s="31"/>
      <c r="D484" s="32" t="s">
        <v>69</v>
      </c>
      <c r="E484" s="33" t="s">
        <v>133</v>
      </c>
      <c r="F484" s="31"/>
      <c r="G484" s="32" t="s">
        <v>67</v>
      </c>
      <c r="H484" s="33" t="s">
        <v>192</v>
      </c>
      <c r="I484" s="31"/>
      <c r="J484" s="31"/>
    </row>
    <row r="485" spans="1:15" x14ac:dyDescent="0.4">
      <c r="A485" s="32" t="s">
        <v>4</v>
      </c>
      <c r="B485" s="30">
        <v>-13.990600000000001</v>
      </c>
      <c r="C485" s="31"/>
      <c r="D485" s="32" t="s">
        <v>4</v>
      </c>
      <c r="E485" s="30">
        <v>-13.722099999999999</v>
      </c>
      <c r="F485" s="31"/>
      <c r="G485" s="32" t="s">
        <v>4</v>
      </c>
      <c r="H485" s="30">
        <v>-13.5847</v>
      </c>
      <c r="I485" s="32" t="s">
        <v>2</v>
      </c>
      <c r="J485" s="1">
        <v>3.4540000000000002</v>
      </c>
    </row>
    <row r="486" spans="1:15" x14ac:dyDescent="0.4">
      <c r="A486" s="32" t="s">
        <v>5</v>
      </c>
      <c r="B486" s="34">
        <v>27.449000000000002</v>
      </c>
      <c r="C486" s="31"/>
      <c r="D486" s="32" t="s">
        <v>5</v>
      </c>
      <c r="E486" s="34">
        <v>16.484000000000002</v>
      </c>
      <c r="F486" s="31"/>
      <c r="G486" s="32" t="s">
        <v>5</v>
      </c>
      <c r="H486" s="1">
        <v>26.942915125845268</v>
      </c>
      <c r="I486" s="32" t="s">
        <v>141</v>
      </c>
      <c r="J486" s="35">
        <v>5.2155400000000007</v>
      </c>
    </row>
    <row r="487" spans="1:15" x14ac:dyDescent="0.4">
      <c r="A487" s="32" t="s">
        <v>0</v>
      </c>
      <c r="B487" s="35">
        <f>152/160.21766</f>
        <v>0.9487093994507223</v>
      </c>
      <c r="C487" s="31"/>
      <c r="D487" s="32" t="s">
        <v>0</v>
      </c>
      <c r="E487" s="35"/>
      <c r="F487" s="31"/>
      <c r="G487" s="32" t="s">
        <v>0</v>
      </c>
      <c r="H487" s="35"/>
      <c r="I487" s="33" t="s">
        <v>140</v>
      </c>
      <c r="J487" s="1">
        <v>1.51</v>
      </c>
      <c r="O487" t="s">
        <v>273</v>
      </c>
    </row>
    <row r="488" spans="1:15" x14ac:dyDescent="0.4">
      <c r="A488" s="36" t="s">
        <v>1</v>
      </c>
      <c r="B488" s="1"/>
      <c r="C488" s="31"/>
      <c r="D488" s="36" t="s">
        <v>1</v>
      </c>
      <c r="E488" s="1"/>
      <c r="F488" s="31"/>
      <c r="G488" s="36" t="s">
        <v>1</v>
      </c>
      <c r="H488" s="1"/>
      <c r="J488" s="3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I87"/>
  <sheetViews>
    <sheetView workbookViewId="0">
      <pane xSplit="3" ySplit="3" topLeftCell="Y4" activePane="bottomRight" state="frozen"/>
      <selection pane="topRight" activeCell="D1" sqref="D1"/>
      <selection pane="bottomLeft" activeCell="A4" sqref="A4"/>
      <selection pane="bottomRight" activeCell="AE4" sqref="AE4"/>
    </sheetView>
  </sheetViews>
  <sheetFormatPr defaultRowHeight="18.75" x14ac:dyDescent="0.4"/>
  <cols>
    <col min="1" max="3" width="9" style="1"/>
    <col min="4" max="4" width="9" style="2"/>
    <col min="5" max="5" width="9" style="14"/>
    <col min="6" max="6" width="9" style="7"/>
    <col min="7" max="7" width="2.75" customWidth="1"/>
    <col min="8" max="8" width="9" style="2"/>
    <col min="9" max="9" width="9" style="14"/>
    <col min="10" max="10" width="9" style="7"/>
    <col min="11" max="11" width="2.75" customWidth="1"/>
    <col min="12" max="12" width="9" style="2"/>
    <col min="13" max="13" width="9" style="14"/>
    <col min="14" max="14" width="9" style="7"/>
    <col min="15" max="15" width="3.125" customWidth="1"/>
    <col min="16" max="16" width="9" style="6"/>
    <col min="17" max="17" width="9" style="12"/>
    <col min="20" max="20" width="9" style="13"/>
    <col min="21" max="21" width="3.375" customWidth="1"/>
    <col min="23" max="23" width="3.625" customWidth="1"/>
    <col min="24" max="24" width="9" style="12"/>
    <col min="28" max="28" width="9.375" style="9" bestFit="1" customWidth="1"/>
    <col min="30" max="30" width="9" style="13"/>
    <col min="33" max="33" width="9" style="12"/>
    <col min="34" max="34" width="9" style="26"/>
    <col min="35" max="35" width="9" style="13"/>
  </cols>
  <sheetData>
    <row r="1" spans="1:35" x14ac:dyDescent="0.4">
      <c r="D1" s="1" t="s">
        <v>77</v>
      </c>
      <c r="E1" s="1" t="s">
        <v>63</v>
      </c>
      <c r="F1" s="1"/>
      <c r="H1" s="1"/>
      <c r="I1" s="1"/>
      <c r="J1" s="1"/>
      <c r="L1" s="1"/>
      <c r="M1" s="1"/>
      <c r="N1" s="1"/>
      <c r="Q1" s="12" t="s">
        <v>64</v>
      </c>
      <c r="X1" s="12" t="s">
        <v>64</v>
      </c>
      <c r="AC1" s="10"/>
      <c r="AE1" t="s">
        <v>7</v>
      </c>
      <c r="AF1" t="s">
        <v>7</v>
      </c>
      <c r="AG1" s="12" t="s">
        <v>64</v>
      </c>
      <c r="AI1" s="11"/>
    </row>
    <row r="2" spans="1:35" x14ac:dyDescent="0.4">
      <c r="D2" s="2" t="s">
        <v>62</v>
      </c>
      <c r="E2" s="14" t="s">
        <v>8</v>
      </c>
      <c r="F2" s="7" t="s">
        <v>9</v>
      </c>
      <c r="H2" s="2" t="s">
        <v>62</v>
      </c>
      <c r="I2" s="14" t="s">
        <v>8</v>
      </c>
      <c r="J2" s="7" t="s">
        <v>9</v>
      </c>
      <c r="L2" s="2" t="s">
        <v>62</v>
      </c>
      <c r="M2" s="14" t="s">
        <v>8</v>
      </c>
      <c r="N2" s="7" t="s">
        <v>9</v>
      </c>
      <c r="Q2" s="19" t="s">
        <v>74</v>
      </c>
      <c r="R2" s="18"/>
      <c r="S2" s="18"/>
      <c r="T2" s="20"/>
      <c r="U2" s="18"/>
      <c r="V2" s="18"/>
      <c r="X2" s="19" t="s">
        <v>75</v>
      </c>
      <c r="AB2" s="24"/>
      <c r="AC2" s="18"/>
      <c r="AD2" s="20"/>
      <c r="AE2" t="s">
        <v>296</v>
      </c>
      <c r="AF2" t="s">
        <v>297</v>
      </c>
      <c r="AG2" s="19" t="s">
        <v>76</v>
      </c>
      <c r="AH2" s="27"/>
      <c r="AI2" s="20"/>
    </row>
    <row r="3" spans="1:35" x14ac:dyDescent="0.4">
      <c r="A3" s="1" t="s">
        <v>12</v>
      </c>
      <c r="B3" s="1" t="s">
        <v>13</v>
      </c>
      <c r="C3" s="1" t="s">
        <v>14</v>
      </c>
      <c r="D3" s="2" t="s">
        <v>57</v>
      </c>
      <c r="E3" s="14" t="s">
        <v>57</v>
      </c>
      <c r="F3" s="7" t="s">
        <v>57</v>
      </c>
      <c r="H3" s="2" t="s">
        <v>61</v>
      </c>
      <c r="I3" s="14" t="s">
        <v>61</v>
      </c>
      <c r="J3" s="7" t="s">
        <v>61</v>
      </c>
      <c r="L3" s="2" t="s">
        <v>137</v>
      </c>
      <c r="M3" s="14" t="s">
        <v>138</v>
      </c>
      <c r="N3" s="7" t="s">
        <v>138</v>
      </c>
      <c r="P3" s="6" t="s">
        <v>65</v>
      </c>
      <c r="Q3" s="12" t="s">
        <v>70</v>
      </c>
      <c r="R3" t="s">
        <v>71</v>
      </c>
      <c r="S3" t="s">
        <v>66</v>
      </c>
      <c r="T3" s="13" t="s">
        <v>80</v>
      </c>
      <c r="V3" t="s">
        <v>132</v>
      </c>
      <c r="X3" s="12" t="s">
        <v>70</v>
      </c>
      <c r="Y3" t="s">
        <v>71</v>
      </c>
      <c r="Z3" t="s">
        <v>66</v>
      </c>
      <c r="AA3" t="s">
        <v>80</v>
      </c>
      <c r="AB3" s="24" t="s">
        <v>78</v>
      </c>
      <c r="AC3" t="s">
        <v>138</v>
      </c>
      <c r="AD3" s="13" t="s">
        <v>81</v>
      </c>
      <c r="AE3" t="s">
        <v>3</v>
      </c>
      <c r="AF3" t="s">
        <v>3</v>
      </c>
      <c r="AG3" s="12" t="s">
        <v>80</v>
      </c>
      <c r="AH3" s="26" t="s">
        <v>79</v>
      </c>
      <c r="AI3" s="13" t="s">
        <v>138</v>
      </c>
    </row>
    <row r="4" spans="1:35" x14ac:dyDescent="0.4">
      <c r="A4" s="1" t="s">
        <v>83</v>
      </c>
      <c r="P4" s="6" t="s">
        <v>82</v>
      </c>
      <c r="Q4" s="12">
        <v>-1.1220000000000001</v>
      </c>
      <c r="R4">
        <v>62.396000000000001</v>
      </c>
      <c r="S4">
        <v>1E-3</v>
      </c>
      <c r="T4" s="13">
        <v>4.6440000000000001</v>
      </c>
      <c r="V4">
        <v>3.5226000000000002</v>
      </c>
      <c r="X4" s="12">
        <v>-1.1220000000000001</v>
      </c>
      <c r="Y4">
        <v>62.17</v>
      </c>
      <c r="Z4">
        <v>1E-3</v>
      </c>
      <c r="AA4">
        <v>7.226</v>
      </c>
      <c r="AB4" s="25">
        <f>5.28/3.22</f>
        <v>1.639751552795031</v>
      </c>
      <c r="AC4" s="22" t="s">
        <v>135</v>
      </c>
      <c r="AD4" s="23">
        <f xml:space="preserve"> ((SQRT(AB4))^3/(AB4-1)+(SQRT(1/AB4)^3/(1/AB4-1))-2)/6</f>
        <v>1.0242634234390646E-2</v>
      </c>
      <c r="AE4" s="4">
        <v>0</v>
      </c>
      <c r="AF4" s="4">
        <v>0</v>
      </c>
    </row>
    <row r="5" spans="1:35" x14ac:dyDescent="0.4">
      <c r="A5" s="1" t="s">
        <v>9</v>
      </c>
      <c r="B5" s="3">
        <v>0.55300000000000005</v>
      </c>
      <c r="C5" s="8">
        <v>1.7190000000000001</v>
      </c>
      <c r="D5" s="15">
        <v>3.38</v>
      </c>
      <c r="E5" s="14">
        <v>3.5</v>
      </c>
      <c r="F5" s="7">
        <v>3.6259999999999999</v>
      </c>
      <c r="H5" s="15">
        <f>((L5+SQRT(L5^2-4))/2)^2</f>
        <v>2.9351864274737975</v>
      </c>
      <c r="I5" s="16">
        <f>((M5+SQRT(M5^2-4))/2)^2</f>
        <v>3.5387266128048309</v>
      </c>
      <c r="J5" s="17">
        <f>((N5+SQRT(N5^2-4))/2)^2</f>
        <v>4.1838769057764118</v>
      </c>
      <c r="L5" s="15">
        <f>3*B5*(D5-1)/C5</f>
        <v>2.2969284467713789</v>
      </c>
      <c r="M5" s="16">
        <f>3*B5*(E5-1)/C5</f>
        <v>2.4127399650959864</v>
      </c>
      <c r="N5" s="17">
        <f>3*B5*(F5-1)/C5</f>
        <v>2.534342059336824</v>
      </c>
      <c r="P5" s="6" t="s">
        <v>69</v>
      </c>
      <c r="Q5" s="12">
        <v>-1.903</v>
      </c>
      <c r="R5">
        <v>20.306000000000001</v>
      </c>
      <c r="S5">
        <v>8.5000000000000006E-2</v>
      </c>
      <c r="T5" s="13">
        <v>2.2709999999999999</v>
      </c>
      <c r="V5">
        <v>3.0357799999999999</v>
      </c>
      <c r="X5" s="12">
        <v>-1.9039999999999999</v>
      </c>
      <c r="Y5">
        <v>20.285</v>
      </c>
      <c r="Z5">
        <v>8.7999999999999995E-2</v>
      </c>
      <c r="AA5" s="22">
        <v>4.4379999999999997</v>
      </c>
      <c r="AB5" s="25">
        <v>6.3</v>
      </c>
      <c r="AC5" s="22" t="s">
        <v>135</v>
      </c>
      <c r="AD5" s="23">
        <f t="shared" ref="AD5" si="0" xml:space="preserve"> ((SQRT(AB5))^3/(AB5-1)+(SQRT(1/AB5)^3/(1/AB5-1))-2)/6</f>
        <v>0.15139826934117076</v>
      </c>
      <c r="AE5">
        <v>0.05</v>
      </c>
      <c r="AF5" s="4">
        <v>0</v>
      </c>
      <c r="AG5" s="21">
        <v>5.1890000000000001</v>
      </c>
      <c r="AH5" s="28">
        <f>((AI5+SQRT(AI5^2-4))/2)^2</f>
        <v>14.274070316815363</v>
      </c>
      <c r="AI5" s="23">
        <f>3*B5*(AG5-1)/C5</f>
        <v>4.0427870855148349</v>
      </c>
    </row>
    <row r="6" spans="1:35" x14ac:dyDescent="0.4">
      <c r="A6" s="1" t="s">
        <v>15</v>
      </c>
      <c r="B6" s="3">
        <v>0.312</v>
      </c>
      <c r="C6" s="8">
        <v>1.25</v>
      </c>
      <c r="D6" s="15">
        <v>4.07</v>
      </c>
      <c r="F6" s="7">
        <v>3.51</v>
      </c>
      <c r="H6" s="15">
        <f t="shared" ref="H6:H36" si="1">((L6+SQRT(L6^2-4))/2)^2</f>
        <v>2.9449959624745903</v>
      </c>
      <c r="J6" s="17" t="e">
        <f>((N6+SQRT(N6^2-4))/2)^2</f>
        <v>#NUM!</v>
      </c>
      <c r="L6" s="15">
        <f t="shared" ref="L6:L36" si="2">3*B6*(D6-1)/C6</f>
        <v>2.298816</v>
      </c>
      <c r="N6" s="17">
        <f>3*B6*(F6-1)/C6</f>
        <v>1.8794879999999996</v>
      </c>
      <c r="P6" s="6" t="s">
        <v>67</v>
      </c>
      <c r="Q6" s="12">
        <v>-3.742</v>
      </c>
      <c r="R6">
        <v>7.931</v>
      </c>
      <c r="S6">
        <v>0.751</v>
      </c>
      <c r="T6" s="13">
        <v>2.2349999999999999</v>
      </c>
      <c r="V6" s="5">
        <v>2.21095</v>
      </c>
      <c r="X6" s="12">
        <v>-3.7429999999999999</v>
      </c>
      <c r="Y6">
        <v>7.923</v>
      </c>
      <c r="Z6">
        <v>0.77300000000000002</v>
      </c>
      <c r="AA6" s="22">
        <v>4.3979999999999997</v>
      </c>
      <c r="AB6" s="25">
        <f>((AC6+SQRT(AC6^2-4))/2)^2</f>
        <v>4.2381323601885752</v>
      </c>
      <c r="AC6" s="22">
        <f>3*B6*(AA6-1)/C6</f>
        <v>2.5444223999999993</v>
      </c>
      <c r="AD6" s="23">
        <f t="shared" ref="AD6" si="3" xml:space="preserve"> ((SQRT(AB6))^3/(AB6-1)+(SQRT(1/AB6)^3/(1/AB6-1))-2)/6</f>
        <v>9.0737066666666547E-2</v>
      </c>
      <c r="AE6">
        <v>0.02</v>
      </c>
      <c r="AF6" s="4">
        <v>0</v>
      </c>
      <c r="AG6" s="21">
        <v>5.1539999999999999</v>
      </c>
      <c r="AH6" s="28">
        <f>((AI6+SQRT(AI6^2-4))/2)^2</f>
        <v>7.5427267601662695</v>
      </c>
      <c r="AI6" s="23">
        <f>3*B6*(AG6-1)/C6</f>
        <v>3.1105151999999996</v>
      </c>
    </row>
    <row r="7" spans="1:35" x14ac:dyDescent="0.4">
      <c r="A7" s="1" t="s">
        <v>84</v>
      </c>
      <c r="B7" s="3">
        <f>(-X7/(12*PI()*Z7*C7))^(1/2)</f>
        <v>0.34363022869332949</v>
      </c>
      <c r="C7" s="8">
        <f>0.529177*1.907</f>
        <v>1.0091405390000001</v>
      </c>
      <c r="D7" s="15"/>
      <c r="H7" s="15"/>
      <c r="J7" s="17"/>
      <c r="L7" s="15"/>
      <c r="N7" s="17"/>
      <c r="P7" s="29" t="s">
        <v>87</v>
      </c>
      <c r="Q7" s="12">
        <v>-6.6779999999999999</v>
      </c>
      <c r="R7">
        <v>7.2569999999999997</v>
      </c>
      <c r="S7">
        <v>1.4430000000000001</v>
      </c>
      <c r="T7" s="13">
        <v>2.3919999999999999</v>
      </c>
      <c r="V7" s="5"/>
      <c r="X7" s="12">
        <v>-6.68</v>
      </c>
      <c r="Y7">
        <v>7.2489999999999997</v>
      </c>
      <c r="Z7">
        <v>1.4870000000000001</v>
      </c>
      <c r="AA7" s="22">
        <v>4.5659999999999998</v>
      </c>
      <c r="AB7" s="25">
        <f>4.2656/2.7536</f>
        <v>1.5490993608367227</v>
      </c>
      <c r="AC7" s="22">
        <f>3*B7*(AA7-1)/C7</f>
        <v>3.6428584964033819</v>
      </c>
      <c r="AD7" s="23"/>
      <c r="AE7" s="4">
        <v>0</v>
      </c>
      <c r="AF7" s="4"/>
      <c r="AG7" s="21"/>
      <c r="AH7" s="28"/>
      <c r="AI7" s="23"/>
    </row>
    <row r="8" spans="1:35" x14ac:dyDescent="0.4">
      <c r="A8" s="1" t="s">
        <v>124</v>
      </c>
      <c r="B8" s="3">
        <f>(-X8/(12*PI()*Z8*C8))^(1/2)</f>
        <v>0.39461915790143792</v>
      </c>
      <c r="C8" s="8">
        <v>1.1060000000000001</v>
      </c>
      <c r="D8" s="15"/>
      <c r="H8" s="15"/>
      <c r="J8" s="17"/>
      <c r="L8" s="15"/>
      <c r="N8" s="17"/>
      <c r="P8" s="29" t="s">
        <v>125</v>
      </c>
      <c r="Q8" s="12">
        <v>-9.2219999999999995</v>
      </c>
      <c r="R8">
        <v>10.722200000000001</v>
      </c>
      <c r="S8">
        <v>1.3779999999999999</v>
      </c>
      <c r="T8" s="13">
        <v>2.4529999999999998</v>
      </c>
      <c r="V8" s="5"/>
      <c r="X8" s="12">
        <v>-9.2200000000000006</v>
      </c>
      <c r="Y8">
        <v>10.709</v>
      </c>
      <c r="Z8">
        <v>1.42</v>
      </c>
      <c r="AA8" s="22">
        <v>4.6390000000000002</v>
      </c>
      <c r="AB8" s="25">
        <v>1.4</v>
      </c>
      <c r="AC8" s="22" t="s">
        <v>135</v>
      </c>
      <c r="AD8" s="23">
        <f t="shared" ref="AD8" si="4" xml:space="preserve"> ((SQRT(AB8))^3/(AB8-1)+(SQRT(1/AB8)^3/(1/AB8-1))-2)/6</f>
        <v>4.7283685580733854E-3</v>
      </c>
      <c r="AE8" s="4">
        <v>0</v>
      </c>
      <c r="AF8" s="4">
        <v>0</v>
      </c>
      <c r="AG8" s="21"/>
      <c r="AH8" s="28"/>
      <c r="AI8" s="23"/>
    </row>
    <row r="9" spans="1:35" x14ac:dyDescent="0.4">
      <c r="A9" s="1" t="s">
        <v>89</v>
      </c>
      <c r="B9" s="3">
        <f>(-X9/(12*PI()*Z9*C9))^(1/2)</f>
        <v>0.88066495956449387</v>
      </c>
      <c r="C9" s="8">
        <v>0.7</v>
      </c>
      <c r="D9" s="15"/>
      <c r="H9" s="15"/>
      <c r="J9" s="17"/>
      <c r="L9" s="15"/>
      <c r="N9" s="17"/>
      <c r="P9" s="6" t="s">
        <v>88</v>
      </c>
      <c r="Q9" s="12">
        <v>-8.3290000000000006</v>
      </c>
      <c r="R9">
        <v>25.765999999999998</v>
      </c>
      <c r="S9">
        <v>0.39400000000000002</v>
      </c>
      <c r="T9" s="13">
        <v>2.7389999999999999</v>
      </c>
      <c r="V9" s="5"/>
      <c r="X9" s="12">
        <v>-8.33</v>
      </c>
      <c r="Y9">
        <v>25.731000000000002</v>
      </c>
      <c r="Z9">
        <v>0.40699999999999997</v>
      </c>
      <c r="AA9" s="22">
        <v>4.9560000000000004</v>
      </c>
      <c r="AB9" s="25">
        <f>((AC9+SQRT(AC9^2-4))/2)^2</f>
        <v>220.9315887472043</v>
      </c>
      <c r="AC9" s="22">
        <f>3*B9*(AA9-1)/C9</f>
        <v>14.931045343016308</v>
      </c>
      <c r="AD9" s="23"/>
      <c r="AE9" s="4">
        <v>0</v>
      </c>
      <c r="AF9" s="4">
        <v>0</v>
      </c>
      <c r="AG9" s="21"/>
      <c r="AH9" s="28"/>
      <c r="AI9" s="23"/>
    </row>
    <row r="10" spans="1:35" x14ac:dyDescent="0.4">
      <c r="A10" s="1" t="s">
        <v>116</v>
      </c>
      <c r="B10" s="3">
        <f>(-X10/(12*PI()*Z10*C10))^(1/2)</f>
        <v>0.41826040615868482</v>
      </c>
      <c r="C10" s="8">
        <v>1.4</v>
      </c>
      <c r="D10" s="15"/>
      <c r="H10" s="15"/>
      <c r="J10" s="17"/>
      <c r="L10" s="15"/>
      <c r="N10" s="17"/>
      <c r="P10" s="6" t="s">
        <v>117</v>
      </c>
      <c r="Q10" s="12">
        <v>-4.9480000000000004</v>
      </c>
      <c r="R10">
        <v>14.888999999999999</v>
      </c>
      <c r="S10">
        <v>0.51800000000000002</v>
      </c>
      <c r="T10" s="13">
        <v>3.1360000000000001</v>
      </c>
      <c r="V10" s="5"/>
      <c r="X10" s="12">
        <v>-4.9489999999999998</v>
      </c>
      <c r="Y10">
        <v>14.863</v>
      </c>
      <c r="Z10">
        <v>0.53600000000000003</v>
      </c>
      <c r="AA10" s="22">
        <v>5.4109999999999996</v>
      </c>
      <c r="AB10" s="25">
        <f>((AC10+SQRT(AC10^2-4))/2)^2</f>
        <v>13.556055352585606</v>
      </c>
      <c r="AC10" s="22">
        <f t="shared" ref="AC10" si="5">3*B10*(AA10-1)/C10</f>
        <v>3.953457110498483</v>
      </c>
      <c r="AD10" s="23"/>
      <c r="AE10" s="4">
        <v>0</v>
      </c>
      <c r="AF10" s="4">
        <v>0</v>
      </c>
      <c r="AG10" s="21"/>
      <c r="AH10" s="28"/>
      <c r="AI10" s="23"/>
    </row>
    <row r="11" spans="1:35" x14ac:dyDescent="0.4">
      <c r="A11" s="1" t="s">
        <v>118</v>
      </c>
      <c r="B11" s="3"/>
      <c r="C11" s="8"/>
      <c r="D11" s="15"/>
      <c r="H11" s="15"/>
      <c r="J11" s="17"/>
      <c r="L11" s="15"/>
      <c r="N11" s="17"/>
      <c r="P11" s="6" t="s">
        <v>119</v>
      </c>
      <c r="Q11" s="12">
        <v>-1.147</v>
      </c>
      <c r="R11">
        <v>11.148</v>
      </c>
      <c r="S11">
        <v>0.24299999999999999</v>
      </c>
      <c r="T11" s="13">
        <v>4.2279999999999998</v>
      </c>
      <c r="V11" s="5"/>
      <c r="X11" s="12">
        <v>-1.1479999999999999</v>
      </c>
      <c r="Y11">
        <v>11.116</v>
      </c>
      <c r="Z11">
        <v>0.252</v>
      </c>
      <c r="AA11" s="22">
        <v>6.6970000000000001</v>
      </c>
      <c r="AB11" s="25"/>
      <c r="AC11" s="22"/>
      <c r="AD11" s="23"/>
      <c r="AF11" s="4"/>
      <c r="AG11" s="21"/>
      <c r="AH11" s="28"/>
      <c r="AI11" s="23"/>
    </row>
    <row r="12" spans="1:35" x14ac:dyDescent="0.4">
      <c r="A12" s="1" t="s">
        <v>16</v>
      </c>
      <c r="B12" s="3">
        <v>0.56200000000000006</v>
      </c>
      <c r="C12" s="8">
        <v>2.08</v>
      </c>
      <c r="D12" s="15">
        <v>3.84</v>
      </c>
      <c r="E12" s="14">
        <v>3.9</v>
      </c>
      <c r="F12" s="7">
        <v>4.0819999999999999</v>
      </c>
      <c r="H12" s="15">
        <f t="shared" si="1"/>
        <v>2.961741938777394</v>
      </c>
      <c r="I12" s="16">
        <f>((M12+SQRT(M12^2-4))/2)^2</f>
        <v>3.2145814224574498</v>
      </c>
      <c r="J12" s="17">
        <f>((N12+SQRT(N12^2-4))/2)^2</f>
        <v>3.9903916646049105</v>
      </c>
      <c r="L12" s="15">
        <f t="shared" si="2"/>
        <v>2.3020384615384617</v>
      </c>
      <c r="M12" s="16">
        <f>3*B12*(E12-1)/C12</f>
        <v>2.3506730769230768</v>
      </c>
      <c r="N12" s="17">
        <f>3*B12*(F12-1)/C12</f>
        <v>2.4981980769230772</v>
      </c>
      <c r="P12" s="6" t="s">
        <v>67</v>
      </c>
      <c r="Q12" s="12">
        <v>-1.3109999999999999</v>
      </c>
      <c r="R12">
        <v>37.125999999999998</v>
      </c>
      <c r="S12">
        <v>4.7E-2</v>
      </c>
      <c r="T12" s="13">
        <v>2.6</v>
      </c>
      <c r="V12" s="5">
        <v>3.7292200000000002</v>
      </c>
      <c r="X12" s="12">
        <v>-1.3109999999999999</v>
      </c>
      <c r="Y12">
        <v>37.08</v>
      </c>
      <c r="Z12">
        <v>4.9000000000000002E-2</v>
      </c>
      <c r="AA12" s="22">
        <v>4.7960000000000003</v>
      </c>
      <c r="AB12" s="25">
        <v>3.27</v>
      </c>
      <c r="AC12" s="22" t="s">
        <v>135</v>
      </c>
      <c r="AD12" s="23">
        <f t="shared" ref="AD12" si="6" xml:space="preserve"> ((SQRT(AB12))^3/(AB12-1)+(SQRT(1/AB12)^3/(1/AB12-1))-2)/6</f>
        <v>6.0219232601974003E-2</v>
      </c>
      <c r="AE12">
        <v>7.0000000000000007E-2</v>
      </c>
      <c r="AF12" s="4">
        <v>0</v>
      </c>
      <c r="AG12" s="21">
        <v>5.4820000000000002</v>
      </c>
      <c r="AH12" s="28">
        <f>((AI12+SQRT(AI12^2-4))/2)^2</f>
        <v>11.108711478037501</v>
      </c>
      <c r="AI12" s="23">
        <f>3*B12*(AG12-1)/C12</f>
        <v>3.63300576923077</v>
      </c>
    </row>
    <row r="13" spans="1:35" x14ac:dyDescent="0.4">
      <c r="A13" s="1" t="s">
        <v>17</v>
      </c>
      <c r="B13" s="3">
        <v>0.316</v>
      </c>
      <c r="C13" s="8">
        <v>1.77</v>
      </c>
      <c r="D13" s="15">
        <v>5.29</v>
      </c>
      <c r="F13" s="7">
        <v>4.1890000000000001</v>
      </c>
      <c r="H13" s="15">
        <f t="shared" si="1"/>
        <v>2.9391697933170455</v>
      </c>
      <c r="J13" s="17" t="e">
        <f>((N13+SQRT(N13^2-4))/2)^2</f>
        <v>#NUM!</v>
      </c>
      <c r="L13" s="15">
        <f t="shared" si="2"/>
        <v>2.2976949152542372</v>
      </c>
      <c r="N13" s="17">
        <f>3*B13*(F13-1)/C13</f>
        <v>1.7080067796610168</v>
      </c>
      <c r="P13" s="6" t="s">
        <v>67</v>
      </c>
      <c r="Q13" s="12">
        <v>-1.5940000000000001</v>
      </c>
      <c r="R13">
        <v>22.988</v>
      </c>
      <c r="S13">
        <v>0.217</v>
      </c>
      <c r="T13" s="13">
        <v>2.895</v>
      </c>
      <c r="V13" s="5">
        <v>3.1607799999999999</v>
      </c>
      <c r="X13" s="12">
        <v>-1.5940000000000001</v>
      </c>
      <c r="Y13">
        <v>22.952999999999999</v>
      </c>
      <c r="Z13">
        <v>0.22500000000000001</v>
      </c>
      <c r="AA13" s="22">
        <v>5.133</v>
      </c>
      <c r="AB13" s="25">
        <f xml:space="preserve"> 2.8024/0.7203</f>
        <v>3.8906011384145494</v>
      </c>
      <c r="AC13" s="22">
        <f>3*B13*(AA13-1)/C13</f>
        <v>2.213606779661017</v>
      </c>
      <c r="AD13" s="23">
        <f t="shared" ref="AD13:AD15" si="7" xml:space="preserve"> ((SQRT(AB13))^3/(AB13-1)+(SQRT(1/AB13)^3/(1/AB13-1))-2)/6</f>
        <v>7.9906939364332727E-2</v>
      </c>
      <c r="AE13" s="4">
        <v>0</v>
      </c>
      <c r="AF13" s="4">
        <v>0</v>
      </c>
      <c r="AG13" s="21">
        <v>5.7960000000000003</v>
      </c>
      <c r="AH13" s="28">
        <f t="shared" ref="AH13:AH15" si="8">((AI13+SQRT(AI13^2-4))/2)^2</f>
        <v>4.369380411393017</v>
      </c>
      <c r="AI13" s="23">
        <f>3*B13*(AG13-1)/C13</f>
        <v>2.5687050847457629</v>
      </c>
    </row>
    <row r="14" spans="1:35" x14ac:dyDescent="0.4">
      <c r="A14" s="1" t="s">
        <v>18</v>
      </c>
      <c r="B14" s="3">
        <v>0.33600000000000002</v>
      </c>
      <c r="C14" s="8">
        <v>1.58</v>
      </c>
      <c r="D14" s="15">
        <v>4.6100000000000003</v>
      </c>
      <c r="E14" s="14">
        <v>4.72</v>
      </c>
      <c r="F14" s="7">
        <v>4.3650000000000002</v>
      </c>
      <c r="H14" s="15">
        <f t="shared" si="1"/>
        <v>2.9671989511338528</v>
      </c>
      <c r="I14" s="16">
        <f>((M14+SQRT(M14^2-4))/2)^2</f>
        <v>3.3322974028729146</v>
      </c>
      <c r="J14" s="17">
        <f>((N14+SQRT(N14^2-4))/2)^2</f>
        <v>2.1417846784593828</v>
      </c>
      <c r="L14" s="15">
        <f t="shared" si="2"/>
        <v>2.3030886075949368</v>
      </c>
      <c r="M14" s="16">
        <f>3*B14*(E14-1)/C14</f>
        <v>2.37326582278481</v>
      </c>
      <c r="N14" s="17">
        <f>3*B14*(F14-1)/C14</f>
        <v>2.1467848101265825</v>
      </c>
      <c r="P14" s="6" t="s">
        <v>68</v>
      </c>
      <c r="Q14" s="12">
        <v>-3.742</v>
      </c>
      <c r="R14">
        <v>16.513000000000002</v>
      </c>
      <c r="S14">
        <v>0.46100000000000002</v>
      </c>
      <c r="T14" s="13">
        <v>3.4079999999999999</v>
      </c>
      <c r="V14" s="5"/>
      <c r="X14" s="12">
        <v>-3.7440000000000002</v>
      </c>
      <c r="Y14">
        <v>16.48</v>
      </c>
      <c r="Z14">
        <v>0.47799999999999998</v>
      </c>
      <c r="AA14" s="22">
        <v>5.7210000000000001</v>
      </c>
      <c r="AB14" s="25">
        <v>3.29</v>
      </c>
      <c r="AC14" s="22" t="s">
        <v>135</v>
      </c>
      <c r="AD14" s="23">
        <f t="shared" si="7"/>
        <v>6.0858926856946084E-2</v>
      </c>
      <c r="AE14">
        <v>0.05</v>
      </c>
      <c r="AF14" s="4">
        <v>0</v>
      </c>
      <c r="AG14" s="21">
        <v>6.3129999999999997</v>
      </c>
      <c r="AH14" s="28">
        <f t="shared" si="8"/>
        <v>9.382532529105184</v>
      </c>
      <c r="AI14" s="23">
        <f>3*B14*(AG14-1)/C14</f>
        <v>3.3895594936708857</v>
      </c>
    </row>
    <row r="15" spans="1:35" x14ac:dyDescent="0.4">
      <c r="A15" s="1" t="s">
        <v>19</v>
      </c>
      <c r="B15" s="3">
        <v>0.34399999999999997</v>
      </c>
      <c r="C15" s="8">
        <v>1.68</v>
      </c>
      <c r="D15" s="15">
        <v>4.74</v>
      </c>
      <c r="H15" s="15">
        <f t="shared" si="1"/>
        <v>2.9377856042269532</v>
      </c>
      <c r="J15" s="17"/>
      <c r="L15" s="15">
        <f t="shared" si="2"/>
        <v>2.2974285714285716</v>
      </c>
      <c r="N15" s="17"/>
      <c r="P15" s="6" t="s">
        <v>72</v>
      </c>
      <c r="Q15" s="12">
        <v>-5.423</v>
      </c>
      <c r="R15">
        <v>20.478000000000002</v>
      </c>
      <c r="S15">
        <v>0.52900000000000003</v>
      </c>
      <c r="T15" s="13">
        <v>3.1389999999999998</v>
      </c>
      <c r="V15" s="5"/>
      <c r="X15" s="12">
        <v>-5.4249999999999998</v>
      </c>
      <c r="Y15">
        <v>20.445</v>
      </c>
      <c r="Z15">
        <v>0.54800000000000004</v>
      </c>
      <c r="AA15" s="22">
        <v>5.3940000000000001</v>
      </c>
      <c r="AB15" s="25">
        <v>1.9</v>
      </c>
      <c r="AC15" s="22" t="s">
        <v>135</v>
      </c>
      <c r="AD15" s="23">
        <f t="shared" si="7"/>
        <v>1.7313520886505691E-2</v>
      </c>
      <c r="AE15" s="4">
        <v>0</v>
      </c>
      <c r="AF15" s="4">
        <v>0</v>
      </c>
      <c r="AG15" s="21">
        <v>5.99</v>
      </c>
      <c r="AH15" s="28">
        <f t="shared" si="8"/>
        <v>7.2582013294660817</v>
      </c>
      <c r="AI15" s="23">
        <f>3*B15*(AG15-1)/C15</f>
        <v>3.0652857142857144</v>
      </c>
    </row>
    <row r="16" spans="1:35" x14ac:dyDescent="0.4">
      <c r="A16" s="1" t="s">
        <v>120</v>
      </c>
      <c r="B16" s="3"/>
      <c r="C16" s="8"/>
      <c r="D16" s="15"/>
      <c r="H16" s="15"/>
      <c r="J16" s="17"/>
      <c r="L16" s="15"/>
      <c r="N16" s="17"/>
      <c r="P16" s="6" t="s">
        <v>121</v>
      </c>
      <c r="Q16" s="12">
        <v>-5.4050000000000002</v>
      </c>
      <c r="R16">
        <v>24.478000000000002</v>
      </c>
      <c r="S16">
        <v>0.36599999999999999</v>
      </c>
      <c r="T16" s="13">
        <v>3.1509999999999998</v>
      </c>
      <c r="V16" s="5"/>
      <c r="X16" s="12">
        <v>-5.4059999999999997</v>
      </c>
      <c r="Y16">
        <v>24.439</v>
      </c>
      <c r="Z16">
        <v>0.379</v>
      </c>
      <c r="AA16" s="22">
        <v>5.4029999999999996</v>
      </c>
      <c r="AB16" s="25"/>
      <c r="AC16" s="22"/>
      <c r="AD16" s="23"/>
      <c r="AE16" s="4">
        <v>0</v>
      </c>
      <c r="AF16" s="4"/>
      <c r="AG16" s="21"/>
      <c r="AH16" s="28"/>
      <c r="AI16" s="23"/>
    </row>
    <row r="17" spans="1:35" x14ac:dyDescent="0.4">
      <c r="A17" s="1" t="s">
        <v>122</v>
      </c>
      <c r="B17" s="3">
        <f>(-X17/(12*PI()*Z17*C17))^(1/2)</f>
        <v>0.66571062513851209</v>
      </c>
      <c r="C17" s="1">
        <v>1.1599999999999999</v>
      </c>
      <c r="D17" s="15"/>
      <c r="H17" s="15"/>
      <c r="J17" s="17"/>
      <c r="L17" s="15"/>
      <c r="N17" s="17"/>
      <c r="P17" s="6" t="s">
        <v>121</v>
      </c>
      <c r="Q17" s="12">
        <v>-4.1269999999999998</v>
      </c>
      <c r="R17">
        <v>36.954000000000001</v>
      </c>
      <c r="S17">
        <v>0.20599999999999999</v>
      </c>
      <c r="T17" s="13">
        <v>2.899</v>
      </c>
      <c r="V17" s="5"/>
      <c r="X17" s="12">
        <v>-4.1280000000000001</v>
      </c>
      <c r="Y17">
        <v>36.908000000000001</v>
      </c>
      <c r="Z17">
        <v>0.21299999999999999</v>
      </c>
      <c r="AA17" s="22">
        <v>5.13</v>
      </c>
      <c r="AB17" s="25">
        <f xml:space="preserve"> 5.411/3.842</f>
        <v>1.4083810515356583</v>
      </c>
      <c r="AC17" s="22" t="s">
        <v>135</v>
      </c>
      <c r="AD17" s="23">
        <f xml:space="preserve"> ((SQRT(AB17))^3/(AB17-1)+(SQRT(1/AB17)^3/(1/AB17-1))-2)/6</f>
        <v>4.8980209689245173E-3</v>
      </c>
      <c r="AF17" s="4"/>
      <c r="AG17" s="21"/>
      <c r="AH17" s="28"/>
      <c r="AI17" s="23"/>
    </row>
    <row r="18" spans="1:35" x14ac:dyDescent="0.4">
      <c r="A18" s="1" t="s">
        <v>123</v>
      </c>
      <c r="B18" s="3"/>
      <c r="C18" s="8"/>
      <c r="D18" s="15"/>
      <c r="H18" s="15"/>
      <c r="J18" s="17"/>
      <c r="L18" s="15"/>
      <c r="N18" s="17"/>
      <c r="P18" s="6" t="s">
        <v>94</v>
      </c>
      <c r="Q18" s="12">
        <v>-1.839</v>
      </c>
      <c r="R18">
        <v>35.549999999999997</v>
      </c>
      <c r="S18">
        <v>0.13</v>
      </c>
      <c r="T18" s="13">
        <v>3.2909999999999999</v>
      </c>
      <c r="V18" s="5"/>
      <c r="X18" s="12">
        <v>-1.839</v>
      </c>
      <c r="Y18">
        <v>35.49</v>
      </c>
      <c r="Z18">
        <v>0.13500000000000001</v>
      </c>
      <c r="AA18" s="22">
        <v>5.556</v>
      </c>
      <c r="AF18" s="4"/>
      <c r="AG18" s="21"/>
      <c r="AH18" s="28"/>
      <c r="AI18" s="23"/>
    </row>
    <row r="19" spans="1:35" x14ac:dyDescent="0.4">
      <c r="A19" s="1" t="s">
        <v>20</v>
      </c>
      <c r="B19" s="3">
        <v>0.65100000000000002</v>
      </c>
      <c r="C19" s="8">
        <v>2.573</v>
      </c>
      <c r="D19" s="15">
        <v>4.0199999999999996</v>
      </c>
      <c r="E19" s="14">
        <v>4.07</v>
      </c>
      <c r="F19" s="7">
        <v>3.7080000000000002</v>
      </c>
      <c r="H19" s="15">
        <f t="shared" si="1"/>
        <v>2.9110737143238317</v>
      </c>
      <c r="I19" s="16">
        <f>((M19+SQRT(M19^2-4))/2)^2</f>
        <v>3.1083041069446051</v>
      </c>
      <c r="J19" s="17">
        <f>((N19+SQRT(N19^2-4))/2)^2</f>
        <v>1.5999284912534495</v>
      </c>
      <c r="L19" s="15">
        <f t="shared" si="2"/>
        <v>2.2922891566265058</v>
      </c>
      <c r="M19" s="16">
        <f>3*B19*(E19-1)/C19</f>
        <v>2.330240963855422</v>
      </c>
      <c r="N19" s="17">
        <f>3*B19*(F19-1)/C19</f>
        <v>2.0554698795180726</v>
      </c>
      <c r="P19" s="6" t="s">
        <v>69</v>
      </c>
      <c r="Q19" s="12">
        <v>-1.097</v>
      </c>
      <c r="R19">
        <v>73.855999999999995</v>
      </c>
      <c r="S19">
        <v>2.1999999999999999E-2</v>
      </c>
      <c r="T19" s="13">
        <v>2.6669999999999998</v>
      </c>
      <c r="V19" s="5"/>
      <c r="X19" s="12">
        <v>-1.097</v>
      </c>
      <c r="Y19">
        <v>73.760999999999996</v>
      </c>
      <c r="Z19">
        <v>2.3E-2</v>
      </c>
      <c r="AA19" s="22">
        <v>4.8689999999999998</v>
      </c>
      <c r="AB19" s="25">
        <v>3.63</v>
      </c>
      <c r="AC19" s="22" t="s">
        <v>135</v>
      </c>
      <c r="AD19" s="23">
        <f t="shared" ref="AD19" si="9" xml:space="preserve"> ((SQRT(AB19))^3/(AB19-1)+(SQRT(1/AB19)^3/(1/AB19-1))-2)/6</f>
        <v>7.1686628234540598E-2</v>
      </c>
      <c r="AF19" s="4">
        <v>0</v>
      </c>
      <c r="AG19" s="21">
        <v>5.5439999999999996</v>
      </c>
      <c r="AH19" s="28">
        <f>((AI19+SQRT(AI19^2-4))/2)^2</f>
        <v>9.7939123029715596</v>
      </c>
      <c r="AI19" s="23">
        <f>3*B19*(AG19-1)/C19</f>
        <v>3.4490602409638549</v>
      </c>
    </row>
    <row r="20" spans="1:35" x14ac:dyDescent="0.4">
      <c r="A20" s="1" t="s">
        <v>21</v>
      </c>
      <c r="B20" s="3">
        <v>0.48299999999999998</v>
      </c>
      <c r="C20" s="8">
        <v>2.1800000000000002</v>
      </c>
      <c r="D20" s="15">
        <v>6.28</v>
      </c>
      <c r="F20" s="7">
        <v>4.2220000000000004</v>
      </c>
      <c r="H20" s="15">
        <f t="shared" si="1"/>
        <v>10.218763246909798</v>
      </c>
      <c r="J20" s="17">
        <f>((N20+SQRT(N20^2-4))/2)^2</f>
        <v>2.1132192464193773</v>
      </c>
      <c r="L20" s="15">
        <f t="shared" si="2"/>
        <v>3.5095045871559631</v>
      </c>
      <c r="N20" s="17">
        <f>3*B20*(F20-1)/C20</f>
        <v>2.1415954128440364</v>
      </c>
      <c r="P20" s="6" t="s">
        <v>67</v>
      </c>
      <c r="Q20" s="12">
        <v>-1.9970000000000001</v>
      </c>
      <c r="R20">
        <v>42.506</v>
      </c>
      <c r="S20">
        <v>0.105</v>
      </c>
      <c r="T20" s="13">
        <v>2.173</v>
      </c>
      <c r="V20" s="5">
        <v>3.93269</v>
      </c>
      <c r="X20" s="12">
        <v>-1.9970000000000001</v>
      </c>
      <c r="Y20">
        <v>42.460999999999999</v>
      </c>
      <c r="Z20">
        <v>0.108</v>
      </c>
      <c r="AA20" s="22">
        <v>4.3360000000000003</v>
      </c>
      <c r="AB20" s="25">
        <f t="shared" ref="AB20:AB30" si="10">((AC20+SQRT(AC20^2-4))/2)^2</f>
        <v>2.5198801585601389</v>
      </c>
      <c r="AC20" s="22">
        <f t="shared" ref="AC20:AC28" si="11">3*B20*(AA20-1)/C20</f>
        <v>2.2173688073394495</v>
      </c>
      <c r="AD20" s="23">
        <f t="shared" ref="AD20:AD25" si="12" xml:space="preserve"> ((SQRT(AB20))^3/(AB20-1)+(SQRT(1/AB20)^3/(1/AB20-1))-2)/6</f>
        <v>3.622813455657492E-2</v>
      </c>
      <c r="AE20">
        <v>0.05</v>
      </c>
      <c r="AF20" s="4"/>
      <c r="AG20" s="21">
        <v>5.1289999999999996</v>
      </c>
      <c r="AH20" s="28">
        <f>((AI20+SQRT(AI20^2-4))/2)^2</f>
        <v>5.3449641661580847</v>
      </c>
      <c r="AI20" s="23">
        <f>3*B20*(AG20-1)/C20</f>
        <v>2.7444591743119258</v>
      </c>
    </row>
    <row r="21" spans="1:35" x14ac:dyDescent="0.4">
      <c r="A21" s="1" t="s">
        <v>85</v>
      </c>
      <c r="B21" s="3">
        <f>(-X21/(12*PI()*Z21*C21))^(1/2)</f>
        <v>0.53072600395129799</v>
      </c>
      <c r="C21" s="8">
        <v>1.7749999999999999</v>
      </c>
      <c r="D21" s="15"/>
      <c r="H21" s="15"/>
      <c r="J21" s="17"/>
      <c r="L21" s="15"/>
      <c r="N21" s="17"/>
      <c r="P21" s="6" t="s">
        <v>90</v>
      </c>
      <c r="Q21" s="12">
        <v>-6.3319999999999999</v>
      </c>
      <c r="R21">
        <v>24.725000000000001</v>
      </c>
      <c r="S21">
        <v>0.32600000000000001</v>
      </c>
      <c r="T21" s="13">
        <v>2.2559999999999998</v>
      </c>
      <c r="V21" s="5">
        <v>3.2208999999999999</v>
      </c>
      <c r="X21" s="12">
        <v>-6.3330000000000002</v>
      </c>
      <c r="Y21">
        <v>24.701000000000001</v>
      </c>
      <c r="Z21">
        <v>0.33600000000000002</v>
      </c>
      <c r="AA21" s="22">
        <v>4.407</v>
      </c>
      <c r="AB21" s="25">
        <f>((AC21+SQRT(AC21^2-4))/2)^2</f>
        <v>7.200780351601324</v>
      </c>
      <c r="AC21" s="22">
        <f t="shared" si="11"/>
        <v>3.0560847810626575</v>
      </c>
      <c r="AD21" s="23">
        <f t="shared" ref="AD21" si="13" xml:space="preserve"> ((SQRT(AB21))^3/(AB21-1)+(SQRT(1/AB21)^3/(1/AB21-1))-2)/6</f>
        <v>0.17601413017710957</v>
      </c>
      <c r="AF21" s="4">
        <v>0</v>
      </c>
      <c r="AG21" s="21"/>
      <c r="AH21" s="28"/>
      <c r="AI21" s="23"/>
    </row>
    <row r="22" spans="1:35" x14ac:dyDescent="0.4">
      <c r="A22" s="1" t="s">
        <v>22</v>
      </c>
      <c r="B22" s="3">
        <v>0.34</v>
      </c>
      <c r="C22" s="8">
        <v>1.62</v>
      </c>
      <c r="D22" s="15">
        <v>4.6500000000000004</v>
      </c>
      <c r="F22" s="7">
        <v>3.7080000000000002</v>
      </c>
      <c r="H22" s="15">
        <f t="shared" si="1"/>
        <v>2.9415252216835031</v>
      </c>
      <c r="J22" s="17" t="e">
        <f>((N22+SQRT(N22^2-4))/2)^2</f>
        <v>#NUM!</v>
      </c>
      <c r="L22" s="15">
        <f t="shared" si="2"/>
        <v>2.2981481481481483</v>
      </c>
      <c r="N22" s="17">
        <f>3*B22*(F22-1)/C22</f>
        <v>1.7050370370370371</v>
      </c>
      <c r="P22" s="6" t="s">
        <v>73</v>
      </c>
      <c r="Q22" s="12">
        <v>-7.8959999999999999</v>
      </c>
      <c r="R22">
        <v>17.148</v>
      </c>
      <c r="S22">
        <v>0.68100000000000005</v>
      </c>
      <c r="T22" s="13">
        <v>2.524</v>
      </c>
      <c r="V22" s="5">
        <v>2.87941</v>
      </c>
      <c r="X22" s="12">
        <v>-7.8970000000000002</v>
      </c>
      <c r="Y22">
        <v>17.128</v>
      </c>
      <c r="Z22">
        <v>0.70299999999999996</v>
      </c>
      <c r="AA22" s="22">
        <v>4.7089999999999996</v>
      </c>
      <c r="AB22" s="25">
        <f t="shared" si="10"/>
        <v>3.1345875541826009</v>
      </c>
      <c r="AC22" s="22">
        <f t="shared" si="11"/>
        <v>2.335296296296296</v>
      </c>
      <c r="AD22" s="23">
        <f t="shared" si="12"/>
        <v>5.5882716049382664E-2</v>
      </c>
      <c r="AE22" s="4">
        <v>0</v>
      </c>
      <c r="AF22" s="4">
        <v>0</v>
      </c>
      <c r="AG22" s="21">
        <v>5.4139999999999997</v>
      </c>
      <c r="AH22" s="28">
        <f>((AI22+SQRT(AI22^2-4))/2)^2</f>
        <v>5.5434781325131768</v>
      </c>
      <c r="AI22" s="23">
        <f>3*B22*(AG22-1)/C22</f>
        <v>2.779185185185185</v>
      </c>
    </row>
    <row r="23" spans="1:35" x14ac:dyDescent="0.4">
      <c r="A23" s="1" t="s">
        <v>23</v>
      </c>
      <c r="B23" s="3">
        <v>0.31</v>
      </c>
      <c r="C23" s="8">
        <v>1.49</v>
      </c>
      <c r="D23" s="15">
        <v>4.6900000000000004</v>
      </c>
      <c r="F23" s="7">
        <v>3.9710000000000001</v>
      </c>
      <c r="H23" s="15">
        <f t="shared" si="1"/>
        <v>2.9675406386446403</v>
      </c>
      <c r="J23" s="17" t="e">
        <f>((N23+SQRT(N23^2-4))/2)^2</f>
        <v>#NUM!</v>
      </c>
      <c r="L23" s="15">
        <f t="shared" si="2"/>
        <v>2.3031543624161075</v>
      </c>
      <c r="N23" s="17">
        <f>3*B23*(F23-1)/C23</f>
        <v>1.8543825503355706</v>
      </c>
      <c r="P23" s="6" t="s">
        <v>69</v>
      </c>
      <c r="Q23" s="12">
        <v>-9.0790000000000006</v>
      </c>
      <c r="R23">
        <v>13.494</v>
      </c>
      <c r="S23">
        <v>1.1020000000000001</v>
      </c>
      <c r="T23" s="13">
        <v>2.726</v>
      </c>
      <c r="V23" s="5"/>
      <c r="X23" s="12">
        <v>-9.0809999999999995</v>
      </c>
      <c r="Y23">
        <v>13.476000000000001</v>
      </c>
      <c r="Z23">
        <v>1.139</v>
      </c>
      <c r="AA23" s="22">
        <v>4.9379999999999997</v>
      </c>
      <c r="AB23" s="25">
        <f t="shared" si="10"/>
        <v>3.7767200385155371</v>
      </c>
      <c r="AC23" s="22">
        <f t="shared" si="11"/>
        <v>2.4579463087248317</v>
      </c>
      <c r="AD23" s="23">
        <f t="shared" si="12"/>
        <v>7.6324384787472013E-2</v>
      </c>
      <c r="AE23" s="4">
        <v>0</v>
      </c>
      <c r="AF23" s="4">
        <v>0</v>
      </c>
      <c r="AG23" s="21">
        <v>5.617</v>
      </c>
      <c r="AH23" s="28">
        <f t="shared" ref="AH23:AH32" si="14">((AI23+SQRT(AI23^2-4))/2)^2</f>
        <v>6.1416705842907389</v>
      </c>
      <c r="AI23" s="23">
        <f>3*B23*(AG23-1)/C23</f>
        <v>2.8817516778523489</v>
      </c>
    </row>
    <row r="24" spans="1:35" x14ac:dyDescent="0.4">
      <c r="A24" s="1" t="s">
        <v>24</v>
      </c>
      <c r="B24" s="3">
        <v>0.254</v>
      </c>
      <c r="C24" s="8">
        <v>1.42</v>
      </c>
      <c r="D24" s="15">
        <v>5.29</v>
      </c>
      <c r="F24" s="7">
        <v>4.6059999999999999</v>
      </c>
      <c r="H24" s="15">
        <f t="shared" si="1"/>
        <v>2.9620544027866487</v>
      </c>
      <c r="J24" s="17" t="e">
        <f>((N24+SQRT(N24^2-4))/2)^2</f>
        <v>#NUM!</v>
      </c>
      <c r="L24" s="15">
        <f t="shared" si="2"/>
        <v>2.3020985915492957</v>
      </c>
      <c r="N24" s="17">
        <f>3*B24*(F24-1)/C24</f>
        <v>1.9350507042253522</v>
      </c>
      <c r="P24" s="6" t="s">
        <v>69</v>
      </c>
      <c r="Q24" s="12">
        <v>-9.6300000000000008</v>
      </c>
      <c r="R24">
        <v>11.603999999999999</v>
      </c>
      <c r="S24">
        <v>1.5509999999999999</v>
      </c>
      <c r="T24" s="13">
        <v>3.1219999999999999</v>
      </c>
      <c r="V24" s="5"/>
      <c r="X24" s="12">
        <v>-9.6319999999999997</v>
      </c>
      <c r="Y24">
        <v>11.586</v>
      </c>
      <c r="Z24">
        <v>1.605</v>
      </c>
      <c r="AA24" s="22">
        <v>5.375</v>
      </c>
      <c r="AB24" s="25">
        <f t="shared" si="10"/>
        <v>3.19916680849331</v>
      </c>
      <c r="AC24" s="22">
        <f t="shared" si="11"/>
        <v>2.347711267605634</v>
      </c>
      <c r="AD24" s="23">
        <f t="shared" si="12"/>
        <v>5.7951877934272332E-2</v>
      </c>
      <c r="AE24" s="4">
        <v>0</v>
      </c>
      <c r="AF24" s="4">
        <v>0</v>
      </c>
      <c r="AG24" s="21">
        <v>5.9669999999999996</v>
      </c>
      <c r="AH24" s="28">
        <f t="shared" si="14"/>
        <v>4.9002326599270356</v>
      </c>
      <c r="AI24" s="23">
        <f>3*B24*(AG24-1)/C24</f>
        <v>2.6653901408450702</v>
      </c>
    </row>
    <row r="25" spans="1:35" x14ac:dyDescent="0.4">
      <c r="A25" s="1" t="s">
        <v>91</v>
      </c>
      <c r="B25" s="3">
        <f>(-X25/(12*PI()*Z25*C25))^(1/2)</f>
        <v>0.38663974973973514</v>
      </c>
      <c r="C25" s="8">
        <v>1.4562957000000001</v>
      </c>
      <c r="D25" s="15"/>
      <c r="H25" s="15"/>
      <c r="J25" s="17"/>
      <c r="L25" s="15"/>
      <c r="N25" s="17"/>
      <c r="P25" s="6" t="s">
        <v>92</v>
      </c>
      <c r="Q25" s="12">
        <v>-9.1489999999999991</v>
      </c>
      <c r="R25">
        <v>11.144</v>
      </c>
      <c r="S25">
        <v>1.0680000000000001</v>
      </c>
      <c r="T25" s="13">
        <v>5.3010000000000002</v>
      </c>
      <c r="V25" s="5"/>
      <c r="X25" s="12">
        <v>-9.1509999999999998</v>
      </c>
      <c r="Y25">
        <v>11.1</v>
      </c>
      <c r="Z25">
        <v>1.115</v>
      </c>
      <c r="AA25" s="22">
        <v>7.931</v>
      </c>
      <c r="AB25" s="25">
        <f t="shared" ref="AB25" si="15">((AC25+SQRT(AC25^2-4))/2)^2</f>
        <v>28.440151446942519</v>
      </c>
      <c r="AC25" s="22">
        <f t="shared" si="11"/>
        <v>5.5204450005162498</v>
      </c>
      <c r="AD25" s="23">
        <f t="shared" si="12"/>
        <v>0.586740833419375</v>
      </c>
      <c r="AE25" s="4">
        <v>0</v>
      </c>
      <c r="AF25" s="4">
        <v>0</v>
      </c>
      <c r="AG25" s="21"/>
      <c r="AH25" s="28"/>
      <c r="AI25" s="23"/>
    </row>
    <row r="26" spans="1:35" x14ac:dyDescent="0.4">
      <c r="A26" s="1" t="s">
        <v>25</v>
      </c>
      <c r="B26" s="3">
        <v>0.27400000000000002</v>
      </c>
      <c r="C26" s="8">
        <v>1.41</v>
      </c>
      <c r="D26" s="15">
        <v>4.96</v>
      </c>
      <c r="H26" s="15">
        <f t="shared" si="1"/>
        <v>2.9958153707541055</v>
      </c>
      <c r="J26" s="17"/>
      <c r="L26" s="15">
        <f t="shared" si="2"/>
        <v>2.3085957446808512</v>
      </c>
      <c r="N26" s="17"/>
      <c r="P26" s="6" t="s">
        <v>69</v>
      </c>
      <c r="Q26" s="12">
        <v>-8.4540000000000006</v>
      </c>
      <c r="R26">
        <v>11.526999999999999</v>
      </c>
      <c r="S26">
        <v>1.036</v>
      </c>
      <c r="T26" s="13">
        <v>3.9580000000000002</v>
      </c>
      <c r="V26" s="5"/>
      <c r="X26" s="12">
        <v>-8.4559999999999995</v>
      </c>
      <c r="Y26">
        <v>11.497999999999999</v>
      </c>
      <c r="Z26">
        <v>1.077</v>
      </c>
      <c r="AA26" s="22">
        <v>6.3559999999999999</v>
      </c>
      <c r="AB26" s="25">
        <f t="shared" si="10"/>
        <v>7.618332021653929</v>
      </c>
      <c r="AC26" s="22">
        <f t="shared" si="11"/>
        <v>3.1224340425531922</v>
      </c>
      <c r="AD26" s="23">
        <f t="shared" ref="AD26" si="16" xml:space="preserve"> ((SQRT(AB26))^3/(AB26-1)+(SQRT(1/AB26)^3/(1/AB26-1))-2)/6</f>
        <v>0.18707234042553203</v>
      </c>
      <c r="AE26">
        <v>0.05</v>
      </c>
      <c r="AF26" s="4">
        <v>0</v>
      </c>
      <c r="AG26" s="21">
        <v>2.82</v>
      </c>
      <c r="AH26" s="28"/>
      <c r="AI26" s="23">
        <f>3*B26*(AG26-1)/C26</f>
        <v>1.0610212765957447</v>
      </c>
    </row>
    <row r="27" spans="1:35" x14ac:dyDescent="0.4">
      <c r="A27" s="1" t="s">
        <v>26</v>
      </c>
      <c r="B27" s="3">
        <v>0.26200000000000001</v>
      </c>
      <c r="C27" s="8">
        <v>1.39</v>
      </c>
      <c r="D27" s="15">
        <v>5.07</v>
      </c>
      <c r="F27" s="7">
        <v>4.4370000000000003</v>
      </c>
      <c r="H27" s="15">
        <f t="shared" si="1"/>
        <v>2.9587008198878118</v>
      </c>
      <c r="J27" s="17" t="e">
        <f>((N27+SQRT(N27^2-4))/2)^2</f>
        <v>#NUM!</v>
      </c>
      <c r="L27" s="15">
        <f t="shared" si="2"/>
        <v>2.3014532374100725</v>
      </c>
      <c r="N27" s="17">
        <f>3*B27*(F27-1)/C27</f>
        <v>1.9435122302158276</v>
      </c>
      <c r="P27" s="6" t="s">
        <v>67</v>
      </c>
      <c r="Q27" s="12">
        <v>-7.1050000000000004</v>
      </c>
      <c r="R27">
        <v>10.911</v>
      </c>
      <c r="S27">
        <v>1.2589999999999999</v>
      </c>
      <c r="T27" s="13">
        <v>3.4449999999999998</v>
      </c>
      <c r="V27" s="5">
        <v>2.4802399999999998</v>
      </c>
      <c r="X27" s="12">
        <v>-7.1079999999999997</v>
      </c>
      <c r="Y27">
        <v>10.888999999999999</v>
      </c>
      <c r="Z27">
        <v>1.3049999999999999</v>
      </c>
      <c r="AA27" s="22">
        <v>5.7539999999999996</v>
      </c>
      <c r="AB27" s="25">
        <f t="shared" si="10"/>
        <v>5.0276990219299922</v>
      </c>
      <c r="AC27" s="22">
        <f t="shared" si="11"/>
        <v>2.6882330935251799</v>
      </c>
      <c r="AD27" s="23">
        <f t="shared" ref="AD27:AD30" si="17" xml:space="preserve"> ((SQRT(AB27))^3/(AB27-1)+(SQRT(1/AB27)^3/(1/AB27-1))-2)/6</f>
        <v>0.11470551558752999</v>
      </c>
      <c r="AE27" s="4">
        <v>0</v>
      </c>
      <c r="AF27" s="4">
        <v>0</v>
      </c>
      <c r="AG27" s="21">
        <v>6.3230000000000004</v>
      </c>
      <c r="AH27" s="28">
        <f t="shared" si="14"/>
        <v>6.9153999229692085</v>
      </c>
      <c r="AI27" s="23">
        <f>3*B27*(AG27-1)/C27</f>
        <v>3.0099841726618712</v>
      </c>
    </row>
    <row r="28" spans="1:35" x14ac:dyDescent="0.4">
      <c r="A28" s="1" t="s">
        <v>27</v>
      </c>
      <c r="B28" s="3">
        <v>0.27</v>
      </c>
      <c r="C28" s="8">
        <v>1.38</v>
      </c>
      <c r="D28" s="15">
        <v>4.92</v>
      </c>
      <c r="H28" s="15">
        <f t="shared" si="1"/>
        <v>2.9556677328143475</v>
      </c>
      <c r="J28" s="17"/>
      <c r="L28" s="15">
        <f t="shared" si="2"/>
        <v>2.3008695652173916</v>
      </c>
      <c r="N28" s="17"/>
      <c r="P28" s="6" t="s">
        <v>68</v>
      </c>
      <c r="Q28" s="12">
        <v>-5.7750000000000004</v>
      </c>
      <c r="R28">
        <v>10.949</v>
      </c>
      <c r="S28">
        <v>1.179</v>
      </c>
      <c r="T28" s="13">
        <v>3.637</v>
      </c>
      <c r="V28" s="5"/>
      <c r="X28" s="12">
        <v>-5.7759999999999998</v>
      </c>
      <c r="Y28">
        <v>10.923</v>
      </c>
      <c r="Z28">
        <v>1.222</v>
      </c>
      <c r="AA28" s="22">
        <v>6.0060000000000002</v>
      </c>
      <c r="AB28" s="25">
        <f t="shared" si="10"/>
        <v>6.4792946531588216</v>
      </c>
      <c r="AC28" s="22">
        <f t="shared" si="11"/>
        <v>2.9383043478260875</v>
      </c>
      <c r="AD28" s="23">
        <f t="shared" si="17"/>
        <v>0.1563840579710146</v>
      </c>
      <c r="AE28" s="4">
        <v>0.05</v>
      </c>
      <c r="AF28" s="4">
        <v>0</v>
      </c>
      <c r="AG28" s="21">
        <v>6.6079999999999997</v>
      </c>
      <c r="AH28" s="28">
        <f t="shared" si="14"/>
        <v>8.7202990679260441</v>
      </c>
      <c r="AI28" s="23">
        <f>3*B28*(AG28-1)/C28</f>
        <v>3.291652173913044</v>
      </c>
    </row>
    <row r="29" spans="1:35" x14ac:dyDescent="0.4">
      <c r="A29" s="1" t="s">
        <v>10</v>
      </c>
      <c r="B29" s="3">
        <v>0.27200000000000002</v>
      </c>
      <c r="C29" s="8">
        <v>1.41</v>
      </c>
      <c r="D29" s="15">
        <v>4.99</v>
      </c>
      <c r="E29" s="14">
        <v>5.23</v>
      </c>
      <c r="F29" s="7">
        <v>5.1929999999999996</v>
      </c>
      <c r="H29" s="15">
        <f t="shared" si="1"/>
        <v>2.9984687261523426</v>
      </c>
      <c r="I29" s="16">
        <f>((M29+SQRT(M29^2-4))/2)^2</f>
        <v>3.7241891763288364</v>
      </c>
      <c r="J29" s="17">
        <f>((N29+SQRT(N29^2-4))/2)^2</f>
        <v>3.6114267289747048</v>
      </c>
      <c r="L29" s="15">
        <f t="shared" si="2"/>
        <v>2.3091063829787237</v>
      </c>
      <c r="M29" s="16">
        <f>3*B29*(E29-1)/C29</f>
        <v>2.4480000000000004</v>
      </c>
      <c r="N29" s="17">
        <f>3*B29*(F29-1)/C29</f>
        <v>2.4265872340425534</v>
      </c>
      <c r="P29" s="6" t="s">
        <v>68</v>
      </c>
      <c r="Q29" s="12">
        <v>-4.0940000000000003</v>
      </c>
      <c r="R29">
        <v>12.031000000000001</v>
      </c>
      <c r="S29">
        <v>0.83099999999999996</v>
      </c>
      <c r="T29" s="13">
        <v>3.7810000000000001</v>
      </c>
      <c r="V29" s="5"/>
      <c r="X29" s="12">
        <v>-4.0960000000000001</v>
      </c>
      <c r="Y29">
        <v>12.000999999999999</v>
      </c>
      <c r="Z29">
        <v>0.86199999999999999</v>
      </c>
      <c r="AA29" s="22">
        <v>6.173</v>
      </c>
      <c r="AB29" s="25">
        <v>3.13</v>
      </c>
      <c r="AC29" s="22" t="s">
        <v>135</v>
      </c>
      <c r="AD29" s="23">
        <f t="shared" si="17"/>
        <v>5.5735670039939102E-2</v>
      </c>
      <c r="AE29">
        <v>0.05</v>
      </c>
      <c r="AF29" s="4">
        <v>0</v>
      </c>
      <c r="AG29" s="21">
        <v>6.7480000000000002</v>
      </c>
      <c r="AH29" s="28">
        <f t="shared" si="14"/>
        <v>8.9539336478531943</v>
      </c>
      <c r="AI29" s="23">
        <f>3*B29*(AG29-1)/C29</f>
        <v>3.326502127659575</v>
      </c>
    </row>
    <row r="30" spans="1:35" x14ac:dyDescent="0.4">
      <c r="A30" s="1" t="s">
        <v>28</v>
      </c>
      <c r="B30" s="3">
        <v>0.215</v>
      </c>
      <c r="C30" s="8">
        <v>1.54</v>
      </c>
      <c r="D30" s="15">
        <v>6.49</v>
      </c>
      <c r="F30" s="7">
        <v>6.3150000000000004</v>
      </c>
      <c r="H30" s="15">
        <f t="shared" si="1"/>
        <v>2.9479431509361413</v>
      </c>
      <c r="J30" s="17">
        <f>((N30+SQRT(N30^2-4))/2)^2</f>
        <v>2.5657107289747128</v>
      </c>
      <c r="L30" s="15">
        <f t="shared" si="2"/>
        <v>2.2993831168831171</v>
      </c>
      <c r="N30" s="17">
        <f>3*B30*(F30-1)/C30</f>
        <v>2.2260876623376626</v>
      </c>
      <c r="P30" s="6" t="s">
        <v>67</v>
      </c>
      <c r="Q30" s="12">
        <v>-1.2649999999999999</v>
      </c>
      <c r="R30">
        <v>15.292999999999999</v>
      </c>
      <c r="S30">
        <v>0.42899999999999999</v>
      </c>
      <c r="T30" s="13">
        <v>4.0990000000000002</v>
      </c>
      <c r="V30" s="5">
        <v>3.01309</v>
      </c>
      <c r="X30" s="12">
        <v>-1.266</v>
      </c>
      <c r="Y30">
        <v>15.255000000000001</v>
      </c>
      <c r="Z30">
        <v>0.44600000000000001</v>
      </c>
      <c r="AA30" s="22">
        <v>6.49</v>
      </c>
      <c r="AB30" s="25">
        <f t="shared" si="10"/>
        <v>2.9479431509361413</v>
      </c>
      <c r="AC30" s="22">
        <f>3*B30*(AA30-1)/C30</f>
        <v>2.2993831168831171</v>
      </c>
      <c r="AD30" s="23">
        <f t="shared" si="17"/>
        <v>4.9897186147186266E-2</v>
      </c>
      <c r="AE30" s="4">
        <v>0.05</v>
      </c>
      <c r="AF30" s="4">
        <v>0.05</v>
      </c>
      <c r="AG30" s="21">
        <v>6.8849999999999998</v>
      </c>
      <c r="AH30" s="28">
        <f t="shared" si="14"/>
        <v>3.8130901908629715</v>
      </c>
      <c r="AI30" s="23">
        <f>3*B30*(AG30-1)/C30</f>
        <v>2.4648214285714283</v>
      </c>
    </row>
    <row r="31" spans="1:35" x14ac:dyDescent="0.4">
      <c r="A31" s="1" t="s">
        <v>93</v>
      </c>
      <c r="B31" s="3"/>
      <c r="C31" s="8"/>
      <c r="D31" s="15"/>
      <c r="H31" s="15"/>
      <c r="J31" s="17"/>
      <c r="L31" s="15"/>
      <c r="N31" s="17"/>
      <c r="P31" s="6" t="s">
        <v>94</v>
      </c>
      <c r="Q31" s="12">
        <v>-3.03</v>
      </c>
      <c r="R31">
        <v>20.388000000000002</v>
      </c>
      <c r="S31">
        <v>0.29099999999999998</v>
      </c>
      <c r="T31" s="13">
        <v>3.9569999999999999</v>
      </c>
      <c r="V31" s="5"/>
      <c r="X31" s="12">
        <v>-3.0310000000000001</v>
      </c>
      <c r="Y31">
        <v>20.34</v>
      </c>
      <c r="Z31">
        <v>0.30299999999999999</v>
      </c>
      <c r="AA31" s="22">
        <v>6.3289999999999997</v>
      </c>
      <c r="AB31" s="25"/>
      <c r="AC31" s="22"/>
      <c r="AD31" s="23"/>
      <c r="AE31">
        <v>0.05</v>
      </c>
      <c r="AF31" s="4">
        <v>0</v>
      </c>
      <c r="AG31" s="21"/>
      <c r="AH31" s="28"/>
      <c r="AI31" s="23"/>
    </row>
    <row r="32" spans="1:35" x14ac:dyDescent="0.4">
      <c r="A32" s="1" t="s">
        <v>29</v>
      </c>
      <c r="B32" s="3">
        <v>0.34799999999999998</v>
      </c>
      <c r="C32" s="8">
        <v>1.76</v>
      </c>
      <c r="D32" s="15">
        <v>4.84</v>
      </c>
      <c r="H32" s="15">
        <f t="shared" si="1"/>
        <v>2.8358245441806531</v>
      </c>
      <c r="J32" s="17"/>
      <c r="L32" s="15">
        <f t="shared" si="2"/>
        <v>2.2778181818181817</v>
      </c>
      <c r="N32" s="17"/>
      <c r="P32" s="6" t="s">
        <v>72</v>
      </c>
      <c r="Q32" s="12">
        <v>-4.6210000000000004</v>
      </c>
      <c r="R32">
        <v>23.959</v>
      </c>
      <c r="S32">
        <v>0.35299999999999998</v>
      </c>
      <c r="T32" s="13">
        <v>3.5870000000000002</v>
      </c>
      <c r="V32" s="5"/>
      <c r="X32" s="12">
        <v>-4.6230000000000002</v>
      </c>
      <c r="Y32">
        <v>23.911000000000001</v>
      </c>
      <c r="Z32">
        <v>0.36699999999999999</v>
      </c>
      <c r="AA32" s="22">
        <v>5.8979999999999997</v>
      </c>
      <c r="AB32" s="25">
        <v>2</v>
      </c>
      <c r="AC32" s="22" t="s">
        <v>135</v>
      </c>
      <c r="AD32" s="23">
        <f t="shared" ref="AD32" si="18" xml:space="preserve"> ((SQRT(AB32))^3/(AB32-1)+(SQRT(1/AB32)^3/(1/AB32-1))-2)/6</f>
        <v>2.0220057259940472E-2</v>
      </c>
      <c r="AE32" s="4">
        <v>0</v>
      </c>
      <c r="AF32" s="4">
        <v>0</v>
      </c>
      <c r="AG32" s="21">
        <v>6.3810000000000002</v>
      </c>
      <c r="AH32" s="28">
        <f t="shared" si="14"/>
        <v>8.0642947492824746</v>
      </c>
      <c r="AI32" s="23">
        <f>3*B32*(AG32-1)/C32</f>
        <v>3.1919113636363639</v>
      </c>
    </row>
    <row r="33" spans="1:35" x14ac:dyDescent="0.4">
      <c r="A33" s="1" t="s">
        <v>126</v>
      </c>
      <c r="B33" s="3"/>
      <c r="C33" s="8"/>
      <c r="D33" s="15"/>
      <c r="H33" s="15"/>
      <c r="J33" s="17"/>
      <c r="L33" s="15"/>
      <c r="N33" s="17"/>
      <c r="P33" s="6" t="s">
        <v>87</v>
      </c>
      <c r="Q33" s="12">
        <v>-4.6509999999999998</v>
      </c>
      <c r="R33">
        <v>22.611999999999998</v>
      </c>
      <c r="S33">
        <v>0.41</v>
      </c>
      <c r="T33" s="13">
        <v>3.085</v>
      </c>
      <c r="V33" s="5"/>
      <c r="X33" s="12">
        <v>-4.6529999999999996</v>
      </c>
      <c r="Y33">
        <v>22.576000000000001</v>
      </c>
      <c r="Z33">
        <v>0.43</v>
      </c>
      <c r="AA33" s="22">
        <v>5.3330000000000002</v>
      </c>
      <c r="AB33" s="25">
        <v>2</v>
      </c>
      <c r="AC33" s="22" t="s">
        <v>135</v>
      </c>
      <c r="AD33" s="23"/>
      <c r="AF33" s="4"/>
      <c r="AG33" s="21"/>
      <c r="AH33" s="28"/>
      <c r="AI33" s="23"/>
    </row>
    <row r="34" spans="1:35" x14ac:dyDescent="0.4">
      <c r="A34" s="1" t="s">
        <v>127</v>
      </c>
      <c r="B34" s="3"/>
      <c r="C34" s="8"/>
      <c r="D34" s="15"/>
      <c r="H34" s="15"/>
      <c r="J34" s="17"/>
      <c r="L34" s="15"/>
      <c r="N34" s="17"/>
      <c r="P34" s="6" t="s">
        <v>128</v>
      </c>
      <c r="Q34" s="12">
        <v>-3.4830000000000001</v>
      </c>
      <c r="R34">
        <v>29.824000000000002</v>
      </c>
      <c r="S34">
        <v>0.28399999999999997</v>
      </c>
      <c r="T34" s="13">
        <v>3.3039999999999998</v>
      </c>
      <c r="V34" s="5"/>
      <c r="X34" s="12">
        <v>-3.484</v>
      </c>
      <c r="Y34">
        <v>29.771999999999998</v>
      </c>
      <c r="Z34">
        <v>0.29499999999999998</v>
      </c>
      <c r="AA34" s="22">
        <v>5.5750000000000002</v>
      </c>
      <c r="AB34" s="25">
        <v>2</v>
      </c>
      <c r="AC34" s="22" t="s">
        <v>135</v>
      </c>
      <c r="AD34" s="23"/>
      <c r="AF34" s="4"/>
      <c r="AG34" s="21"/>
      <c r="AH34" s="28"/>
      <c r="AI34" s="23"/>
    </row>
    <row r="35" spans="1:35" x14ac:dyDescent="0.4">
      <c r="A35" s="1" t="s">
        <v>129</v>
      </c>
      <c r="B35" s="3"/>
      <c r="C35" s="8"/>
      <c r="D35" s="15"/>
      <c r="H35" s="15"/>
      <c r="J35" s="17"/>
      <c r="L35" s="15"/>
      <c r="N35" s="17"/>
      <c r="P35" s="6" t="s">
        <v>94</v>
      </c>
      <c r="Q35" s="12">
        <v>-1.629</v>
      </c>
      <c r="R35">
        <v>40.506999999999998</v>
      </c>
      <c r="S35">
        <v>0.13500000000000001</v>
      </c>
      <c r="T35" s="13">
        <v>3.6619999999999999</v>
      </c>
      <c r="V35" s="5"/>
      <c r="X35" s="12">
        <v>-1.63</v>
      </c>
      <c r="Y35">
        <v>40.424999999999997</v>
      </c>
      <c r="Z35">
        <v>0.14000000000000001</v>
      </c>
      <c r="AA35" s="22">
        <v>5.9790000000000001</v>
      </c>
      <c r="AB35" s="25">
        <v>2</v>
      </c>
      <c r="AC35" s="22" t="s">
        <v>135</v>
      </c>
      <c r="AD35" s="23"/>
      <c r="AF35" s="4"/>
      <c r="AG35" s="21"/>
      <c r="AH35" s="28"/>
      <c r="AI35" s="23"/>
    </row>
    <row r="36" spans="1:35" x14ac:dyDescent="0.4">
      <c r="A36" s="1" t="s">
        <v>30</v>
      </c>
      <c r="B36" s="3">
        <v>0.65800000000000003</v>
      </c>
      <c r="C36" s="8">
        <v>2.75</v>
      </c>
      <c r="D36" s="15">
        <v>4.2</v>
      </c>
      <c r="E36" s="14">
        <v>4.07</v>
      </c>
      <c r="F36" s="7">
        <v>4.4320000000000004</v>
      </c>
      <c r="H36" s="15">
        <f t="shared" si="1"/>
        <v>2.9356527884894152</v>
      </c>
      <c r="I36" s="16">
        <f>((M36+SQRT(M36^2-4))/2)^2</f>
        <v>2.4477659042335742</v>
      </c>
      <c r="J36" s="17">
        <f>((N36+SQRT(N36^2-4))/2)^2</f>
        <v>3.8063710305876031</v>
      </c>
      <c r="L36" s="15">
        <f t="shared" si="2"/>
        <v>2.2970181818181818</v>
      </c>
      <c r="M36" s="16">
        <f>3*B36*(E36-1)/C36</f>
        <v>2.2037018181818184</v>
      </c>
      <c r="N36" s="17">
        <f>3*B36*(F36-1)/C36</f>
        <v>2.4635520000000004</v>
      </c>
      <c r="P36" s="6" t="s">
        <v>69</v>
      </c>
      <c r="Q36" s="12">
        <v>-0.96199999999999997</v>
      </c>
      <c r="R36">
        <v>91.26</v>
      </c>
      <c r="S36">
        <v>1.7000000000000001E-2</v>
      </c>
      <c r="T36" s="13">
        <v>2.661</v>
      </c>
      <c r="V36" s="5"/>
      <c r="X36" s="12">
        <v>-0.96199999999999997</v>
      </c>
      <c r="Y36">
        <v>91.147999999999996</v>
      </c>
      <c r="Z36">
        <v>1.7999999999999999E-2</v>
      </c>
      <c r="AA36" s="22">
        <v>4.8540000000000001</v>
      </c>
      <c r="AB36" s="25">
        <f t="shared" ref="AB36:AB37" si="19">((AC36+SQRT(AC36^2-4))/2)^2</f>
        <v>5.470566890683207</v>
      </c>
      <c r="AC36" s="22">
        <f t="shared" ref="AC36:AC45" si="20">3*B36*(AA36-1)/C36</f>
        <v>2.7664712727272733</v>
      </c>
      <c r="AD36" s="23">
        <f t="shared" ref="AD36:AD37" si="21" xml:space="preserve"> ((SQRT(AB36))^3/(AB36-1)+(SQRT(1/AB36)^3/(1/AB36-1))-2)/6</f>
        <v>0.12774521212121223</v>
      </c>
      <c r="AF36" s="4"/>
      <c r="AG36" s="21">
        <v>5.5190000000000001</v>
      </c>
      <c r="AH36" s="28">
        <f t="shared" ref="AH36" si="22">((AI36+SQRT(AI36^2-4))/2)^2</f>
        <v>8.4033706837950302</v>
      </c>
      <c r="AI36" s="23">
        <f>3*B36*(AG36-1)/C36</f>
        <v>3.2438203636363641</v>
      </c>
    </row>
    <row r="37" spans="1:35" x14ac:dyDescent="0.4">
      <c r="A37" s="1" t="s">
        <v>95</v>
      </c>
      <c r="B37" s="3">
        <f>(-X37/(12*PI()*Z37*C37))^(1/2)</f>
        <v>0.50382962376161233</v>
      </c>
      <c r="C37" s="8">
        <v>2.3780000000000001</v>
      </c>
      <c r="D37" s="15"/>
      <c r="H37" s="15"/>
      <c r="I37" s="16"/>
      <c r="J37" s="17"/>
      <c r="L37" s="15"/>
      <c r="M37" s="16"/>
      <c r="N37" s="17"/>
      <c r="P37" s="6" t="s">
        <v>96</v>
      </c>
      <c r="Q37" s="12">
        <v>-1.6830000000000001</v>
      </c>
      <c r="R37">
        <v>54.749000000000002</v>
      </c>
      <c r="S37">
        <v>4.4999999999999998E-2</v>
      </c>
      <c r="T37" s="13">
        <v>5.3410000000000002</v>
      </c>
      <c r="V37" s="5"/>
      <c r="X37" s="12">
        <v>-1.6839999999999999</v>
      </c>
      <c r="Y37">
        <v>54.683999999999997</v>
      </c>
      <c r="Z37">
        <v>7.3999999999999996E-2</v>
      </c>
      <c r="AA37" s="22">
        <v>4.6100000000000003</v>
      </c>
      <c r="AB37" s="25">
        <f t="shared" si="19"/>
        <v>2.9229012813568795</v>
      </c>
      <c r="AC37" s="22">
        <f t="shared" si="20"/>
        <v>2.2945646868537688</v>
      </c>
      <c r="AD37" s="23">
        <f t="shared" si="21"/>
        <v>4.9094114475628059E-2</v>
      </c>
      <c r="AE37" s="4">
        <v>0</v>
      </c>
      <c r="AF37" s="4">
        <v>0</v>
      </c>
      <c r="AG37" s="21"/>
      <c r="AH37" s="28"/>
      <c r="AI37" s="23"/>
    </row>
    <row r="38" spans="1:35" x14ac:dyDescent="0.4">
      <c r="A38" s="1" t="s">
        <v>31</v>
      </c>
      <c r="B38" s="3">
        <v>0.47</v>
      </c>
      <c r="C38" s="8">
        <v>1.99</v>
      </c>
      <c r="D38" s="15"/>
      <c r="H38" s="15"/>
      <c r="J38" s="17"/>
      <c r="L38" s="15"/>
      <c r="N38" s="17"/>
      <c r="P38" s="6" t="s">
        <v>67</v>
      </c>
      <c r="Q38" s="12">
        <v>-6.4640000000000004</v>
      </c>
      <c r="R38">
        <v>32.921999999999997</v>
      </c>
      <c r="S38">
        <v>0.245</v>
      </c>
      <c r="T38" s="13">
        <v>2.0310000000000001</v>
      </c>
      <c r="V38" s="5">
        <v>3.5339100000000001</v>
      </c>
      <c r="X38" s="12">
        <v>-6.4649999999999999</v>
      </c>
      <c r="Y38">
        <v>32.893000000000001</v>
      </c>
      <c r="Z38">
        <v>0.252</v>
      </c>
      <c r="AA38" s="22">
        <v>4.1689999999999996</v>
      </c>
      <c r="AB38" s="25">
        <f>7.29385/ 3.855623*2</f>
        <v>3.7834871303548092</v>
      </c>
      <c r="AC38" s="22">
        <f t="shared" si="20"/>
        <v>2.245371859296482</v>
      </c>
      <c r="AD38" s="23">
        <f t="shared" ref="AD38" si="23" xml:space="preserve"> ((SQRT(AB38))^3/(AB38-1)+(SQRT(1/AB38)^3/(1/AB38-1))-2)/6</f>
        <v>7.6537702163031421E-2</v>
      </c>
      <c r="AE38" s="4">
        <v>0</v>
      </c>
      <c r="AF38" s="4">
        <v>0</v>
      </c>
      <c r="AG38" s="21">
        <v>4.9640000000000004</v>
      </c>
      <c r="AH38" s="28">
        <f t="shared" ref="AH38:AH48" si="24">((AI38+SQRT(AI38^2-4))/2)^2</f>
        <v>5.7135676318810278</v>
      </c>
      <c r="AI38" s="23">
        <f>3*B38*(AG38-1)/C38</f>
        <v>2.8086633165829147</v>
      </c>
    </row>
    <row r="39" spans="1:35" x14ac:dyDescent="0.4">
      <c r="A39" s="1" t="s">
        <v>32</v>
      </c>
      <c r="B39" s="3">
        <v>0.39500000000000002</v>
      </c>
      <c r="C39" s="8">
        <v>1.77</v>
      </c>
      <c r="D39" s="15">
        <v>4.43</v>
      </c>
      <c r="F39" s="7">
        <v>3.2290000000000001</v>
      </c>
      <c r="H39" s="15">
        <f>((L39+SQRT(L39^2-4))/2)^2</f>
        <v>2.9322109887560295</v>
      </c>
      <c r="J39" s="17" t="e">
        <f>((N39+SQRT(N39^2-4))/2)^2</f>
        <v>#NUM!</v>
      </c>
      <c r="L39" s="15">
        <f>3*B39*(D39-1)/C39</f>
        <v>2.2963559322033897</v>
      </c>
      <c r="N39" s="17">
        <f>3*B39*(F39-1)/C39</f>
        <v>1.4922966101694917</v>
      </c>
      <c r="P39" s="6" t="s">
        <v>67</v>
      </c>
      <c r="Q39" s="12">
        <v>-8.5459999999999994</v>
      </c>
      <c r="R39">
        <v>23.550999999999998</v>
      </c>
      <c r="S39">
        <v>0.56999999999999995</v>
      </c>
      <c r="T39" s="13">
        <v>2.2959999999999998</v>
      </c>
      <c r="V39" s="5">
        <v>3.1914699999999998</v>
      </c>
      <c r="X39" s="12">
        <v>-8.5470000000000006</v>
      </c>
      <c r="Y39">
        <v>23.526</v>
      </c>
      <c r="Z39">
        <v>0.58699999999999997</v>
      </c>
      <c r="AA39" s="22">
        <v>4.46</v>
      </c>
      <c r="AB39" s="25">
        <f t="shared" ref="AB39:AB48" si="25">((AC39+SQRT(AC39^2-4))/2)^2</f>
        <v>3.036579510439676</v>
      </c>
      <c r="AC39" s="22">
        <f t="shared" si="20"/>
        <v>2.316440677966102</v>
      </c>
      <c r="AD39" s="23">
        <f t="shared" ref="AD39" si="26" xml:space="preserve"> ((SQRT(AB39))^3/(AB39-1)+(SQRT(1/AB39)^3/(1/AB39-1))-2)/6</f>
        <v>5.274011299435033E-2</v>
      </c>
      <c r="AE39" s="4">
        <v>0</v>
      </c>
      <c r="AF39" s="4">
        <v>0</v>
      </c>
      <c r="AG39" s="21">
        <v>5.2039999999999997</v>
      </c>
      <c r="AH39" s="28">
        <f t="shared" si="24"/>
        <v>5.7476650750278822</v>
      </c>
      <c r="AI39" s="23">
        <f>3*B39*(AG39-1)/C39</f>
        <v>2.8145423728813559</v>
      </c>
    </row>
    <row r="40" spans="1:35" x14ac:dyDescent="0.4">
      <c r="A40" s="1" t="s">
        <v>33</v>
      </c>
      <c r="B40" s="3">
        <v>0.33600000000000002</v>
      </c>
      <c r="C40" s="8">
        <v>1.63</v>
      </c>
      <c r="D40" s="15">
        <v>4.72</v>
      </c>
      <c r="H40" s="15">
        <f>((L40+SQRT(L40^2-4))/2)^2</f>
        <v>2.953571900821677</v>
      </c>
      <c r="J40" s="17"/>
      <c r="L40" s="15">
        <f>3*B40*(D40-1)/C40</f>
        <v>2.3004662576687118</v>
      </c>
      <c r="N40" s="17"/>
      <c r="P40" s="6" t="s">
        <v>69</v>
      </c>
      <c r="Q40" s="12">
        <v>-10.092000000000001</v>
      </c>
      <c r="R40">
        <v>18.355</v>
      </c>
      <c r="S40">
        <v>1.0469999999999999</v>
      </c>
      <c r="T40" s="13">
        <v>2.7519999999999998</v>
      </c>
      <c r="V40" s="5"/>
      <c r="X40" s="12">
        <v>-10.093999999999999</v>
      </c>
      <c r="Y40">
        <v>18.331</v>
      </c>
      <c r="Z40">
        <v>1.0820000000000001</v>
      </c>
      <c r="AA40" s="22">
        <v>4.96</v>
      </c>
      <c r="AB40" s="25">
        <f t="shared" si="25"/>
        <v>3.7288509522156765</v>
      </c>
      <c r="AC40" s="22">
        <f t="shared" si="20"/>
        <v>2.4488834355828222</v>
      </c>
      <c r="AD40" s="23">
        <f t="shared" ref="AD40:AD42" si="27" xml:space="preserve"> ((SQRT(AB40))^3/(AB40-1)+(SQRT(1/AB40)^3/(1/AB40-1))-2)/6</f>
        <v>7.4813905930470367E-2</v>
      </c>
      <c r="AE40" s="4">
        <v>0</v>
      </c>
      <c r="AF40" s="4">
        <v>0</v>
      </c>
      <c r="AG40" s="21">
        <v>5.6189999999999998</v>
      </c>
      <c r="AH40" s="28">
        <f t="shared" si="24"/>
        <v>5.9922076536442299</v>
      </c>
      <c r="AI40" s="23">
        <f>3*B40*(AG40-1)/C40</f>
        <v>2.8564122699386507</v>
      </c>
    </row>
    <row r="41" spans="1:35" x14ac:dyDescent="0.4">
      <c r="A41" s="1" t="s">
        <v>34</v>
      </c>
      <c r="B41" s="3">
        <v>0.26500000000000001</v>
      </c>
      <c r="C41" s="8">
        <v>1.55</v>
      </c>
      <c r="D41" s="15">
        <v>5.49</v>
      </c>
      <c r="F41" s="7">
        <v>4.5490000000000004</v>
      </c>
      <c r="H41" s="15">
        <f>((L41+SQRT(L41^2-4))/2)^2</f>
        <v>2.9664032596978309</v>
      </c>
      <c r="J41" s="17" t="e">
        <f>((N41+SQRT(N41^2-4))/2)^2</f>
        <v>#NUM!</v>
      </c>
      <c r="L41" s="15">
        <f>3*B41*(D41-1)/C41</f>
        <v>2.3029354838709679</v>
      </c>
      <c r="N41" s="17">
        <f>3*B41*(F41-1)/C41</f>
        <v>1.820293548387097</v>
      </c>
      <c r="P41" s="6" t="s">
        <v>69</v>
      </c>
      <c r="Q41" s="12">
        <v>-10.845000000000001</v>
      </c>
      <c r="R41">
        <v>15.941000000000001</v>
      </c>
      <c r="S41">
        <v>1.5780000000000001</v>
      </c>
      <c r="T41" s="13">
        <v>3.2</v>
      </c>
      <c r="V41" s="5"/>
      <c r="X41" s="12">
        <v>-10.848000000000001</v>
      </c>
      <c r="Y41">
        <v>15.923999999999999</v>
      </c>
      <c r="Z41">
        <v>1.635</v>
      </c>
      <c r="AA41" s="22">
        <v>5.4560000000000004</v>
      </c>
      <c r="AB41" s="25">
        <f t="shared" si="25"/>
        <v>2.8757615250732638</v>
      </c>
      <c r="AC41" s="22">
        <f t="shared" si="20"/>
        <v>2.2854967741935486</v>
      </c>
      <c r="AD41" s="23">
        <f t="shared" si="27"/>
        <v>4.7582795698924686E-2</v>
      </c>
      <c r="AE41" s="4">
        <v>0</v>
      </c>
      <c r="AF41" s="4">
        <v>0</v>
      </c>
      <c r="AG41" s="21">
        <v>6.02</v>
      </c>
      <c r="AH41" s="28">
        <f t="shared" si="24"/>
        <v>4.4023086040325312</v>
      </c>
      <c r="AI41" s="23">
        <f>3*B41*(AG41-1)/C41</f>
        <v>2.5747741935483868</v>
      </c>
    </row>
    <row r="42" spans="1:35" x14ac:dyDescent="0.4">
      <c r="A42" s="1" t="s">
        <v>97</v>
      </c>
      <c r="B42" s="3">
        <f>(-X42/(12*PI()*Z42*C42))^(1/2)</f>
        <v>0.31440519767406744</v>
      </c>
      <c r="C42" s="8">
        <v>1.5028630000000001</v>
      </c>
      <c r="D42" s="15"/>
      <c r="H42" s="15"/>
      <c r="J42" s="17"/>
      <c r="L42" s="15"/>
      <c r="N42" s="17"/>
      <c r="P42" s="6" t="s">
        <v>90</v>
      </c>
      <c r="Q42" s="12">
        <v>-10.356999999999999</v>
      </c>
      <c r="R42">
        <v>14.621</v>
      </c>
      <c r="S42">
        <v>1.784</v>
      </c>
      <c r="T42" s="13">
        <v>3.39</v>
      </c>
      <c r="V42" s="5">
        <v>2.7253599999999998</v>
      </c>
      <c r="X42" s="12">
        <v>-10.361000000000001</v>
      </c>
      <c r="Y42">
        <v>14.595000000000001</v>
      </c>
      <c r="Z42">
        <v>1.85</v>
      </c>
      <c r="AA42" s="22">
        <v>5.6740000000000004</v>
      </c>
      <c r="AB42" s="25">
        <f t="shared" ref="AB42" si="28">((AC42+SQRT(AC42^2-4))/2)^2</f>
        <v>6.450157220103736</v>
      </c>
      <c r="AC42" s="22">
        <f t="shared" si="20"/>
        <v>2.9334607890311855</v>
      </c>
      <c r="AD42" s="23">
        <f t="shared" si="27"/>
        <v>0.15557679817186423</v>
      </c>
      <c r="AE42">
        <v>0.05</v>
      </c>
      <c r="AF42" s="4"/>
      <c r="AG42" s="21"/>
      <c r="AH42" s="28"/>
      <c r="AI42" s="23"/>
    </row>
    <row r="43" spans="1:35" x14ac:dyDescent="0.4">
      <c r="A43" s="1" t="s">
        <v>35</v>
      </c>
      <c r="B43" s="3">
        <v>0.245</v>
      </c>
      <c r="C43" s="8">
        <v>1.48</v>
      </c>
      <c r="D43" s="15">
        <v>5.63</v>
      </c>
      <c r="H43" s="15">
        <f>((L43+SQRT(L43^2-4))/2)^2</f>
        <v>2.9478131863820023</v>
      </c>
      <c r="J43" s="17"/>
      <c r="L43" s="15">
        <f>3*B43*(D43-1)/C43</f>
        <v>2.299358108108108</v>
      </c>
      <c r="N43" s="17"/>
      <c r="P43" s="6" t="s">
        <v>67</v>
      </c>
      <c r="Q43" s="12">
        <v>-9.27</v>
      </c>
      <c r="R43">
        <v>13.964</v>
      </c>
      <c r="S43">
        <v>1.843</v>
      </c>
      <c r="T43" s="13">
        <v>3.7130000000000001</v>
      </c>
      <c r="V43" s="5">
        <v>2.6724700000000001</v>
      </c>
      <c r="X43" s="12">
        <v>-9.2739999999999991</v>
      </c>
      <c r="Y43">
        <v>13935</v>
      </c>
      <c r="Z43">
        <v>1.9139999999999999</v>
      </c>
      <c r="AA43" s="22">
        <v>6.0380000000000003</v>
      </c>
      <c r="AB43" s="25">
        <f t="shared" si="25"/>
        <v>4.0105608852003209</v>
      </c>
      <c r="AC43" s="22">
        <f t="shared" si="20"/>
        <v>2.5019797297297299</v>
      </c>
      <c r="AD43" s="23">
        <f t="shared" ref="AD43:AD44" si="29" xml:space="preserve"> ((SQRT(AB43))^3/(AB43-1)+(SQRT(1/AB43)^3/(1/AB43-1))-2)/6</f>
        <v>8.3663288288288243E-2</v>
      </c>
      <c r="AE43" s="4">
        <v>0</v>
      </c>
      <c r="AF43" s="4">
        <v>0</v>
      </c>
      <c r="AG43" s="21">
        <v>6.4859999999999998</v>
      </c>
      <c r="AH43" s="28">
        <f t="shared" si="24"/>
        <v>5.2315689154786122</v>
      </c>
      <c r="AI43" s="23">
        <f>3*B43*(AG43-1)/C43</f>
        <v>2.7244662162162161</v>
      </c>
    </row>
    <row r="44" spans="1:35" x14ac:dyDescent="0.4">
      <c r="A44" s="1" t="s">
        <v>58</v>
      </c>
      <c r="B44" s="3">
        <f>(-X44/(12*PI()*Z44*C44))^(1/2)</f>
        <v>0.29016314280288524</v>
      </c>
      <c r="C44" s="8">
        <v>1.486988</v>
      </c>
      <c r="D44" s="15"/>
      <c r="F44" s="7">
        <v>5.665</v>
      </c>
      <c r="H44" s="15"/>
      <c r="J44" s="17"/>
      <c r="L44" s="15"/>
      <c r="N44" s="17"/>
      <c r="P44" s="6" t="s">
        <v>68</v>
      </c>
      <c r="Q44" s="12">
        <v>-7.34</v>
      </c>
      <c r="R44">
        <v>14.3</v>
      </c>
      <c r="S44">
        <v>1.496</v>
      </c>
      <c r="T44" s="13">
        <v>3.9740000000000002</v>
      </c>
      <c r="V44" s="5"/>
      <c r="X44" s="12">
        <v>-7.3440000000000003</v>
      </c>
      <c r="Y44">
        <v>14.266999999999999</v>
      </c>
      <c r="Z44">
        <v>1.556</v>
      </c>
      <c r="AA44" s="22">
        <v>6.3380000000000001</v>
      </c>
      <c r="AB44" s="25">
        <f t="shared" ref="AB44" si="30">((AC44+SQRT(AC44^2-4))/2)^2</f>
        <v>7.6339377918181199</v>
      </c>
      <c r="AC44" s="22">
        <f t="shared" si="20"/>
        <v>3.124889083735312</v>
      </c>
      <c r="AD44" s="23">
        <f t="shared" si="29"/>
        <v>0.18748151395588528</v>
      </c>
      <c r="AE44" s="4">
        <v>0</v>
      </c>
      <c r="AF44" s="4">
        <v>0</v>
      </c>
      <c r="AG44" s="21">
        <v>6.7279999999999998</v>
      </c>
      <c r="AH44" s="28"/>
      <c r="AI44" s="23"/>
    </row>
    <row r="45" spans="1:35" x14ac:dyDescent="0.4">
      <c r="A45" s="1" t="s">
        <v>36</v>
      </c>
      <c r="B45" s="3">
        <v>0.23699999999999999</v>
      </c>
      <c r="C45" s="8">
        <v>1.52</v>
      </c>
      <c r="D45" s="15">
        <v>5.91</v>
      </c>
      <c r="F45" s="7">
        <v>5.4219999999999997</v>
      </c>
      <c r="H45" s="15">
        <f t="shared" ref="H45:H56" si="31">((L45+SQRT(L45^2-4))/2)^2</f>
        <v>2.9340880619479717</v>
      </c>
      <c r="J45" s="17">
        <f t="shared" ref="J45:J54" si="32">((N45+SQRT(N45^2-4))/2)^2</f>
        <v>1.6850125798097029</v>
      </c>
      <c r="L45" s="15">
        <f t="shared" ref="L45:L56" si="33">3*B45*(D45-1)/C45</f>
        <v>2.2967171052631579</v>
      </c>
      <c r="N45" s="17">
        <f t="shared" ref="N45:N54" si="34">3*B45*(F45-1)/C45</f>
        <v>2.0684486842105261</v>
      </c>
      <c r="P45" s="6" t="s">
        <v>68</v>
      </c>
      <c r="Q45" s="12">
        <v>-5.1790000000000003</v>
      </c>
      <c r="R45">
        <v>15.522</v>
      </c>
      <c r="S45">
        <v>0.97399999999999998</v>
      </c>
      <c r="T45" s="13">
        <v>4.2569999999999997</v>
      </c>
      <c r="V45" s="5"/>
      <c r="X45" s="12">
        <v>-5.1820000000000004</v>
      </c>
      <c r="Y45">
        <v>15.483000000000001</v>
      </c>
      <c r="Z45">
        <v>1.0149999999999999</v>
      </c>
      <c r="AA45" s="22">
        <v>6.6589999999999998</v>
      </c>
      <c r="AB45" s="25">
        <f>10.867/3.742</f>
        <v>2.904061998931053</v>
      </c>
      <c r="AC45" s="22">
        <f t="shared" si="20"/>
        <v>2.647071710526316</v>
      </c>
      <c r="AD45" s="23">
        <f t="shared" ref="AD45" si="35" xml:space="preserve"> ((SQRT(AB45))^3/(AB45-1)+(SQRT(1/AB45)^3/(1/AB45-1))-2)/6</f>
        <v>4.8490042952297717E-2</v>
      </c>
      <c r="AE45">
        <v>0.05</v>
      </c>
      <c r="AF45" s="4">
        <v>0</v>
      </c>
      <c r="AG45" s="21">
        <v>6.9509999999999996</v>
      </c>
      <c r="AH45" s="28">
        <f t="shared" si="24"/>
        <v>5.5691957991076153</v>
      </c>
      <c r="AI45" s="23">
        <f>3*B45*(AG45-1)/C45</f>
        <v>2.7836585526315782</v>
      </c>
    </row>
    <row r="46" spans="1:35" x14ac:dyDescent="0.4">
      <c r="A46" s="1" t="s">
        <v>11</v>
      </c>
      <c r="B46" s="3">
        <v>0.26900000000000002</v>
      </c>
      <c r="C46" s="8">
        <v>1.6</v>
      </c>
      <c r="D46" s="15">
        <v>5.55</v>
      </c>
      <c r="E46" s="14">
        <v>5.86</v>
      </c>
      <c r="F46" s="7">
        <v>6.0709999999999997</v>
      </c>
      <c r="H46" s="15">
        <f t="shared" si="31"/>
        <v>2.9246765439874713</v>
      </c>
      <c r="I46" s="16">
        <f>((M46+SQRT(M46^2-4))/2)^2</f>
        <v>3.741408848048414</v>
      </c>
      <c r="J46" s="17">
        <f t="shared" si="32"/>
        <v>4.3097222414125342</v>
      </c>
      <c r="L46" s="15">
        <f t="shared" si="33"/>
        <v>2.2949062499999999</v>
      </c>
      <c r="M46" s="16">
        <f>3*B46*(E46-1)/C46</f>
        <v>2.4512624999999999</v>
      </c>
      <c r="N46" s="17">
        <f t="shared" si="34"/>
        <v>2.557685625</v>
      </c>
      <c r="P46" s="6" t="s">
        <v>68</v>
      </c>
      <c r="Q46" s="12">
        <v>-2.8250000000000002</v>
      </c>
      <c r="R46">
        <v>18.103000000000002</v>
      </c>
      <c r="S46">
        <v>0.52400000000000002</v>
      </c>
      <c r="T46" s="13">
        <v>4.4649999999999999</v>
      </c>
      <c r="V46" s="5"/>
      <c r="X46" s="12">
        <v>-2.827</v>
      </c>
      <c r="Y46">
        <v>18.052</v>
      </c>
      <c r="Z46">
        <v>0.54700000000000004</v>
      </c>
      <c r="AA46" s="22">
        <v>6.9160000000000004</v>
      </c>
      <c r="AB46" s="25">
        <f>10.928/3.139</f>
        <v>3.4813634915578215</v>
      </c>
      <c r="AC46" s="22" t="s">
        <v>139</v>
      </c>
      <c r="AD46" s="23">
        <f t="shared" ref="AD46:AD48" si="36" xml:space="preserve"> ((SQRT(AB46))^3/(AB46-1)+(SQRT(1/AB46)^3/(1/AB46-1))-2)/6</f>
        <v>6.6965418608063487E-2</v>
      </c>
      <c r="AE46">
        <v>0.05</v>
      </c>
      <c r="AF46" s="4">
        <v>0</v>
      </c>
      <c r="AG46" s="21">
        <v>7.1890000000000001</v>
      </c>
      <c r="AH46" s="28">
        <f t="shared" si="24"/>
        <v>7.6128859563570401</v>
      </c>
      <c r="AI46" s="23">
        <f>3*B46*(AG46-1)/C46</f>
        <v>3.1215768749999997</v>
      </c>
    </row>
    <row r="47" spans="1:35" x14ac:dyDescent="0.4">
      <c r="A47" s="1" t="s">
        <v>37</v>
      </c>
      <c r="B47" s="3">
        <v>0.214</v>
      </c>
      <c r="C47" s="8">
        <v>1.73</v>
      </c>
      <c r="D47" s="15">
        <v>7.19</v>
      </c>
      <c r="F47" s="7">
        <v>5.7610000000000001</v>
      </c>
      <c r="H47" s="15">
        <f t="shared" si="31"/>
        <v>2.9360689915208353</v>
      </c>
      <c r="J47" s="17" t="e">
        <f t="shared" si="32"/>
        <v>#NUM!</v>
      </c>
      <c r="L47" s="15">
        <f t="shared" si="33"/>
        <v>2.2970982658959542</v>
      </c>
      <c r="N47" s="17">
        <f t="shared" si="34"/>
        <v>1.7667988439306359</v>
      </c>
      <c r="P47" s="6" t="s">
        <v>67</v>
      </c>
      <c r="Q47" s="12">
        <v>-0.90700000000000003</v>
      </c>
      <c r="R47">
        <v>23.135000000000002</v>
      </c>
      <c r="S47">
        <v>0.248</v>
      </c>
      <c r="T47" s="13">
        <v>4.83</v>
      </c>
      <c r="V47" s="5">
        <v>3.44129</v>
      </c>
      <c r="X47" s="12">
        <v>-0.90800000000000003</v>
      </c>
      <c r="Y47">
        <v>23.056999999999999</v>
      </c>
      <c r="Z47">
        <v>0.25900000000000001</v>
      </c>
      <c r="AA47" s="22">
        <v>7.37</v>
      </c>
      <c r="AB47" s="25">
        <f t="shared" si="25"/>
        <v>3.2834460034129589</v>
      </c>
      <c r="AC47" s="22">
        <f>3*B47*(AA47-1)/C47</f>
        <v>2.3638959537572255</v>
      </c>
      <c r="AD47" s="23">
        <f t="shared" si="36"/>
        <v>6.0649325626204176E-2</v>
      </c>
      <c r="AE47" s="4">
        <v>0.1</v>
      </c>
      <c r="AF47" s="4"/>
      <c r="AG47" s="21">
        <v>7.6390000000000002</v>
      </c>
      <c r="AH47" s="28">
        <f t="shared" si="24"/>
        <v>3.8072675087967802</v>
      </c>
      <c r="AI47" s="23">
        <f>3*B47*(AG47-1)/C47</f>
        <v>2.4637213872832371</v>
      </c>
    </row>
    <row r="48" spans="1:35" x14ac:dyDescent="0.4">
      <c r="A48" s="1" t="s">
        <v>38</v>
      </c>
      <c r="B48" s="3">
        <v>0.36</v>
      </c>
      <c r="C48" s="8">
        <v>1.84</v>
      </c>
      <c r="D48" s="15">
        <v>4.92</v>
      </c>
      <c r="F48" s="7">
        <v>6.077</v>
      </c>
      <c r="H48" s="15">
        <f t="shared" si="31"/>
        <v>2.9556677328143444</v>
      </c>
      <c r="J48" s="17">
        <f t="shared" si="32"/>
        <v>6.7317199902806895</v>
      </c>
      <c r="L48" s="15">
        <f t="shared" si="33"/>
        <v>2.3008695652173912</v>
      </c>
      <c r="N48" s="17">
        <f t="shared" si="34"/>
        <v>2.9799782608695655</v>
      </c>
      <c r="P48" s="6" t="s">
        <v>68</v>
      </c>
      <c r="Q48" s="12">
        <v>-2.7229999999999999</v>
      </c>
      <c r="R48">
        <v>27.579000000000001</v>
      </c>
      <c r="S48">
        <v>0.21299999999999999</v>
      </c>
      <c r="T48" s="13">
        <v>3.8929999999999998</v>
      </c>
      <c r="V48" s="5"/>
      <c r="X48" s="12">
        <v>-2.7240000000000002</v>
      </c>
      <c r="Y48">
        <v>27.518999999999998</v>
      </c>
      <c r="Z48">
        <v>0.221</v>
      </c>
      <c r="AA48" s="22">
        <v>6.2380000000000004</v>
      </c>
      <c r="AB48" s="25">
        <f t="shared" si="25"/>
        <v>7.3157247191719472</v>
      </c>
      <c r="AC48" s="22">
        <f>3*B48*(AA48-1)/C48</f>
        <v>3.0744782608695655</v>
      </c>
      <c r="AD48" s="23">
        <f t="shared" si="36"/>
        <v>0.1790797101449276</v>
      </c>
      <c r="AE48">
        <v>0.05</v>
      </c>
      <c r="AF48" s="4"/>
      <c r="AG48" s="21">
        <v>6.62</v>
      </c>
      <c r="AH48" s="28">
        <f t="shared" si="24"/>
        <v>8.7673332371010559</v>
      </c>
      <c r="AI48" s="23">
        <f>3*B48*(AG48-1)/C48</f>
        <v>3.298695652173913</v>
      </c>
    </row>
    <row r="49" spans="1:35" x14ac:dyDescent="0.4">
      <c r="A49" s="1" t="s">
        <v>98</v>
      </c>
      <c r="B49" s="3"/>
      <c r="C49" s="8"/>
      <c r="D49" s="15"/>
      <c r="H49" s="15"/>
      <c r="J49" s="17"/>
      <c r="L49" s="15"/>
      <c r="N49" s="17"/>
      <c r="P49" s="6" t="s">
        <v>99</v>
      </c>
      <c r="Q49" s="12">
        <v>-4.0090000000000003</v>
      </c>
      <c r="R49">
        <v>36.914999999999999</v>
      </c>
      <c r="S49">
        <v>0.216</v>
      </c>
      <c r="T49" s="13">
        <v>3.6739999999999999</v>
      </c>
      <c r="V49" s="5"/>
      <c r="X49" s="12">
        <v>-4.01</v>
      </c>
      <c r="Y49">
        <v>36.840000000000003</v>
      </c>
      <c r="Z49">
        <v>0.224</v>
      </c>
      <c r="AA49" s="22">
        <v>5.9950000000000001</v>
      </c>
      <c r="AB49" s="25"/>
      <c r="AC49" s="22"/>
      <c r="AD49" s="23"/>
      <c r="AE49" s="4">
        <v>0</v>
      </c>
      <c r="AF49" s="4">
        <v>0</v>
      </c>
      <c r="AG49" s="21"/>
      <c r="AH49" s="28"/>
      <c r="AI49" s="23"/>
    </row>
    <row r="50" spans="1:35" x14ac:dyDescent="0.4">
      <c r="A50" s="1" t="s">
        <v>100</v>
      </c>
      <c r="B50" s="3"/>
      <c r="C50" s="8"/>
      <c r="D50" s="15"/>
      <c r="H50" s="15"/>
      <c r="J50" s="17"/>
      <c r="L50" s="15"/>
      <c r="N50" s="17"/>
      <c r="P50" s="6" t="s">
        <v>86</v>
      </c>
      <c r="Q50" s="12">
        <v>-4.117</v>
      </c>
      <c r="R50">
        <v>31.849</v>
      </c>
      <c r="S50">
        <v>0.30599999999999999</v>
      </c>
      <c r="T50" s="13">
        <v>3.3769999999999998</v>
      </c>
      <c r="V50" s="5"/>
      <c r="X50" s="12">
        <v>-4.1180000000000003</v>
      </c>
      <c r="Y50">
        <v>31.792999999999999</v>
      </c>
      <c r="Z50">
        <v>0.317</v>
      </c>
      <c r="AA50" s="22">
        <v>5.6529999999999996</v>
      </c>
      <c r="AB50" s="25"/>
      <c r="AC50" s="22"/>
      <c r="AD50" s="23"/>
      <c r="AF50" s="4"/>
      <c r="AG50" s="21"/>
      <c r="AH50" s="28"/>
      <c r="AI50" s="23"/>
    </row>
    <row r="51" spans="1:35" x14ac:dyDescent="0.4">
      <c r="A51" s="1" t="s">
        <v>130</v>
      </c>
      <c r="B51" s="3"/>
      <c r="C51" s="8"/>
      <c r="D51" s="15"/>
      <c r="H51" s="15"/>
      <c r="J51" s="17"/>
      <c r="L51" s="15"/>
      <c r="N51" s="17"/>
      <c r="P51" s="6" t="s">
        <v>128</v>
      </c>
      <c r="Q51" s="12">
        <v>-3.141</v>
      </c>
      <c r="R51">
        <v>35.090000000000003</v>
      </c>
      <c r="S51">
        <v>0.26800000000000002</v>
      </c>
      <c r="T51" s="13">
        <v>3.5049999999999999</v>
      </c>
      <c r="V51" s="5"/>
      <c r="X51" s="12">
        <v>-3.1419999999999999</v>
      </c>
      <c r="Y51">
        <v>35.023000000000003</v>
      </c>
      <c r="Z51">
        <v>0.27800000000000002</v>
      </c>
      <c r="AA51" s="22">
        <v>5.8040000000000003</v>
      </c>
      <c r="AB51" s="25"/>
      <c r="AC51" s="22"/>
      <c r="AD51" s="23"/>
      <c r="AF51" s="4"/>
      <c r="AG51" s="21"/>
      <c r="AH51" s="28"/>
      <c r="AI51" s="23"/>
    </row>
    <row r="52" spans="1:35" x14ac:dyDescent="0.4">
      <c r="A52" s="1" t="s">
        <v>131</v>
      </c>
      <c r="B52" s="3"/>
      <c r="C52" s="8"/>
      <c r="D52" s="15"/>
      <c r="H52" s="15"/>
      <c r="J52" s="17"/>
      <c r="L52" s="15"/>
      <c r="N52" s="17"/>
      <c r="P52" s="6" t="s">
        <v>94</v>
      </c>
      <c r="Q52" s="12">
        <v>-1.518</v>
      </c>
      <c r="R52">
        <v>50.942</v>
      </c>
      <c r="S52">
        <v>0.113</v>
      </c>
      <c r="T52" s="13">
        <v>3.835</v>
      </c>
      <c r="V52" s="5"/>
      <c r="X52" s="12">
        <v>-1.5189999999999999</v>
      </c>
      <c r="Y52">
        <v>50.826999999999998</v>
      </c>
      <c r="Z52">
        <v>0.11700000000000001</v>
      </c>
      <c r="AA52" s="22">
        <v>6.1890000000000001</v>
      </c>
      <c r="AB52" s="25"/>
      <c r="AC52" s="22"/>
      <c r="AD52" s="23"/>
      <c r="AF52" s="4"/>
      <c r="AG52" s="21"/>
      <c r="AH52" s="28"/>
      <c r="AI52" s="23"/>
    </row>
    <row r="53" spans="1:35" x14ac:dyDescent="0.4">
      <c r="A53" s="1" t="s">
        <v>39</v>
      </c>
      <c r="B53" s="3">
        <v>0.71399999999999997</v>
      </c>
      <c r="C53" s="8">
        <v>2.9769999999999999</v>
      </c>
      <c r="D53" s="15">
        <v>4.2</v>
      </c>
      <c r="E53" s="14">
        <v>4</v>
      </c>
      <c r="F53" s="7">
        <v>3.298</v>
      </c>
      <c r="H53" s="15">
        <f t="shared" si="31"/>
        <v>2.9638915653203752</v>
      </c>
      <c r="I53" s="16">
        <f>((M53+SQRT(M53^2-4))/2)^2</f>
        <v>2.2060303174784361</v>
      </c>
      <c r="J53" s="17" t="e">
        <f t="shared" si="32"/>
        <v>#NUM!</v>
      </c>
      <c r="L53" s="15">
        <f t="shared" si="33"/>
        <v>2.3024521330198189</v>
      </c>
      <c r="M53" s="16">
        <f>3*B53*(E53-1)/C53</f>
        <v>2.1585488747060801</v>
      </c>
      <c r="N53" s="17">
        <f t="shared" si="34"/>
        <v>1.6534484380248571</v>
      </c>
      <c r="P53" s="6" t="s">
        <v>69</v>
      </c>
      <c r="Q53" s="12">
        <v>-0.85299999999999998</v>
      </c>
      <c r="R53">
        <v>117.05</v>
      </c>
      <c r="S53">
        <v>1.2E-2</v>
      </c>
      <c r="T53" s="13">
        <v>2.29</v>
      </c>
      <c r="V53" s="5"/>
      <c r="X53" s="12">
        <v>-0.85299999999999998</v>
      </c>
      <c r="Y53">
        <v>116.92100000000001</v>
      </c>
      <c r="Z53">
        <v>1.2E-2</v>
      </c>
      <c r="AA53" s="22">
        <v>4.4539999999999997</v>
      </c>
      <c r="AB53" s="25">
        <v>3.27</v>
      </c>
      <c r="AC53" s="22" t="s">
        <v>135</v>
      </c>
      <c r="AD53" s="23">
        <f t="shared" ref="AD53:AD55" si="37" xml:space="preserve"> ((SQRT(AB53))^3/(AB53-1)+(SQRT(1/AB53)^3/(1/AB53-1))-2)/6</f>
        <v>6.0219232601974003E-2</v>
      </c>
      <c r="AF53" s="4"/>
      <c r="AG53" s="21">
        <v>5.1980000000000004</v>
      </c>
      <c r="AH53" s="28">
        <f t="shared" ref="AH53:AH56" si="38">((AI53+SQRT(AI53^2-4))/2)^2</f>
        <v>6.9803382751810243</v>
      </c>
      <c r="AI53" s="23">
        <f>3*B53*(AG53-1)/C53</f>
        <v>3.0205293920053751</v>
      </c>
    </row>
    <row r="54" spans="1:35" x14ac:dyDescent="0.4">
      <c r="A54" s="1" t="s">
        <v>40</v>
      </c>
      <c r="B54" s="3">
        <v>0.55800000000000005</v>
      </c>
      <c r="C54" s="8">
        <v>2.46</v>
      </c>
      <c r="D54" s="15">
        <v>4.38</v>
      </c>
      <c r="F54" s="7">
        <v>2.9289999999999998</v>
      </c>
      <c r="H54" s="15">
        <f t="shared" si="31"/>
        <v>2.9514024161532255</v>
      </c>
      <c r="J54" s="17" t="e">
        <f t="shared" si="32"/>
        <v>#NUM!</v>
      </c>
      <c r="L54" s="15">
        <f t="shared" si="33"/>
        <v>2.3000487804878049</v>
      </c>
      <c r="N54" s="17">
        <f t="shared" si="34"/>
        <v>1.3126609756097563</v>
      </c>
      <c r="P54" s="6" t="s">
        <v>69</v>
      </c>
      <c r="Q54" s="12">
        <v>-1.923</v>
      </c>
      <c r="R54">
        <v>63.624000000000002</v>
      </c>
      <c r="S54">
        <v>5.3999999999999999E-2</v>
      </c>
      <c r="T54" s="13">
        <v>1.897</v>
      </c>
      <c r="V54" s="5"/>
      <c r="X54" s="12">
        <v>-1.923</v>
      </c>
      <c r="Y54">
        <v>63.575000000000003</v>
      </c>
      <c r="Z54">
        <v>5.5E-2</v>
      </c>
      <c r="AA54" s="22">
        <v>4.0209999999999999</v>
      </c>
      <c r="AB54" s="25">
        <f t="shared" ref="AB54" si="39">((AC54+SQRT(AC54^2-4))/2)^2</f>
        <v>1.6018416860891611</v>
      </c>
      <c r="AC54" s="22">
        <f t="shared" ref="AC54:AC65" si="40">3*B54*(AA54-1)/C54</f>
        <v>2.0557536585365854</v>
      </c>
      <c r="AD54" s="23">
        <f t="shared" si="37"/>
        <v>9.2922764227643118E-3</v>
      </c>
      <c r="AF54" s="4"/>
      <c r="AG54" s="21">
        <v>4.8159999999999998</v>
      </c>
      <c r="AH54" s="28">
        <f t="shared" si="38"/>
        <v>4.5219212905788266</v>
      </c>
      <c r="AI54" s="23">
        <f>3*B54*(AG54-1)/C54</f>
        <v>2.5967414634146344</v>
      </c>
    </row>
    <row r="55" spans="1:35" x14ac:dyDescent="0.4">
      <c r="A55" s="1" t="s">
        <v>101</v>
      </c>
      <c r="B55" s="3">
        <f>(-X55/(12*PI()*Z55*C55))^(1/2)</f>
        <v>0.63180299071911217</v>
      </c>
      <c r="C55" s="8">
        <v>2.06</v>
      </c>
      <c r="D55" s="15"/>
      <c r="H55" s="15"/>
      <c r="J55" s="17"/>
      <c r="L55" s="15"/>
      <c r="N55" s="17"/>
      <c r="P55" s="6" t="s">
        <v>73</v>
      </c>
      <c r="Q55" s="12">
        <v>-4.9290000000000003</v>
      </c>
      <c r="R55">
        <v>37.027999999999999</v>
      </c>
      <c r="S55">
        <v>0.155</v>
      </c>
      <c r="T55" s="13">
        <v>1.5609999999999999</v>
      </c>
      <c r="V55" s="5"/>
      <c r="X55" s="12">
        <v>-4.9290000000000003</v>
      </c>
      <c r="Y55">
        <v>37.006999999999998</v>
      </c>
      <c r="Z55">
        <v>0.159</v>
      </c>
      <c r="AA55" s="22">
        <v>3.6549999999999998</v>
      </c>
      <c r="AB55" s="25">
        <f>((AC55+SQRT(AC55^2-4))/2)^2</f>
        <v>3.6971305301880637</v>
      </c>
      <c r="AC55" s="22">
        <f t="shared" si="40"/>
        <v>2.4428693306202565</v>
      </c>
      <c r="AD55" s="23">
        <f t="shared" si="37"/>
        <v>7.3811555103376073E-2</v>
      </c>
      <c r="AF55" s="4"/>
      <c r="AG55" s="21"/>
      <c r="AH55" s="28"/>
      <c r="AI55" s="23"/>
    </row>
    <row r="56" spans="1:35" x14ac:dyDescent="0.4">
      <c r="A56" s="1" t="s">
        <v>41</v>
      </c>
      <c r="B56" s="3">
        <v>0.64800000000000002</v>
      </c>
      <c r="C56" s="8">
        <v>2.02</v>
      </c>
      <c r="D56" s="15">
        <v>3.39</v>
      </c>
      <c r="H56" s="15">
        <f t="shared" si="31"/>
        <v>2.9515605376693688</v>
      </c>
      <c r="J56" s="17"/>
      <c r="L56" s="15">
        <f t="shared" si="33"/>
        <v>2.3000792079207919</v>
      </c>
      <c r="N56" s="17"/>
      <c r="P56" s="6" t="s">
        <v>68</v>
      </c>
      <c r="Q56" s="12">
        <v>-5.9329999999999998</v>
      </c>
      <c r="R56">
        <v>26.425999999999998</v>
      </c>
      <c r="S56">
        <v>0.24399999999999999</v>
      </c>
      <c r="T56" s="13">
        <v>3.3029999999999999</v>
      </c>
      <c r="V56" s="5"/>
      <c r="X56" s="12">
        <v>-5.9340000000000002</v>
      </c>
      <c r="Y56">
        <v>26.376999999999999</v>
      </c>
      <c r="Z56">
        <v>0.252</v>
      </c>
      <c r="AA56" s="22">
        <v>5.593</v>
      </c>
      <c r="AB56" s="25">
        <f>((AC56+SQRT(AC56^2-4))/2)^2</f>
        <v>17.480910263761466</v>
      </c>
      <c r="AC56" s="22">
        <f t="shared" si="40"/>
        <v>4.4201940594059401</v>
      </c>
      <c r="AD56" s="23">
        <f t="shared" ref="AD56:AD57" si="41" xml:space="preserve"> ((SQRT(AB56))^3/(AB56-1)+(SQRT(1/AB56)^3/(1/AB56-1))-2)/6</f>
        <v>0.40336567656765682</v>
      </c>
      <c r="AE56" s="4">
        <v>0</v>
      </c>
      <c r="AF56" s="4"/>
      <c r="AG56" s="21">
        <v>6.1660000000000004</v>
      </c>
      <c r="AH56" s="28">
        <f t="shared" si="38"/>
        <v>22.673055757310312</v>
      </c>
      <c r="AI56" s="23">
        <f>3*B56*(AG56-1)/C56</f>
        <v>4.9716356435643565</v>
      </c>
    </row>
    <row r="57" spans="1:35" x14ac:dyDescent="0.4">
      <c r="A57" s="1" t="s">
        <v>102</v>
      </c>
      <c r="B57" s="3">
        <f>(-X57/(12*PI()*Z57*C57))^(1/2)</f>
        <v>0.55583116800572419</v>
      </c>
      <c r="C57" s="8">
        <v>2.0299999999999998</v>
      </c>
      <c r="D57" s="15"/>
      <c r="H57" s="15"/>
      <c r="J57" s="17"/>
      <c r="L57" s="15"/>
      <c r="N57" s="17"/>
      <c r="P57" s="6" t="s">
        <v>73</v>
      </c>
      <c r="Q57" s="12">
        <v>-4.7750000000000004</v>
      </c>
      <c r="R57">
        <v>36.493000000000002</v>
      </c>
      <c r="S57">
        <v>0.19600000000000001</v>
      </c>
      <c r="T57" s="13">
        <v>1.9350000000000001</v>
      </c>
      <c r="V57" s="5">
        <v>3.68397</v>
      </c>
      <c r="X57" s="12">
        <v>-4.7759999999999998</v>
      </c>
      <c r="Y57">
        <v>36.463999999999999</v>
      </c>
      <c r="Z57">
        <v>0.20200000000000001</v>
      </c>
      <c r="AA57" s="22">
        <v>4.0650000000000004</v>
      </c>
      <c r="AB57" s="25">
        <f>((AC57+SQRT(AC57^2-4))/2)^2</f>
        <v>4.0944212397459818</v>
      </c>
      <c r="AC57" s="22">
        <f t="shared" si="40"/>
        <v>2.5176687634544996</v>
      </c>
      <c r="AD57" s="23">
        <f t="shared" si="41"/>
        <v>8.6278127242416611E-2</v>
      </c>
      <c r="AF57" s="4">
        <v>0</v>
      </c>
      <c r="AG57" s="21"/>
      <c r="AH57" s="28"/>
      <c r="AI57" s="23"/>
    </row>
    <row r="58" spans="1:35" x14ac:dyDescent="0.4">
      <c r="A58" s="1" t="s">
        <v>59</v>
      </c>
      <c r="B58" s="3">
        <f>(-X58/(12*PI()*Z58*C58))^(1/2)</f>
        <v>0.54722268359261705</v>
      </c>
      <c r="C58" s="8">
        <v>2</v>
      </c>
      <c r="D58" s="15"/>
      <c r="H58" s="15"/>
      <c r="J58" s="17"/>
      <c r="L58" s="15"/>
      <c r="N58" s="17"/>
      <c r="P58" s="6" t="s">
        <v>73</v>
      </c>
      <c r="Q58" s="12">
        <v>-4.7629999999999999</v>
      </c>
      <c r="R58">
        <v>36.500999999999998</v>
      </c>
      <c r="S58">
        <v>0.20599999999999999</v>
      </c>
      <c r="T58" s="13">
        <v>1.94</v>
      </c>
      <c r="V58" s="5"/>
      <c r="X58" s="12">
        <v>-4.7640000000000002</v>
      </c>
      <c r="Y58">
        <v>35.470999999999997</v>
      </c>
      <c r="Z58">
        <v>0.21099999999999999</v>
      </c>
      <c r="AA58" s="22">
        <v>4.0730000000000004</v>
      </c>
      <c r="AB58" s="25">
        <f t="shared" ref="AB58:AB60" si="42">((AC58+SQRT(AC58^2-4))/2)^2</f>
        <v>4.1198928287732333</v>
      </c>
      <c r="AC58" s="22">
        <f t="shared" si="40"/>
        <v>2.5224229600201689</v>
      </c>
      <c r="AD58" s="23">
        <f t="shared" ref="AD58:AD60" si="43" xml:space="preserve"> ((SQRT(AB58))^3/(AB58-1)+(SQRT(1/AB58)^3/(1/AB58-1))-2)/6</f>
        <v>8.707049333669474E-2</v>
      </c>
      <c r="AE58" s="4">
        <v>0</v>
      </c>
      <c r="AF58" s="4">
        <v>0</v>
      </c>
      <c r="AG58" s="21">
        <v>4.8719999999999999</v>
      </c>
      <c r="AH58" s="28"/>
      <c r="AI58" s="23"/>
    </row>
    <row r="59" spans="1:35" x14ac:dyDescent="0.4">
      <c r="A59" s="1" t="s">
        <v>103</v>
      </c>
      <c r="B59" s="3">
        <f>(-X59/(12*PI()*Z59*C59))^(1/2)</f>
        <v>0.53435603752683258</v>
      </c>
      <c r="C59" s="8">
        <v>1.9950000000000001</v>
      </c>
      <c r="D59" s="15"/>
      <c r="H59" s="15"/>
      <c r="J59" s="17"/>
      <c r="L59" s="15"/>
      <c r="N59" s="17"/>
      <c r="P59" s="6" t="s">
        <v>73</v>
      </c>
      <c r="Q59" s="12">
        <v>-4.7450000000000001</v>
      </c>
      <c r="R59">
        <v>34.615000000000002</v>
      </c>
      <c r="S59">
        <v>0.215</v>
      </c>
      <c r="T59" s="13">
        <v>1.968</v>
      </c>
      <c r="V59" s="5"/>
      <c r="X59" s="12">
        <v>-4.7460000000000004</v>
      </c>
      <c r="Y59">
        <v>34.585000000000001</v>
      </c>
      <c r="Z59">
        <v>0.221</v>
      </c>
      <c r="AA59" s="22">
        <v>4.1029999999999998</v>
      </c>
      <c r="AB59" s="25">
        <f t="shared" si="42"/>
        <v>3.9647919007050652</v>
      </c>
      <c r="AC59" s="22">
        <f t="shared" si="40"/>
        <v>2.4933936608206939</v>
      </c>
      <c r="AD59" s="23">
        <f t="shared" si="43"/>
        <v>8.2232276803448981E-2</v>
      </c>
      <c r="AF59" s="4"/>
      <c r="AG59" s="21"/>
      <c r="AH59" s="28"/>
      <c r="AI59" s="23"/>
    </row>
    <row r="60" spans="1:35" x14ac:dyDescent="0.4">
      <c r="A60" s="1" t="s">
        <v>104</v>
      </c>
      <c r="B60" s="3">
        <f>(-X60/(12*PI()*Z60*C60))^(1/2)</f>
        <v>0.52387902405998144</v>
      </c>
      <c r="C60" s="8">
        <v>1.99</v>
      </c>
      <c r="D60" s="15"/>
      <c r="H60" s="15"/>
      <c r="J60" s="17"/>
      <c r="L60" s="15"/>
      <c r="N60" s="17"/>
      <c r="P60" s="6" t="s">
        <v>73</v>
      </c>
      <c r="Q60" s="12">
        <v>-4.7140000000000004</v>
      </c>
      <c r="R60">
        <v>33.948999999999998</v>
      </c>
      <c r="S60">
        <v>0.222</v>
      </c>
      <c r="T60" s="13">
        <v>2.0339999999999998</v>
      </c>
      <c r="V60" s="5">
        <v>3.6158000000000001</v>
      </c>
      <c r="X60" s="12">
        <v>-4.7149999999999999</v>
      </c>
      <c r="Y60">
        <v>33.918999999999997</v>
      </c>
      <c r="Z60">
        <v>0.22900000000000001</v>
      </c>
      <c r="AA60" s="22">
        <v>4.173</v>
      </c>
      <c r="AB60" s="25">
        <f t="shared" si="42"/>
        <v>4.0316576240717135</v>
      </c>
      <c r="AC60" s="22">
        <f t="shared" si="40"/>
        <v>2.5059318743854084</v>
      </c>
      <c r="AD60" s="23">
        <f t="shared" si="43"/>
        <v>8.4321979064234734E-2</v>
      </c>
      <c r="AF60" s="4"/>
      <c r="AG60" s="21"/>
      <c r="AH60" s="28"/>
      <c r="AI60" s="23"/>
    </row>
    <row r="61" spans="1:35" x14ac:dyDescent="0.4">
      <c r="A61" s="1" t="s">
        <v>42</v>
      </c>
      <c r="B61" s="3">
        <v>0.47799999999999998</v>
      </c>
      <c r="C61" s="8">
        <v>2.27</v>
      </c>
      <c r="D61" s="15">
        <v>4.6399999999999997</v>
      </c>
      <c r="H61" s="15">
        <f t="shared" ref="H61:H79" si="44">((L61+SQRT(L61^2-4))/2)^2</f>
        <v>2.9483101851292712</v>
      </c>
      <c r="J61" s="17"/>
      <c r="L61" s="15">
        <f t="shared" ref="L61:L79" si="45">3*B61*(D61-1)/C61</f>
        <v>2.2994537444933916</v>
      </c>
      <c r="N61" s="17"/>
      <c r="P61" s="6" t="s">
        <v>67</v>
      </c>
      <c r="Q61" s="12">
        <v>-10.257</v>
      </c>
      <c r="R61">
        <v>43.661999999999999</v>
      </c>
      <c r="S61">
        <v>8.5999999999999993E-2</v>
      </c>
      <c r="T61" s="13">
        <v>2.0790000000000002</v>
      </c>
      <c r="V61" s="5">
        <v>4.0095700000000001</v>
      </c>
      <c r="X61" s="12">
        <v>-10.257999999999999</v>
      </c>
      <c r="Y61">
        <v>43.62</v>
      </c>
      <c r="Z61">
        <v>8.7999999999999995E-2</v>
      </c>
      <c r="AA61" s="22">
        <v>4.2279999999999998</v>
      </c>
      <c r="AB61" s="25">
        <f t="shared" ref="AB61:AB63" si="46">((AC61+SQRT(AC61^2-4))/2)^2</f>
        <v>1.4847776136190036</v>
      </c>
      <c r="AC61" s="22">
        <f t="shared" si="40"/>
        <v>2.0391859030837001</v>
      </c>
      <c r="AD61" s="23">
        <f t="shared" ref="AD61:AD63" si="47" xml:space="preserve"> ((SQRT(AB61))^3/(AB61-1)+(SQRT(1/AB61)^3/(1/AB61-1))-2)/6</f>
        <v>6.5309838472833448E-3</v>
      </c>
      <c r="AF61" s="4"/>
      <c r="AG61" s="21">
        <v>5.0229999999999997</v>
      </c>
      <c r="AH61" s="28">
        <f t="shared" ref="AH61:AH62" si="48">((AI61+SQRT(AI61^2-4))/2)^2</f>
        <v>4.2218605200920329</v>
      </c>
      <c r="AI61" s="23">
        <f>3*B61*(AG61-1)/C61</f>
        <v>2.5414017621145373</v>
      </c>
    </row>
    <row r="62" spans="1:35" x14ac:dyDescent="0.4">
      <c r="A62" s="1" t="s">
        <v>43</v>
      </c>
      <c r="B62" s="3">
        <v>0.46700000000000003</v>
      </c>
      <c r="C62" s="8">
        <v>1.99</v>
      </c>
      <c r="D62" s="15">
        <v>4.2699999999999996</v>
      </c>
      <c r="H62" s="15">
        <f t="shared" si="44"/>
        <v>2.9622993492241645</v>
      </c>
      <c r="J62" s="17"/>
      <c r="L62" s="15">
        <f t="shared" si="45"/>
        <v>2.3021457286432154</v>
      </c>
      <c r="N62" s="17"/>
      <c r="P62" s="6" t="s">
        <v>67</v>
      </c>
      <c r="Q62" s="12">
        <v>-14.079000000000001</v>
      </c>
      <c r="R62">
        <v>33.701999999999998</v>
      </c>
      <c r="S62">
        <v>0.20499999999999999</v>
      </c>
      <c r="T62" s="13">
        <v>1.9410000000000001</v>
      </c>
      <c r="V62" s="5">
        <v>3.56047</v>
      </c>
      <c r="X62" s="12">
        <v>-14.079000000000001</v>
      </c>
      <c r="Y62">
        <v>33.677999999999997</v>
      </c>
      <c r="Z62">
        <v>0.21099999999999999</v>
      </c>
      <c r="AA62" s="22">
        <v>4.08</v>
      </c>
      <c r="AB62" s="25">
        <f t="shared" si="46"/>
        <v>2.2592566420908891</v>
      </c>
      <c r="AC62" s="22">
        <f t="shared" si="40"/>
        <v>2.1683819095477386</v>
      </c>
      <c r="AD62" s="23">
        <f t="shared" si="47"/>
        <v>2.8063651591289762E-2</v>
      </c>
      <c r="AF62" s="4">
        <v>0</v>
      </c>
      <c r="AG62" s="21">
        <v>4.9059999999999997</v>
      </c>
      <c r="AH62" s="28">
        <f t="shared" si="48"/>
        <v>5.3759502007458693</v>
      </c>
      <c r="AI62" s="23">
        <f>3*B62*(AG62-1)/C62</f>
        <v>2.749902512562814</v>
      </c>
    </row>
    <row r="63" spans="1:35" x14ac:dyDescent="0.4">
      <c r="A63" s="1" t="s">
        <v>105</v>
      </c>
      <c r="B63" s="3">
        <f>(-X63/(12*PI()*Z63*C63))^(1/2)</f>
        <v>0.49577100723826473</v>
      </c>
      <c r="C63" s="8">
        <v>1.9750000000000001</v>
      </c>
      <c r="D63" s="15"/>
      <c r="H63" s="15"/>
      <c r="J63" s="17"/>
      <c r="L63" s="15"/>
      <c r="N63" s="17"/>
      <c r="P63" s="6" t="s">
        <v>87</v>
      </c>
      <c r="Q63" s="12">
        <v>-4.6289999999999996</v>
      </c>
      <c r="R63">
        <v>32.098999999999997</v>
      </c>
      <c r="S63">
        <v>0.245</v>
      </c>
      <c r="T63" s="13">
        <v>2.1549999999999998</v>
      </c>
      <c r="V63" s="5"/>
      <c r="X63" s="12">
        <v>-4.63</v>
      </c>
      <c r="Y63">
        <v>32.069000000000003</v>
      </c>
      <c r="Z63">
        <v>0.253</v>
      </c>
      <c r="AA63" s="22">
        <v>4.3029999999999999</v>
      </c>
      <c r="AB63" s="25">
        <f t="shared" si="46"/>
        <v>3.9328389073378691</v>
      </c>
      <c r="AC63" s="22">
        <f t="shared" si="40"/>
        <v>2.4873898282146656</v>
      </c>
      <c r="AD63" s="23">
        <f t="shared" si="47"/>
        <v>8.1231638035777667E-2</v>
      </c>
      <c r="AF63" s="4">
        <v>0</v>
      </c>
      <c r="AG63" s="21"/>
      <c r="AH63" s="28"/>
      <c r="AI63" s="23"/>
    </row>
    <row r="64" spans="1:35" x14ac:dyDescent="0.4">
      <c r="A64" s="1" t="s">
        <v>44</v>
      </c>
      <c r="B64" s="3">
        <v>0.40400000000000003</v>
      </c>
      <c r="C64" s="8">
        <v>1.96</v>
      </c>
      <c r="D64" s="15">
        <v>4.72</v>
      </c>
      <c r="H64" s="15">
        <f t="shared" si="44"/>
        <v>2.9528457897395812</v>
      </c>
      <c r="J64" s="17"/>
      <c r="L64" s="15">
        <f t="shared" si="45"/>
        <v>2.3003265306122453</v>
      </c>
      <c r="N64" s="17"/>
      <c r="P64" s="6" t="s">
        <v>87</v>
      </c>
      <c r="Q64" s="12">
        <v>-4.6020000000000003</v>
      </c>
      <c r="R64">
        <v>31.585000000000001</v>
      </c>
      <c r="S64">
        <v>0.252</v>
      </c>
      <c r="T64" s="13">
        <v>2.173</v>
      </c>
      <c r="V64" s="5"/>
      <c r="X64" s="12">
        <v>-4.6029999999999998</v>
      </c>
      <c r="Y64">
        <v>31.556000000000001</v>
      </c>
      <c r="Z64">
        <v>0.25900000000000001</v>
      </c>
      <c r="AA64" s="22">
        <v>4.3209999999999997</v>
      </c>
      <c r="AB64" s="25">
        <f t="shared" ref="AB64:AB65" si="49">((AC64+SQRT(AC64^2-4))/2)^2</f>
        <v>1.5872402205632015</v>
      </c>
      <c r="AC64" s="22">
        <f t="shared" si="40"/>
        <v>2.0535979591836737</v>
      </c>
      <c r="AD64" s="23">
        <f t="shared" ref="AD64:AD65" si="50" xml:space="preserve"> ((SQRT(AB64))^3/(AB64-1)+(SQRT(1/AB64)^3/(1/AB64-1))-2)/6</f>
        <v>8.932993197278952E-3</v>
      </c>
      <c r="AF64" s="4">
        <v>0</v>
      </c>
      <c r="AG64" s="21"/>
      <c r="AH64" s="28"/>
      <c r="AI64" s="23"/>
    </row>
    <row r="65" spans="1:35" x14ac:dyDescent="0.4">
      <c r="A65" s="1" t="s">
        <v>106</v>
      </c>
      <c r="B65" s="3">
        <f>(-X65/(12*PI()*Z65*C65))^(1/2)</f>
        <v>0.4846070715067714</v>
      </c>
      <c r="C65" s="8">
        <v>1.95</v>
      </c>
      <c r="D65" s="15"/>
      <c r="H65" s="15"/>
      <c r="J65" s="17"/>
      <c r="L65" s="15"/>
      <c r="N65" s="17"/>
      <c r="P65" s="6" t="s">
        <v>90</v>
      </c>
      <c r="Q65" s="12">
        <v>-4.5739999999999998</v>
      </c>
      <c r="R65">
        <v>31.483000000000001</v>
      </c>
      <c r="S65">
        <v>0.25800000000000001</v>
      </c>
      <c r="T65" s="13">
        <v>1.9790000000000001</v>
      </c>
      <c r="V65" s="5">
        <v>3.4811299999999998</v>
      </c>
      <c r="X65" s="12">
        <v>-4.5750000000000002</v>
      </c>
      <c r="Y65">
        <v>31.457000000000001</v>
      </c>
      <c r="Z65">
        <v>0.26500000000000001</v>
      </c>
      <c r="AA65" s="22">
        <v>4.1079999999999997</v>
      </c>
      <c r="AB65" s="25">
        <f t="shared" si="49"/>
        <v>3.0403556431341814</v>
      </c>
      <c r="AC65" s="22">
        <f t="shared" si="40"/>
        <v>2.3171673511431465</v>
      </c>
      <c r="AD65" s="23">
        <f t="shared" si="50"/>
        <v>5.2861225190524351E-2</v>
      </c>
      <c r="AF65" s="4">
        <v>0</v>
      </c>
      <c r="AG65" s="21"/>
      <c r="AH65" s="28"/>
      <c r="AI65" s="23"/>
    </row>
    <row r="66" spans="1:35" x14ac:dyDescent="0.4">
      <c r="A66" s="1" t="s">
        <v>45</v>
      </c>
      <c r="B66" s="3">
        <v>0.39300000000000002</v>
      </c>
      <c r="C66" s="8">
        <v>1.94</v>
      </c>
      <c r="D66" s="15">
        <v>4.79</v>
      </c>
      <c r="H66" s="15">
        <f t="shared" si="44"/>
        <v>2.9683188551159074</v>
      </c>
      <c r="J66" s="17"/>
      <c r="L66" s="15">
        <f t="shared" si="45"/>
        <v>2.3033041237113405</v>
      </c>
      <c r="N66" s="17"/>
      <c r="P66" s="6" t="s">
        <v>67</v>
      </c>
      <c r="Q66" s="12">
        <v>-4.5629999999999997</v>
      </c>
      <c r="R66">
        <v>30.966000000000001</v>
      </c>
      <c r="S66">
        <v>0.26500000000000001</v>
      </c>
      <c r="T66" s="13">
        <v>2.036</v>
      </c>
      <c r="V66" s="5">
        <v>3.46096</v>
      </c>
      <c r="X66" s="12">
        <v>-4.5640000000000001</v>
      </c>
      <c r="Y66">
        <v>30.939</v>
      </c>
      <c r="Z66">
        <v>0.27200000000000002</v>
      </c>
      <c r="AA66" s="22">
        <v>4.1749999999999998</v>
      </c>
      <c r="AB66" s="25"/>
      <c r="AC66" s="22"/>
      <c r="AD66" s="23"/>
      <c r="AF66" s="4">
        <v>0</v>
      </c>
      <c r="AG66" s="21">
        <v>4.9720000000000004</v>
      </c>
      <c r="AH66" s="28">
        <f t="shared" ref="AH66" si="51">((AI66+SQRT(AI66^2-4))/2)^2</f>
        <v>3.5448701807384584</v>
      </c>
      <c r="AI66" s="23">
        <f>3*B66*(AG66-1)/C66</f>
        <v>2.413911340206186</v>
      </c>
    </row>
    <row r="67" spans="1:35" x14ac:dyDescent="0.4">
      <c r="A67" s="1" t="s">
        <v>134</v>
      </c>
      <c r="B67" s="3"/>
      <c r="C67" s="8">
        <v>1.93</v>
      </c>
      <c r="D67" s="15"/>
      <c r="H67" s="15"/>
      <c r="J67" s="17"/>
      <c r="L67" s="15"/>
      <c r="N67" s="17"/>
      <c r="V67" s="5"/>
      <c r="AA67" s="22"/>
      <c r="AB67" s="25"/>
      <c r="AC67" s="22"/>
      <c r="AD67" s="23"/>
      <c r="AF67" s="4"/>
      <c r="AG67" s="21"/>
      <c r="AH67" s="28"/>
      <c r="AI67" s="23"/>
    </row>
    <row r="68" spans="1:35" x14ac:dyDescent="0.4">
      <c r="A68" s="1" t="s">
        <v>46</v>
      </c>
      <c r="B68" s="3">
        <v>0.50600000000000001</v>
      </c>
      <c r="C68" s="8">
        <v>1.99</v>
      </c>
      <c r="D68" s="15">
        <v>4.0199999999999996</v>
      </c>
      <c r="F68" s="7">
        <v>4.4610000000000003</v>
      </c>
      <c r="H68" s="15">
        <f t="shared" si="44"/>
        <v>2.9703681369217274</v>
      </c>
      <c r="J68" s="17">
        <f t="shared" ref="J68:J79" si="52">((N68+SQRT(N68^2-4))/2)^2</f>
        <v>4.7600432310165832</v>
      </c>
      <c r="L68" s="15">
        <f t="shared" si="45"/>
        <v>2.3036984924623112</v>
      </c>
      <c r="N68" s="17">
        <f t="shared" ref="N68:N79" si="53">3*B68*(F68-1)/C68</f>
        <v>2.6400994974874377</v>
      </c>
      <c r="V68" s="5"/>
      <c r="AA68" s="22"/>
      <c r="AB68" s="25"/>
      <c r="AC68" s="22"/>
      <c r="AD68" s="23"/>
      <c r="AF68" s="4"/>
      <c r="AG68" s="21"/>
      <c r="AH68" s="28"/>
      <c r="AI68" s="23"/>
    </row>
    <row r="69" spans="1:35" x14ac:dyDescent="0.4">
      <c r="A69" s="1" t="s">
        <v>107</v>
      </c>
      <c r="B69" s="3">
        <f>(-X69/(12*PI()*Z69*C69))^(1/2)</f>
        <v>0.46470843369586545</v>
      </c>
      <c r="C69" s="8">
        <v>1.91</v>
      </c>
      <c r="D69" s="15"/>
      <c r="H69" s="15"/>
      <c r="J69" s="17"/>
      <c r="L69" s="15"/>
      <c r="N69" s="17"/>
      <c r="P69" s="6" t="s">
        <v>90</v>
      </c>
      <c r="Q69" s="12">
        <v>-4.524</v>
      </c>
      <c r="R69">
        <v>29.523</v>
      </c>
      <c r="S69">
        <v>0.28299999999999997</v>
      </c>
      <c r="T69" s="13">
        <v>2.2629999999999999</v>
      </c>
      <c r="V69" s="5">
        <v>3.4093100000000001</v>
      </c>
      <c r="X69" s="12">
        <v>-4.5250000000000004</v>
      </c>
      <c r="Y69">
        <v>29.491</v>
      </c>
      <c r="Z69">
        <v>0.29099999999999998</v>
      </c>
      <c r="AA69" s="22">
        <v>4.43</v>
      </c>
      <c r="AB69" s="25">
        <f t="shared" ref="AB69" si="54">((AC69+SQRT(AC69^2-4))/2)^2</f>
        <v>4.0191344386862236</v>
      </c>
      <c r="AC69" s="22">
        <f>3*B69*(AA69-1)/C69</f>
        <v>2.5035862736808672</v>
      </c>
      <c r="AD69" s="23">
        <f t="shared" ref="AD69" si="55" xml:space="preserve"> ((SQRT(AB69))^3/(AB69-1)+(SQRT(1/AB69)^3/(1/AB69-1))-2)/6</f>
        <v>8.3931045613477931E-2</v>
      </c>
      <c r="AF69" s="4"/>
      <c r="AG69" s="21"/>
      <c r="AH69" s="28"/>
      <c r="AI69" s="23"/>
    </row>
    <row r="70" spans="1:35" x14ac:dyDescent="0.4">
      <c r="A70" s="1" t="s">
        <v>47</v>
      </c>
      <c r="B70" s="3">
        <v>0.373</v>
      </c>
      <c r="C70" s="8">
        <v>1.74</v>
      </c>
      <c r="D70" s="15">
        <v>4.57</v>
      </c>
      <c r="F70" s="7">
        <v>4.609</v>
      </c>
      <c r="H70" s="15">
        <f t="shared" si="44"/>
        <v>2.9297338776369064</v>
      </c>
      <c r="J70" s="17">
        <f t="shared" si="52"/>
        <v>3.0600666550100843</v>
      </c>
      <c r="L70" s="15">
        <f t="shared" si="45"/>
        <v>2.2958793103448278</v>
      </c>
      <c r="N70" s="17">
        <f t="shared" si="53"/>
        <v>2.3209603448275864</v>
      </c>
      <c r="P70" s="6" t="s">
        <v>67</v>
      </c>
      <c r="Q70" s="12">
        <v>-9.9540000000000006</v>
      </c>
      <c r="R70">
        <v>22.515000000000001</v>
      </c>
      <c r="S70">
        <v>0.65600000000000003</v>
      </c>
      <c r="T70" s="13">
        <v>2.3410000000000002</v>
      </c>
      <c r="V70" s="5">
        <v>3.1383899999999998</v>
      </c>
      <c r="X70" s="12">
        <v>-9.9559999999999995</v>
      </c>
      <c r="Y70">
        <v>22.491</v>
      </c>
      <c r="Z70">
        <v>0.67600000000000005</v>
      </c>
      <c r="AA70" s="22">
        <v>4.5090000000000003</v>
      </c>
      <c r="AB70" s="25">
        <f>6.537854/5.292708*2</f>
        <v>2.4705137710223197</v>
      </c>
      <c r="AC70" s="22">
        <f>3*B70*(AA70-1)/C70</f>
        <v>2.2566500000000005</v>
      </c>
      <c r="AD70" s="23">
        <f t="shared" ref="AD70" si="56" xml:space="preserve"> ((SQRT(AB70))^3/(AB70-1)+(SQRT(1/AB70)^3/(1/AB70-1))-2)/6</f>
        <v>3.4667567775065709E-2</v>
      </c>
      <c r="AF70" s="4">
        <v>0</v>
      </c>
      <c r="AG70" s="21">
        <v>5.2450000000000001</v>
      </c>
      <c r="AH70" s="28">
        <f t="shared" ref="AH70:AH79" si="57">((AI70+SQRT(AI70^2-4))/2)^2</f>
        <v>5.2627438454158284</v>
      </c>
      <c r="AI70" s="23">
        <f>3*B70*(AG70-1)/C70</f>
        <v>2.7299741379310345</v>
      </c>
    </row>
    <row r="71" spans="1:35" x14ac:dyDescent="0.4">
      <c r="A71" s="1" t="s">
        <v>48</v>
      </c>
      <c r="B71" s="3">
        <v>0.33</v>
      </c>
      <c r="C71" s="8">
        <v>1.62</v>
      </c>
      <c r="D71" s="15">
        <v>4.7699999999999996</v>
      </c>
      <c r="F71" s="7">
        <v>3.944</v>
      </c>
      <c r="H71" s="15">
        <f t="shared" si="44"/>
        <v>2.9713575013500662</v>
      </c>
      <c r="J71" s="17" t="e">
        <f t="shared" si="52"/>
        <v>#NUM!</v>
      </c>
      <c r="L71" s="15">
        <f t="shared" si="45"/>
        <v>2.3038888888888884</v>
      </c>
      <c r="N71" s="17">
        <f t="shared" si="53"/>
        <v>1.7991111111111109</v>
      </c>
      <c r="P71" s="6" t="s">
        <v>69</v>
      </c>
      <c r="Q71" s="12">
        <v>-9.9540000000000006</v>
      </c>
      <c r="R71">
        <v>22.515000000000001</v>
      </c>
      <c r="S71">
        <v>0.65600000000000003</v>
      </c>
      <c r="T71" s="13">
        <v>2.3410000000000002</v>
      </c>
      <c r="V71" s="5"/>
      <c r="X71" s="12">
        <v>-11.853999999999999</v>
      </c>
      <c r="Y71">
        <v>18.321999999999999</v>
      </c>
      <c r="Z71">
        <v>1.22</v>
      </c>
      <c r="AA71" s="22">
        <v>4.8849999999999998</v>
      </c>
      <c r="AB71" s="25">
        <f t="shared" ref="AB71:AB78" si="58">((AC71+SQRT(AC71^2-4))/2)^2</f>
        <v>3.3369967023753118</v>
      </c>
      <c r="AC71" s="22">
        <f>3*B71*(AA71-1)/C71</f>
        <v>2.3741666666666665</v>
      </c>
      <c r="AD71" s="23">
        <f t="shared" ref="AD71:AD73" si="59" xml:space="preserve"> ((SQRT(AB71))^3/(AB71-1)+(SQRT(1/AB71)^3/(1/AB71-1))-2)/6</f>
        <v>6.2361111111111089E-2</v>
      </c>
      <c r="AE71" s="4">
        <v>0</v>
      </c>
      <c r="AF71" s="4">
        <v>0</v>
      </c>
      <c r="AG71" s="21">
        <v>5.5529999999999999</v>
      </c>
      <c r="AH71" s="28">
        <f t="shared" si="57"/>
        <v>5.5618930291910775</v>
      </c>
      <c r="AI71" s="23">
        <f>3*B71*(AG71-1)/C71</f>
        <v>2.7823888888888884</v>
      </c>
    </row>
    <row r="72" spans="1:35" x14ac:dyDescent="0.4">
      <c r="A72" s="1" t="s">
        <v>49</v>
      </c>
      <c r="B72" s="3">
        <v>0.27400000000000002</v>
      </c>
      <c r="C72" s="8">
        <v>1.56</v>
      </c>
      <c r="D72" s="15">
        <v>5.36</v>
      </c>
      <c r="F72" s="7">
        <v>4.3600000000000003</v>
      </c>
      <c r="H72" s="15">
        <f t="shared" si="44"/>
        <v>2.9375571636289326</v>
      </c>
      <c r="J72" s="17" t="e">
        <f t="shared" si="52"/>
        <v>#NUM!</v>
      </c>
      <c r="L72" s="15">
        <f t="shared" si="45"/>
        <v>2.2973846153846158</v>
      </c>
      <c r="N72" s="17">
        <f t="shared" si="53"/>
        <v>1.7704615384615385</v>
      </c>
      <c r="P72" s="6" t="s">
        <v>69</v>
      </c>
      <c r="Q72" s="12">
        <v>-12.957000000000001</v>
      </c>
      <c r="R72">
        <v>16.245999999999999</v>
      </c>
      <c r="S72">
        <v>1.8280000000000001</v>
      </c>
      <c r="T72" s="13">
        <v>3.11</v>
      </c>
      <c r="V72" s="5"/>
      <c r="X72" s="12">
        <v>-12.961</v>
      </c>
      <c r="Y72">
        <v>16.22</v>
      </c>
      <c r="Z72">
        <v>1.8919999999999999</v>
      </c>
      <c r="AA72" s="22">
        <v>5.3609999999999998</v>
      </c>
      <c r="AB72" s="25">
        <f t="shared" si="58"/>
        <v>2.9402955767601289</v>
      </c>
      <c r="AC72" s="22">
        <f>3*B72*(AA72-1)/C72</f>
        <v>2.2979115384615385</v>
      </c>
      <c r="AD72" s="23">
        <f t="shared" si="59"/>
        <v>4.9651923076923087E-2</v>
      </c>
      <c r="AE72" s="4">
        <v>0</v>
      </c>
      <c r="AF72" s="4">
        <v>0</v>
      </c>
      <c r="AG72" s="21">
        <v>5.9530000000000003</v>
      </c>
      <c r="AH72" s="28">
        <f t="shared" si="57"/>
        <v>4.5936239754997379</v>
      </c>
      <c r="AI72" s="23">
        <f>3*B72*(AG72-1)/C72</f>
        <v>2.6098500000000002</v>
      </c>
    </row>
    <row r="73" spans="1:35" x14ac:dyDescent="0.4">
      <c r="A73" s="1" t="s">
        <v>50</v>
      </c>
      <c r="B73" s="3">
        <v>0.247</v>
      </c>
      <c r="C73" s="8">
        <v>1.52</v>
      </c>
      <c r="D73" s="15">
        <v>5.72</v>
      </c>
      <c r="F73" s="7">
        <v>4.798</v>
      </c>
      <c r="H73" s="15">
        <f t="shared" si="44"/>
        <v>2.9563455478498613</v>
      </c>
      <c r="J73" s="17" t="e">
        <f t="shared" si="52"/>
        <v>#NUM!</v>
      </c>
      <c r="L73" s="15">
        <f t="shared" si="45"/>
        <v>2.3009999999999997</v>
      </c>
      <c r="N73" s="17">
        <f t="shared" si="53"/>
        <v>1.8515250000000001</v>
      </c>
      <c r="P73" s="6" t="s">
        <v>67</v>
      </c>
      <c r="Q73" s="12">
        <v>-12.441000000000001</v>
      </c>
      <c r="R73">
        <v>15.1</v>
      </c>
      <c r="S73">
        <v>2.1779999999999999</v>
      </c>
      <c r="T73" s="13">
        <v>3.359</v>
      </c>
      <c r="V73" s="5">
        <v>2.7629899999999998</v>
      </c>
      <c r="X73" s="12">
        <v>-12.446</v>
      </c>
      <c r="Y73">
        <v>15.073</v>
      </c>
      <c r="Z73">
        <v>2.258</v>
      </c>
      <c r="AA73" s="22">
        <v>5.6379999999999999</v>
      </c>
      <c r="AB73" s="25">
        <f t="shared" si="58"/>
        <v>2.7483838563815435</v>
      </c>
      <c r="AC73" s="22">
        <f>3*B73*(AA73-1)/C73</f>
        <v>2.2610249999999996</v>
      </c>
      <c r="AD73" s="23">
        <f t="shared" si="59"/>
        <v>4.3504166666666601E-2</v>
      </c>
      <c r="AE73">
        <v>0.01</v>
      </c>
      <c r="AF73" s="4">
        <v>0</v>
      </c>
      <c r="AG73" s="21">
        <v>6.1740000000000004</v>
      </c>
      <c r="AH73" s="28">
        <f t="shared" si="57"/>
        <v>4.1193677032869758</v>
      </c>
      <c r="AI73" s="23">
        <f>3*B73*(AG73-1)/C73</f>
        <v>2.5223249999999999</v>
      </c>
    </row>
    <row r="74" spans="1:35" x14ac:dyDescent="0.4">
      <c r="A74" s="1" t="s">
        <v>108</v>
      </c>
      <c r="B74" s="3"/>
      <c r="C74" s="8"/>
      <c r="D74" s="15"/>
      <c r="H74" s="15"/>
      <c r="J74" s="17"/>
      <c r="L74" s="15"/>
      <c r="N74" s="17"/>
      <c r="P74" s="6" t="s">
        <v>90</v>
      </c>
      <c r="Q74" s="12">
        <v>-11.221</v>
      </c>
      <c r="R74">
        <v>14.391</v>
      </c>
      <c r="S74">
        <v>2.3889999999999998</v>
      </c>
      <c r="T74" s="13">
        <v>3.6960000000000002</v>
      </c>
      <c r="V74" s="5">
        <v>2.6985000000000001</v>
      </c>
      <c r="X74" s="12">
        <v>-11.226000000000001</v>
      </c>
      <c r="Y74">
        <v>14.361000000000001</v>
      </c>
      <c r="Z74">
        <v>2.4820000000000002</v>
      </c>
      <c r="AA74" s="22">
        <v>6.02</v>
      </c>
      <c r="AB74" s="25"/>
      <c r="AC74" s="22"/>
      <c r="AD74" s="23"/>
      <c r="AF74" s="4"/>
      <c r="AG74" s="21"/>
      <c r="AH74" s="28"/>
      <c r="AI74" s="23"/>
    </row>
    <row r="75" spans="1:35" x14ac:dyDescent="0.4">
      <c r="A75" s="1" t="s">
        <v>51</v>
      </c>
      <c r="B75" s="3">
        <v>0.23</v>
      </c>
      <c r="C75" s="8">
        <v>1.5</v>
      </c>
      <c r="D75" s="15">
        <v>6</v>
      </c>
      <c r="F75" s="7">
        <v>5.3940000000000001</v>
      </c>
      <c r="H75" s="15">
        <f t="shared" si="44"/>
        <v>2.9511489195340639</v>
      </c>
      <c r="J75" s="17">
        <f t="shared" si="52"/>
        <v>1.3380611226779187</v>
      </c>
      <c r="L75" s="15">
        <f t="shared" si="45"/>
        <v>2.3000000000000003</v>
      </c>
      <c r="N75" s="17">
        <f t="shared" si="53"/>
        <v>2.0212400000000001</v>
      </c>
      <c r="P75" s="6" t="s">
        <v>68</v>
      </c>
      <c r="Q75" s="12">
        <v>-8.8490000000000002</v>
      </c>
      <c r="R75">
        <v>14.603</v>
      </c>
      <c r="S75">
        <v>2.0499999999999998</v>
      </c>
      <c r="T75" s="13">
        <v>3.883</v>
      </c>
      <c r="X75" s="12">
        <v>-8.8539999999999992</v>
      </c>
      <c r="Y75">
        <v>14.57</v>
      </c>
      <c r="Z75">
        <v>2.1309999999999998</v>
      </c>
      <c r="AA75" s="22">
        <v>6.2380000000000004</v>
      </c>
      <c r="AB75" s="25">
        <f t="shared" si="58"/>
        <v>3.5216348445060914</v>
      </c>
      <c r="AC75" s="22">
        <f>3*B75*(AA75-1)/C75</f>
        <v>2.4094800000000003</v>
      </c>
      <c r="AD75" s="23">
        <f t="shared" ref="AD75" si="60" xml:space="preserve"> ((SQRT(AB75))^3/(AB75-1)+(SQRT(1/AB75)^3/(1/AB75-1))-2)/6</f>
        <v>6.8246666666666636E-2</v>
      </c>
      <c r="AF75" s="4">
        <v>0</v>
      </c>
      <c r="AG75" s="21">
        <v>6.6609999999999996</v>
      </c>
      <c r="AH75" s="28">
        <f t="shared" si="57"/>
        <v>4.5619226631972625</v>
      </c>
      <c r="AI75" s="23">
        <f>3*B75*(AG75-1)/C75</f>
        <v>2.60406</v>
      </c>
    </row>
    <row r="76" spans="1:35" x14ac:dyDescent="0.4">
      <c r="A76" s="1" t="s">
        <v>52</v>
      </c>
      <c r="B76" s="3">
        <v>0.23699999999999999</v>
      </c>
      <c r="C76" s="8">
        <v>1.53</v>
      </c>
      <c r="D76" s="15">
        <v>5.96</v>
      </c>
      <c r="F76" s="7">
        <v>6.226</v>
      </c>
      <c r="H76" s="15">
        <f t="shared" si="44"/>
        <v>2.9768255037695663</v>
      </c>
      <c r="J76" s="17">
        <f t="shared" si="52"/>
        <v>3.621760579090187</v>
      </c>
      <c r="L76" s="15">
        <f t="shared" si="45"/>
        <v>2.3049411764705883</v>
      </c>
      <c r="N76" s="17">
        <f t="shared" si="53"/>
        <v>2.4285529411764704</v>
      </c>
      <c r="P76" s="6" t="s">
        <v>68</v>
      </c>
      <c r="Q76" s="12">
        <v>-6.0519999999999996</v>
      </c>
      <c r="R76">
        <v>15.766</v>
      </c>
      <c r="S76">
        <v>1.45</v>
      </c>
      <c r="T76" s="13">
        <v>4.2439999999999998</v>
      </c>
      <c r="X76" s="12">
        <v>-6.056</v>
      </c>
      <c r="Y76">
        <v>15.726000000000001</v>
      </c>
      <c r="Z76">
        <v>1.51</v>
      </c>
      <c r="AA76" s="22">
        <v>6.6459999999999999</v>
      </c>
      <c r="AB76" s="25">
        <f>10.612/4.004</f>
        <v>2.6503496503496509</v>
      </c>
      <c r="AC76" s="22">
        <f>3*B76*(AA76-1)/C76</f>
        <v>2.6237294117647054</v>
      </c>
      <c r="AD76" s="23">
        <f t="shared" ref="AD76:AD79" si="61" xml:space="preserve"> ((SQRT(AB76))^3/(AB76-1)+(SQRT(1/AB76)^3/(1/AB76-1))-2)/6</f>
        <v>4.0374007505043309E-2</v>
      </c>
      <c r="AE76">
        <v>0.05</v>
      </c>
      <c r="AF76" s="4">
        <v>0</v>
      </c>
      <c r="AG76" s="21">
        <v>6.96</v>
      </c>
      <c r="AH76" s="28">
        <f t="shared" si="57"/>
        <v>5.4887541223757772</v>
      </c>
      <c r="AI76" s="23">
        <f>3*B76*(AG76-1)/C76</f>
        <v>2.7696470588235291</v>
      </c>
    </row>
    <row r="77" spans="1:35" x14ac:dyDescent="0.4">
      <c r="A77" s="1" t="s">
        <v>53</v>
      </c>
      <c r="B77" s="3">
        <v>0.23599999999999999</v>
      </c>
      <c r="C77" s="8">
        <v>1.59</v>
      </c>
      <c r="D77" s="15">
        <v>6.18</v>
      </c>
      <c r="E77" s="14">
        <v>5.9</v>
      </c>
      <c r="F77" s="7">
        <v>5.4329999999999998</v>
      </c>
      <c r="H77" s="15">
        <f t="shared" si="44"/>
        <v>2.9852686604388676</v>
      </c>
      <c r="I77" s="16">
        <f>((M77+SQRT(M77^2-4))/2)^2</f>
        <v>2.3317714840903077</v>
      </c>
      <c r="J77" s="17" t="e">
        <f t="shared" si="52"/>
        <v>#NUM!</v>
      </c>
      <c r="L77" s="15">
        <f t="shared" si="45"/>
        <v>2.3065660377358488</v>
      </c>
      <c r="M77" s="16">
        <f>3*B77*(E77-1)/C77</f>
        <v>2.1818867924528305</v>
      </c>
      <c r="N77" s="17">
        <f t="shared" si="53"/>
        <v>1.9739396226415091</v>
      </c>
      <c r="P77" s="6" t="s">
        <v>68</v>
      </c>
      <c r="Q77" s="12">
        <v>-3.2679999999999998</v>
      </c>
      <c r="R77">
        <v>18.234999999999999</v>
      </c>
      <c r="S77">
        <v>0.79600000000000004</v>
      </c>
      <c r="T77" s="13">
        <v>4.6050000000000004</v>
      </c>
      <c r="X77" s="12">
        <v>-3.27</v>
      </c>
      <c r="Y77">
        <v>18.183</v>
      </c>
      <c r="Z77">
        <v>0.83</v>
      </c>
      <c r="AA77" s="22">
        <v>7.0629999999999997</v>
      </c>
      <c r="AB77" s="25">
        <f>10.229/4.036</f>
        <v>2.534440039643211</v>
      </c>
      <c r="AC77" s="22" t="s">
        <v>139</v>
      </c>
      <c r="AD77" s="23">
        <f t="shared" si="61"/>
        <v>3.6689357907757549E-2</v>
      </c>
      <c r="AE77">
        <v>0.05</v>
      </c>
      <c r="AF77" s="4">
        <v>0</v>
      </c>
      <c r="AG77" s="21">
        <v>7.258</v>
      </c>
      <c r="AH77" s="28">
        <f t="shared" si="57"/>
        <v>5.5860159404834295</v>
      </c>
      <c r="AI77" s="23">
        <f>3*B77*(AG77-1)/C77</f>
        <v>2.7865811320754719</v>
      </c>
    </row>
    <row r="78" spans="1:35" x14ac:dyDescent="0.4">
      <c r="A78" s="1" t="s">
        <v>54</v>
      </c>
      <c r="B78" s="3">
        <v>0.33100000000000002</v>
      </c>
      <c r="C78" s="8">
        <v>1.9</v>
      </c>
      <c r="D78" s="15">
        <v>5.4</v>
      </c>
      <c r="F78" s="7">
        <v>5.7960000000000003</v>
      </c>
      <c r="H78" s="15">
        <f t="shared" si="44"/>
        <v>2.9489608319659562</v>
      </c>
      <c r="J78" s="17">
        <f t="shared" si="52"/>
        <v>4.0349111144183709</v>
      </c>
      <c r="L78" s="15">
        <f t="shared" si="45"/>
        <v>2.2995789473684218</v>
      </c>
      <c r="N78" s="17">
        <f t="shared" si="53"/>
        <v>2.5065410526315794</v>
      </c>
      <c r="P78" s="6" t="s">
        <v>69</v>
      </c>
      <c r="Q78" s="12">
        <v>-2.359</v>
      </c>
      <c r="R78">
        <v>31.539000000000001</v>
      </c>
      <c r="S78">
        <v>0.158</v>
      </c>
      <c r="T78" s="13">
        <v>4.1470000000000002</v>
      </c>
      <c r="X78" s="12">
        <v>-2.36</v>
      </c>
      <c r="Y78">
        <v>31.460999999999999</v>
      </c>
      <c r="Z78">
        <v>0.16500000000000001</v>
      </c>
      <c r="AA78" s="22">
        <v>6.5419999999999998</v>
      </c>
      <c r="AB78" s="25">
        <f t="shared" si="58"/>
        <v>6.2287267521992531</v>
      </c>
      <c r="AC78" s="22">
        <f>3*B78*(AA78-1)/C78</f>
        <v>2.896424210526316</v>
      </c>
      <c r="AD78" s="23">
        <f t="shared" si="61"/>
        <v>0.14940403508771935</v>
      </c>
      <c r="AF78" s="4">
        <v>0</v>
      </c>
      <c r="AG78" s="21">
        <v>6.88</v>
      </c>
      <c r="AH78" s="28">
        <f t="shared" si="57"/>
        <v>7.3069254009029958</v>
      </c>
      <c r="AI78" s="23">
        <f>3*B78*(AG78-1)/C78</f>
        <v>3.0730736842105264</v>
      </c>
    </row>
    <row r="79" spans="1:35" x14ac:dyDescent="0.4">
      <c r="A79" s="1" t="s">
        <v>55</v>
      </c>
      <c r="B79" s="3">
        <v>0.30299999999999999</v>
      </c>
      <c r="C79" s="8">
        <v>1.93</v>
      </c>
      <c r="D79" s="15">
        <v>5.88</v>
      </c>
      <c r="F79" s="7">
        <v>5.5</v>
      </c>
      <c r="H79" s="15">
        <f t="shared" si="44"/>
        <v>2.9428556121160234</v>
      </c>
      <c r="J79" s="17">
        <f t="shared" si="52"/>
        <v>1.989292447907552</v>
      </c>
      <c r="L79" s="15">
        <f t="shared" si="45"/>
        <v>2.2984041450777206</v>
      </c>
      <c r="N79" s="17">
        <f t="shared" si="53"/>
        <v>2.1194300518134717</v>
      </c>
      <c r="P79" s="6" t="s">
        <v>68</v>
      </c>
      <c r="Q79" s="12">
        <v>-3.7069999999999999</v>
      </c>
      <c r="R79">
        <v>32.125</v>
      </c>
      <c r="S79">
        <v>0.23899999999999999</v>
      </c>
      <c r="T79" s="13">
        <v>3.62</v>
      </c>
      <c r="X79" s="12">
        <v>-3.7090000000000001</v>
      </c>
      <c r="Y79">
        <v>32.064</v>
      </c>
      <c r="Z79">
        <v>0.248</v>
      </c>
      <c r="AA79" s="22">
        <v>5.92</v>
      </c>
      <c r="AB79" s="25">
        <f>9.576/3.648</f>
        <v>2.625</v>
      </c>
      <c r="AC79" s="22">
        <f>3*B79*(AA79-1)/C79</f>
        <v>2.3172435233160624</v>
      </c>
      <c r="AD79" s="23">
        <f t="shared" si="61"/>
        <v>3.9566429075055476E-2</v>
      </c>
      <c r="AE79" s="4">
        <v>0</v>
      </c>
      <c r="AF79" s="4">
        <v>0</v>
      </c>
      <c r="AG79" s="21">
        <v>6.3490000000000002</v>
      </c>
      <c r="AH79" s="28">
        <f t="shared" si="57"/>
        <v>4.1031355520345727</v>
      </c>
      <c r="AI79" s="23">
        <f>3*B79*(AG79-1)/C79</f>
        <v>2.5192958549222797</v>
      </c>
    </row>
    <row r="80" spans="1:35" x14ac:dyDescent="0.4">
      <c r="A80" s="1" t="s">
        <v>60</v>
      </c>
      <c r="B80" s="3"/>
      <c r="C80" s="8"/>
      <c r="D80" s="15"/>
      <c r="F80" s="7">
        <v>4.734</v>
      </c>
      <c r="H80" s="15"/>
      <c r="J80" s="17"/>
      <c r="L80" s="15"/>
      <c r="N80" s="17"/>
      <c r="P80" s="6" t="s">
        <v>87</v>
      </c>
      <c r="Q80" s="12">
        <v>-3.8740000000000001</v>
      </c>
      <c r="R80">
        <v>36.838000000000001</v>
      </c>
      <c r="S80">
        <v>0.26</v>
      </c>
      <c r="T80" s="13">
        <v>3.4940000000000002</v>
      </c>
      <c r="X80" s="12">
        <v>-3.8759999999999999</v>
      </c>
      <c r="Y80">
        <v>36.768999999999998</v>
      </c>
      <c r="Z80">
        <v>0.27</v>
      </c>
      <c r="AA80" s="22">
        <v>5.79</v>
      </c>
      <c r="AB80" s="25"/>
      <c r="AC80" s="22"/>
      <c r="AD80" s="23"/>
      <c r="AE80" s="4">
        <v>0</v>
      </c>
      <c r="AF80" s="4"/>
      <c r="AG80" s="21"/>
      <c r="AH80" s="28"/>
      <c r="AI80" s="23"/>
    </row>
    <row r="81" spans="1:35" x14ac:dyDescent="0.4">
      <c r="A81" s="1" t="s">
        <v>109</v>
      </c>
      <c r="P81" s="6" t="s">
        <v>110</v>
      </c>
      <c r="Q81" s="12">
        <v>-4.1059999999999999</v>
      </c>
      <c r="R81">
        <v>45.344999999999999</v>
      </c>
      <c r="S81">
        <v>0.151</v>
      </c>
      <c r="T81" s="13">
        <v>2.0489999999999999</v>
      </c>
      <c r="X81" s="12">
        <v>-4.1070000000000002</v>
      </c>
      <c r="Y81">
        <v>45.307000000000002</v>
      </c>
      <c r="Z81">
        <v>0.156</v>
      </c>
      <c r="AA81" s="22">
        <v>4.1829999999999998</v>
      </c>
    </row>
    <row r="82" spans="1:35" x14ac:dyDescent="0.4">
      <c r="A82" s="1" t="s">
        <v>56</v>
      </c>
      <c r="B82" s="3">
        <v>0.48299999999999998</v>
      </c>
      <c r="C82" s="8">
        <v>1.99</v>
      </c>
      <c r="D82" s="15">
        <v>4.16</v>
      </c>
      <c r="F82" s="7">
        <v>4.1849999999999996</v>
      </c>
      <c r="H82" s="15">
        <f>((L82+SQRT(L82^2-4))/2)^2</f>
        <v>2.9559538459069254</v>
      </c>
      <c r="J82" s="17">
        <f>((N82+SQRT(N82^2-4))/2)^2</f>
        <v>3.0505450632784701</v>
      </c>
      <c r="L82" s="15">
        <f>3*B82*(D82-1)/C82</f>
        <v>2.3009246231155775</v>
      </c>
      <c r="N82" s="17">
        <f>3*B82*(F82-1)/C82</f>
        <v>2.3191281407035169</v>
      </c>
      <c r="P82" s="6" t="s">
        <v>68</v>
      </c>
      <c r="Q82" s="12">
        <v>-7.4139999999999997</v>
      </c>
      <c r="R82">
        <v>32.058999999999997</v>
      </c>
      <c r="S82">
        <v>0.34599999999999997</v>
      </c>
      <c r="T82" s="13">
        <v>2.3109999999999999</v>
      </c>
      <c r="X82" s="12">
        <v>-7.415</v>
      </c>
      <c r="Y82">
        <v>32.029000000000003</v>
      </c>
      <c r="Z82">
        <v>0.35699999999999998</v>
      </c>
      <c r="AA82" s="22">
        <v>4.4610000000000003</v>
      </c>
      <c r="AB82" s="25">
        <f t="shared" ref="AB82" si="62">((AC82+SQRT(AC82^2-4))/2)^2</f>
        <v>4.107416651415507</v>
      </c>
      <c r="AC82" s="22">
        <f>3*B82*(AA82-1)/C82</f>
        <v>2.5200949748743717</v>
      </c>
      <c r="AD82" s="23">
        <f t="shared" ref="AD82" si="63" xml:space="preserve"> ((SQRT(AB82))^3/(AB82-1)+(SQRT(1/AB82)^3/(1/AB82-1))-2)/6</f>
        <v>8.6682495812395288E-2</v>
      </c>
      <c r="AG82" s="21">
        <v>5.1589999999999998</v>
      </c>
      <c r="AH82" s="28">
        <f t="shared" ref="AH82" si="64">((AI82+SQRT(AI82^2-4))/2)^2</f>
        <v>7.0285492397598466</v>
      </c>
      <c r="AI82" s="23">
        <f>3*B82*(AG82-1)/C82</f>
        <v>3.0283371859296477</v>
      </c>
    </row>
    <row r="83" spans="1:35" x14ac:dyDescent="0.4">
      <c r="A83" s="1" t="s">
        <v>111</v>
      </c>
      <c r="P83" s="6" t="s">
        <v>96</v>
      </c>
      <c r="Q83" s="12">
        <v>-9.4949999999999992</v>
      </c>
      <c r="R83">
        <v>25.251000000000001</v>
      </c>
      <c r="S83">
        <v>0.57699999999999996</v>
      </c>
      <c r="T83" s="13">
        <v>2.9</v>
      </c>
      <c r="X83" s="12">
        <v>-9.4969999999999999</v>
      </c>
      <c r="Y83">
        <v>25.216000000000001</v>
      </c>
      <c r="Z83">
        <v>0.59699999999999998</v>
      </c>
      <c r="AA83" s="22">
        <v>5.1619999999999999</v>
      </c>
    </row>
    <row r="84" spans="1:35" x14ac:dyDescent="0.4">
      <c r="A84" s="1" t="s">
        <v>112</v>
      </c>
      <c r="P84" s="6" t="s">
        <v>113</v>
      </c>
      <c r="Q84" s="12">
        <v>-11.291</v>
      </c>
      <c r="R84">
        <v>20.027999999999999</v>
      </c>
      <c r="S84">
        <v>0.89900000000000002</v>
      </c>
      <c r="T84" s="13">
        <v>3.9710000000000001</v>
      </c>
      <c r="X84" s="12">
        <v>-11.294</v>
      </c>
      <c r="Y84">
        <v>1.984</v>
      </c>
      <c r="Z84">
        <v>0.93500000000000005</v>
      </c>
      <c r="AA84" s="22">
        <v>6.3220000000000001</v>
      </c>
    </row>
    <row r="85" spans="1:35" x14ac:dyDescent="0.4">
      <c r="A85" s="1" t="s">
        <v>114</v>
      </c>
      <c r="P85" s="6" t="s">
        <v>115</v>
      </c>
      <c r="Q85" s="12">
        <v>-12.936999999999999</v>
      </c>
      <c r="R85">
        <v>18.486999999999998</v>
      </c>
      <c r="S85">
        <v>1.272</v>
      </c>
      <c r="T85" s="13">
        <v>4.274</v>
      </c>
      <c r="X85" s="12">
        <v>-12.94</v>
      </c>
      <c r="Y85">
        <v>18.440000000000001</v>
      </c>
      <c r="Z85">
        <v>1.325</v>
      </c>
      <c r="AA85" s="22">
        <v>6.68</v>
      </c>
    </row>
    <row r="86" spans="1:35" x14ac:dyDescent="0.4">
      <c r="A86" s="1" t="s">
        <v>133</v>
      </c>
      <c r="AF86" s="4">
        <v>0</v>
      </c>
    </row>
    <row r="87" spans="1:35" x14ac:dyDescent="0.4">
      <c r="C87" s="1" t="s">
        <v>136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7AD-160C-4CDD-A858-15D444CD18CF}">
  <dimension ref="A1:Q95"/>
  <sheetViews>
    <sheetView workbookViewId="0">
      <selection activeCell="I12" sqref="I12"/>
    </sheetView>
  </sheetViews>
  <sheetFormatPr defaultRowHeight="18.75" x14ac:dyDescent="0.4"/>
  <sheetData>
    <row r="1" spans="1:17" x14ac:dyDescent="0.4">
      <c r="D1" t="s">
        <v>2</v>
      </c>
      <c r="E1" t="s">
        <v>141</v>
      </c>
      <c r="F1" t="s">
        <v>274</v>
      </c>
      <c r="G1" t="s">
        <v>275</v>
      </c>
      <c r="H1" t="s">
        <v>276</v>
      </c>
      <c r="I1" t="s">
        <v>277</v>
      </c>
      <c r="J1" t="s">
        <v>278</v>
      </c>
      <c r="K1" t="s">
        <v>279</v>
      </c>
      <c r="L1" t="s">
        <v>280</v>
      </c>
      <c r="M1" t="s">
        <v>281</v>
      </c>
      <c r="N1" t="s">
        <v>282</v>
      </c>
      <c r="O1" t="s">
        <v>283</v>
      </c>
      <c r="P1" t="s">
        <v>284</v>
      </c>
      <c r="Q1" t="s">
        <v>285</v>
      </c>
    </row>
    <row r="2" spans="1:17" x14ac:dyDescent="0.4">
      <c r="A2" t="s">
        <v>83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286</v>
      </c>
      <c r="B3">
        <v>2</v>
      </c>
      <c r="C3">
        <v>4.0026000000000002</v>
      </c>
    </row>
    <row r="4" spans="1:17" x14ac:dyDescent="0.4">
      <c r="A4" t="s">
        <v>9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15</v>
      </c>
      <c r="B5">
        <v>4</v>
      </c>
      <c r="C5">
        <v>9.0122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89</v>
      </c>
      <c r="B8">
        <v>7</v>
      </c>
      <c r="C8">
        <v>14.007</v>
      </c>
    </row>
    <row r="9" spans="1:17" x14ac:dyDescent="0.4">
      <c r="A9" t="s">
        <v>116</v>
      </c>
      <c r="B9">
        <v>8</v>
      </c>
      <c r="C9">
        <v>15.999000000000001</v>
      </c>
    </row>
    <row r="10" spans="1:17" x14ac:dyDescent="0.4">
      <c r="A10" t="s">
        <v>118</v>
      </c>
      <c r="B10">
        <v>9</v>
      </c>
      <c r="C10">
        <v>18.998000000000001</v>
      </c>
    </row>
    <row r="11" spans="1:17" x14ac:dyDescent="0.4">
      <c r="A11" t="s">
        <v>287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16</v>
      </c>
      <c r="B12">
        <v>11</v>
      </c>
      <c r="C12">
        <v>22.99</v>
      </c>
      <c r="D12">
        <v>5.2534640000000001</v>
      </c>
      <c r="E12">
        <v>5.2534640000000001</v>
      </c>
      <c r="F12" s="38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17</v>
      </c>
      <c r="B13">
        <v>12</v>
      </c>
      <c r="C13">
        <v>24.305</v>
      </c>
    </row>
    <row r="14" spans="1:17" x14ac:dyDescent="0.4">
      <c r="A14" t="s">
        <v>18</v>
      </c>
      <c r="B14">
        <v>13</v>
      </c>
      <c r="C14">
        <v>26.981999999999999</v>
      </c>
      <c r="D14">
        <v>4.0389299999999997</v>
      </c>
      <c r="E14">
        <v>4.0389299999999997</v>
      </c>
      <c r="F14" s="38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19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120</v>
      </c>
      <c r="B16">
        <v>15</v>
      </c>
      <c r="C16">
        <v>30.974</v>
      </c>
    </row>
    <row r="17" spans="1:17" x14ac:dyDescent="0.4">
      <c r="A17" t="s">
        <v>122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123</v>
      </c>
      <c r="B18">
        <v>17</v>
      </c>
      <c r="C18">
        <v>35.450000000000003</v>
      </c>
    </row>
    <row r="19" spans="1:17" x14ac:dyDescent="0.4">
      <c r="A19" t="s">
        <v>288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20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21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85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22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23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24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91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25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26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27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10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28</v>
      </c>
      <c r="B31">
        <v>30</v>
      </c>
      <c r="C31">
        <v>65.38</v>
      </c>
    </row>
    <row r="32" spans="1:17" x14ac:dyDescent="0.4">
      <c r="A32" t="s">
        <v>93</v>
      </c>
      <c r="B32">
        <v>31</v>
      </c>
      <c r="C32">
        <v>69.722999999999999</v>
      </c>
    </row>
    <row r="33" spans="1:17" x14ac:dyDescent="0.4">
      <c r="A33" t="s">
        <v>29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126</v>
      </c>
      <c r="B34">
        <v>33</v>
      </c>
      <c r="C34">
        <v>74.921999999999997</v>
      </c>
    </row>
    <row r="35" spans="1:17" x14ac:dyDescent="0.4">
      <c r="A35" t="s">
        <v>127</v>
      </c>
      <c r="B35">
        <v>34</v>
      </c>
      <c r="C35">
        <v>78.971000000000004</v>
      </c>
    </row>
    <row r="36" spans="1:17" x14ac:dyDescent="0.4">
      <c r="A36" t="s">
        <v>129</v>
      </c>
      <c r="B36">
        <v>35</v>
      </c>
      <c r="C36">
        <v>79.903999999999996</v>
      </c>
    </row>
    <row r="37" spans="1:17" x14ac:dyDescent="0.4">
      <c r="A37" t="s">
        <v>289</v>
      </c>
      <c r="B37">
        <v>36</v>
      </c>
      <c r="C37">
        <v>83.798000000000002</v>
      </c>
    </row>
    <row r="38" spans="1:17" x14ac:dyDescent="0.4">
      <c r="A38" t="s">
        <v>30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95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31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32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33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34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97</v>
      </c>
      <c r="B44">
        <v>43</v>
      </c>
      <c r="C44">
        <v>98</v>
      </c>
      <c r="D44">
        <v>3.8850380000000002</v>
      </c>
      <c r="E44">
        <v>3.8850380000000002</v>
      </c>
      <c r="F44" s="38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35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58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36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11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37</v>
      </c>
      <c r="B49">
        <v>48</v>
      </c>
      <c r="C49">
        <v>112.41</v>
      </c>
    </row>
    <row r="50" spans="1:17" x14ac:dyDescent="0.4">
      <c r="A50" t="s">
        <v>38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98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100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130</v>
      </c>
      <c r="B53">
        <v>52</v>
      </c>
      <c r="C53">
        <v>127.6</v>
      </c>
    </row>
    <row r="54" spans="1:17" x14ac:dyDescent="0.4">
      <c r="A54" t="s">
        <v>131</v>
      </c>
      <c r="B54">
        <v>53</v>
      </c>
      <c r="C54">
        <v>126.9</v>
      </c>
    </row>
    <row r="55" spans="1:17" x14ac:dyDescent="0.4">
      <c r="A55" t="s">
        <v>290</v>
      </c>
      <c r="B55">
        <v>54</v>
      </c>
      <c r="C55">
        <v>131.29</v>
      </c>
    </row>
    <row r="56" spans="1:17" x14ac:dyDescent="0.4">
      <c r="A56" t="s">
        <v>39</v>
      </c>
      <c r="B56">
        <v>55</v>
      </c>
      <c r="C56">
        <v>132.91</v>
      </c>
    </row>
    <row r="57" spans="1:17" x14ac:dyDescent="0.4">
      <c r="A57" t="s">
        <v>40</v>
      </c>
      <c r="B57">
        <v>56</v>
      </c>
      <c r="C57">
        <v>137.33000000000001</v>
      </c>
    </row>
    <row r="58" spans="1:17" x14ac:dyDescent="0.4">
      <c r="A58" t="s">
        <v>101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41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102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59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103</v>
      </c>
      <c r="B62">
        <v>61</v>
      </c>
      <c r="C62">
        <v>145</v>
      </c>
    </row>
    <row r="63" spans="1:17" x14ac:dyDescent="0.4">
      <c r="A63" t="s">
        <v>104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42</v>
      </c>
      <c r="B64">
        <v>63</v>
      </c>
      <c r="C64">
        <v>151.96</v>
      </c>
    </row>
    <row r="65" spans="1:17" x14ac:dyDescent="0.4">
      <c r="A65" t="s">
        <v>43</v>
      </c>
      <c r="B65">
        <v>64</v>
      </c>
      <c r="C65">
        <v>157.25</v>
      </c>
    </row>
    <row r="66" spans="1:17" x14ac:dyDescent="0.4">
      <c r="A66" t="s">
        <v>105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44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106</v>
      </c>
      <c r="B68">
        <v>67</v>
      </c>
      <c r="C68">
        <v>164.93</v>
      </c>
    </row>
    <row r="69" spans="1:17" x14ac:dyDescent="0.4">
      <c r="A69" t="s">
        <v>45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134</v>
      </c>
      <c r="B70">
        <v>69</v>
      </c>
      <c r="C70">
        <v>168.93</v>
      </c>
    </row>
    <row r="71" spans="1:17" x14ac:dyDescent="0.4">
      <c r="A71" t="s">
        <v>46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107</v>
      </c>
      <c r="B72">
        <v>71</v>
      </c>
      <c r="C72">
        <v>174.97</v>
      </c>
    </row>
    <row r="73" spans="1:17" x14ac:dyDescent="0.4">
      <c r="A73" t="s">
        <v>47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48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49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50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108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51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52</v>
      </c>
      <c r="B79">
        <v>78</v>
      </c>
      <c r="C79">
        <v>195.08</v>
      </c>
      <c r="D79">
        <v>3.9767700000000001</v>
      </c>
      <c r="E79">
        <v>3.9767700000000001</v>
      </c>
      <c r="F79" s="38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53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145</v>
      </c>
      <c r="B81">
        <v>80</v>
      </c>
      <c r="C81">
        <v>200.59</v>
      </c>
    </row>
    <row r="82" spans="1:17" x14ac:dyDescent="0.4">
      <c r="A82" t="s">
        <v>54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55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60</v>
      </c>
      <c r="B84">
        <v>83</v>
      </c>
      <c r="C84">
        <v>208.98</v>
      </c>
    </row>
    <row r="85" spans="1:17" x14ac:dyDescent="0.4">
      <c r="A85" t="s">
        <v>291</v>
      </c>
      <c r="B85">
        <v>84</v>
      </c>
      <c r="C85">
        <v>209</v>
      </c>
    </row>
    <row r="86" spans="1:17" x14ac:dyDescent="0.4">
      <c r="A86" t="s">
        <v>292</v>
      </c>
      <c r="B86">
        <v>85</v>
      </c>
      <c r="C86">
        <v>210</v>
      </c>
    </row>
    <row r="87" spans="1:17" x14ac:dyDescent="0.4">
      <c r="A87" t="s">
        <v>293</v>
      </c>
      <c r="B87">
        <v>86</v>
      </c>
      <c r="C87">
        <v>222</v>
      </c>
    </row>
    <row r="88" spans="1:17" x14ac:dyDescent="0.4">
      <c r="A88" t="s">
        <v>294</v>
      </c>
      <c r="B88">
        <v>87</v>
      </c>
      <c r="C88">
        <v>223</v>
      </c>
    </row>
    <row r="89" spans="1:17" x14ac:dyDescent="0.4">
      <c r="A89" t="s">
        <v>295</v>
      </c>
      <c r="B89">
        <v>88</v>
      </c>
      <c r="C89">
        <v>226</v>
      </c>
    </row>
    <row r="90" spans="1:17" x14ac:dyDescent="0.4">
      <c r="A90" t="s">
        <v>109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56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111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112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114</v>
      </c>
      <c r="B94">
        <v>93</v>
      </c>
      <c r="C94">
        <v>237</v>
      </c>
    </row>
    <row r="95" spans="1:17" x14ac:dyDescent="0.4">
      <c r="A95" t="s">
        <v>133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FBF61-FC63-44F5-A14D-214F8837DA25}">
  <dimension ref="A1:Q95"/>
  <sheetViews>
    <sheetView workbookViewId="0">
      <selection activeCell="H15" sqref="H15"/>
    </sheetView>
  </sheetViews>
  <sheetFormatPr defaultRowHeight="18.75" x14ac:dyDescent="0.4"/>
  <sheetData>
    <row r="1" spans="1:17" x14ac:dyDescent="0.4">
      <c r="D1" t="s">
        <v>2</v>
      </c>
      <c r="E1" t="s">
        <v>141</v>
      </c>
      <c r="F1" t="s">
        <v>274</v>
      </c>
      <c r="G1" t="s">
        <v>275</v>
      </c>
      <c r="H1" t="s">
        <v>276</v>
      </c>
      <c r="I1" t="s">
        <v>277</v>
      </c>
      <c r="J1" t="s">
        <v>278</v>
      </c>
      <c r="K1" t="s">
        <v>279</v>
      </c>
      <c r="L1" t="s">
        <v>280</v>
      </c>
      <c r="M1" t="s">
        <v>281</v>
      </c>
      <c r="N1" t="s">
        <v>282</v>
      </c>
      <c r="O1" t="s">
        <v>283</v>
      </c>
      <c r="P1" t="s">
        <v>284</v>
      </c>
      <c r="Q1" t="s">
        <v>285</v>
      </c>
    </row>
    <row r="2" spans="1:17" x14ac:dyDescent="0.4">
      <c r="A2" t="s">
        <v>83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286</v>
      </c>
      <c r="B3">
        <v>2</v>
      </c>
      <c r="C3">
        <v>4.0026000000000002</v>
      </c>
    </row>
    <row r="4" spans="1:17" x14ac:dyDescent="0.4">
      <c r="A4" t="s">
        <v>9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15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89</v>
      </c>
      <c r="B8">
        <v>7</v>
      </c>
      <c r="C8">
        <v>14.007</v>
      </c>
    </row>
    <row r="9" spans="1:17" x14ac:dyDescent="0.4">
      <c r="A9" t="s">
        <v>116</v>
      </c>
      <c r="B9">
        <v>8</v>
      </c>
      <c r="C9">
        <v>15.999000000000001</v>
      </c>
    </row>
    <row r="10" spans="1:17" x14ac:dyDescent="0.4">
      <c r="A10" t="s">
        <v>118</v>
      </c>
      <c r="B10">
        <v>9</v>
      </c>
      <c r="C10">
        <v>18.998000000000001</v>
      </c>
    </row>
    <row r="11" spans="1:17" x14ac:dyDescent="0.4">
      <c r="A11" t="s">
        <v>287</v>
      </c>
      <c r="B11">
        <v>10</v>
      </c>
      <c r="C11">
        <v>20.18</v>
      </c>
    </row>
    <row r="12" spans="1:17" x14ac:dyDescent="0.4">
      <c r="A12" t="s">
        <v>16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17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18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19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120</v>
      </c>
      <c r="B16">
        <v>15</v>
      </c>
      <c r="C16">
        <v>30.974</v>
      </c>
    </row>
    <row r="17" spans="1:17" x14ac:dyDescent="0.4">
      <c r="A17" t="s">
        <v>122</v>
      </c>
      <c r="B17">
        <v>16</v>
      </c>
      <c r="C17">
        <v>32.06</v>
      </c>
    </row>
    <row r="18" spans="1:17" x14ac:dyDescent="0.4">
      <c r="A18" t="s">
        <v>123</v>
      </c>
      <c r="B18">
        <v>17</v>
      </c>
      <c r="C18">
        <v>35.450000000000003</v>
      </c>
    </row>
    <row r="19" spans="1:17" x14ac:dyDescent="0.4">
      <c r="A19" t="s">
        <v>288</v>
      </c>
      <c r="B19">
        <v>18</v>
      </c>
      <c r="C19">
        <v>39.948</v>
      </c>
    </row>
    <row r="20" spans="1:17" x14ac:dyDescent="0.4">
      <c r="A20" t="s">
        <v>20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21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85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22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23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24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91</v>
      </c>
      <c r="B26">
        <v>25</v>
      </c>
      <c r="C26">
        <v>54.938000000000002</v>
      </c>
    </row>
    <row r="27" spans="1:17" x14ac:dyDescent="0.4">
      <c r="A27" t="s">
        <v>25</v>
      </c>
      <c r="B27">
        <v>26</v>
      </c>
      <c r="C27">
        <v>55.844999999999999</v>
      </c>
      <c r="D27">
        <v>2.8400516800000002</v>
      </c>
      <c r="E27">
        <v>2.8400516800000002</v>
      </c>
      <c r="F27" s="38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26</v>
      </c>
      <c r="B28">
        <v>27</v>
      </c>
      <c r="C28">
        <v>58.933</v>
      </c>
    </row>
    <row r="29" spans="1:17" x14ac:dyDescent="0.4">
      <c r="A29" t="s">
        <v>27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28</v>
      </c>
      <c r="B31">
        <v>30</v>
      </c>
      <c r="C31">
        <v>65.38</v>
      </c>
    </row>
    <row r="32" spans="1:17" x14ac:dyDescent="0.4">
      <c r="A32" t="s">
        <v>93</v>
      </c>
      <c r="B32">
        <v>31</v>
      </c>
      <c r="C32">
        <v>69.722999999999999</v>
      </c>
    </row>
    <row r="33" spans="1:17" x14ac:dyDescent="0.4">
      <c r="A33" t="s">
        <v>29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126</v>
      </c>
      <c r="B34">
        <v>33</v>
      </c>
      <c r="C34">
        <v>74.921999999999997</v>
      </c>
    </row>
    <row r="35" spans="1:17" x14ac:dyDescent="0.4">
      <c r="A35" t="s">
        <v>127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129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289</v>
      </c>
      <c r="B37">
        <v>36</v>
      </c>
      <c r="C37">
        <v>83.798000000000002</v>
      </c>
    </row>
    <row r="38" spans="1:17" x14ac:dyDescent="0.4">
      <c r="A38" t="s">
        <v>30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95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31</v>
      </c>
      <c r="B40">
        <v>39</v>
      </c>
      <c r="C40">
        <v>88.906000000000006</v>
      </c>
    </row>
    <row r="41" spans="1:17" x14ac:dyDescent="0.4">
      <c r="A41" t="s">
        <v>32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33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34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97</v>
      </c>
      <c r="B44">
        <v>43</v>
      </c>
      <c r="C44">
        <v>98</v>
      </c>
    </row>
    <row r="45" spans="1:17" x14ac:dyDescent="0.4">
      <c r="A45" t="s">
        <v>35</v>
      </c>
      <c r="B45">
        <v>44</v>
      </c>
      <c r="C45">
        <v>101.07</v>
      </c>
    </row>
    <row r="46" spans="1:17" x14ac:dyDescent="0.4">
      <c r="A46" t="s">
        <v>58</v>
      </c>
      <c r="B46">
        <v>45</v>
      </c>
      <c r="C46">
        <v>102.91</v>
      </c>
    </row>
    <row r="47" spans="1:17" x14ac:dyDescent="0.4">
      <c r="A47" t="s">
        <v>36</v>
      </c>
      <c r="B47">
        <v>46</v>
      </c>
      <c r="C47">
        <v>106.42</v>
      </c>
    </row>
    <row r="48" spans="1:17" x14ac:dyDescent="0.4">
      <c r="A48" t="s">
        <v>11</v>
      </c>
      <c r="B48">
        <v>47</v>
      </c>
      <c r="C48">
        <v>107.87</v>
      </c>
    </row>
    <row r="49" spans="1:17" x14ac:dyDescent="0.4">
      <c r="A49" t="s">
        <v>37</v>
      </c>
      <c r="B49">
        <v>48</v>
      </c>
      <c r="C49">
        <v>112.41</v>
      </c>
    </row>
    <row r="50" spans="1:17" x14ac:dyDescent="0.4">
      <c r="A50" t="s">
        <v>38</v>
      </c>
      <c r="B50">
        <v>49</v>
      </c>
      <c r="C50">
        <v>114.82</v>
      </c>
    </row>
    <row r="51" spans="1:17" x14ac:dyDescent="0.4">
      <c r="A51" t="s">
        <v>98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100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130</v>
      </c>
      <c r="B53">
        <v>52</v>
      </c>
      <c r="C53">
        <v>127.6</v>
      </c>
    </row>
    <row r="54" spans="1:17" x14ac:dyDescent="0.4">
      <c r="A54" t="s">
        <v>131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290</v>
      </c>
      <c r="B55">
        <v>54</v>
      </c>
      <c r="C55">
        <v>131.29</v>
      </c>
    </row>
    <row r="56" spans="1:17" x14ac:dyDescent="0.4">
      <c r="A56" t="s">
        <v>39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40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101</v>
      </c>
      <c r="B58">
        <v>57</v>
      </c>
      <c r="C58">
        <v>138.91</v>
      </c>
    </row>
    <row r="59" spans="1:17" x14ac:dyDescent="0.4">
      <c r="A59" t="s">
        <v>41</v>
      </c>
      <c r="B59">
        <v>58</v>
      </c>
      <c r="C59">
        <v>140.12</v>
      </c>
    </row>
    <row r="60" spans="1:17" x14ac:dyDescent="0.4">
      <c r="A60" t="s">
        <v>102</v>
      </c>
      <c r="B60">
        <v>59</v>
      </c>
      <c r="C60">
        <v>140.91</v>
      </c>
    </row>
    <row r="61" spans="1:17" x14ac:dyDescent="0.4">
      <c r="A61" t="s">
        <v>59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103</v>
      </c>
      <c r="B62">
        <v>61</v>
      </c>
      <c r="C62">
        <v>145</v>
      </c>
    </row>
    <row r="63" spans="1:17" x14ac:dyDescent="0.4">
      <c r="A63" t="s">
        <v>104</v>
      </c>
      <c r="B63">
        <v>62</v>
      </c>
      <c r="C63">
        <v>150.36000000000001</v>
      </c>
    </row>
    <row r="64" spans="1:17" x14ac:dyDescent="0.4">
      <c r="A64" t="s">
        <v>42</v>
      </c>
      <c r="B64">
        <v>63</v>
      </c>
      <c r="C64">
        <v>151.96</v>
      </c>
    </row>
    <row r="65" spans="1:17" x14ac:dyDescent="0.4">
      <c r="A65" t="s">
        <v>43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105</v>
      </c>
      <c r="B66">
        <v>65</v>
      </c>
      <c r="C66">
        <v>158.93</v>
      </c>
    </row>
    <row r="67" spans="1:17" x14ac:dyDescent="0.4">
      <c r="A67" t="s">
        <v>44</v>
      </c>
      <c r="B67">
        <v>66</v>
      </c>
      <c r="C67">
        <v>162.5</v>
      </c>
    </row>
    <row r="68" spans="1:17" x14ac:dyDescent="0.4">
      <c r="A68" t="s">
        <v>106</v>
      </c>
      <c r="B68">
        <v>67</v>
      </c>
      <c r="C68">
        <v>164.93</v>
      </c>
    </row>
    <row r="69" spans="1:17" x14ac:dyDescent="0.4">
      <c r="A69" t="s">
        <v>45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134</v>
      </c>
      <c r="B70">
        <v>69</v>
      </c>
      <c r="C70">
        <v>168.93</v>
      </c>
    </row>
    <row r="71" spans="1:17" x14ac:dyDescent="0.4">
      <c r="A71" t="s">
        <v>46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107</v>
      </c>
      <c r="B72">
        <v>71</v>
      </c>
      <c r="C72">
        <v>174.97</v>
      </c>
    </row>
    <row r="73" spans="1:17" x14ac:dyDescent="0.4">
      <c r="A73" t="s">
        <v>47</v>
      </c>
      <c r="B73">
        <v>72</v>
      </c>
      <c r="C73">
        <v>178.49</v>
      </c>
    </row>
    <row r="74" spans="1:17" x14ac:dyDescent="0.4">
      <c r="A74" t="s">
        <v>48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49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50</v>
      </c>
      <c r="B76">
        <v>75</v>
      </c>
      <c r="C76">
        <v>186.21</v>
      </c>
    </row>
    <row r="77" spans="1:17" x14ac:dyDescent="0.4">
      <c r="A77" t="s">
        <v>108</v>
      </c>
      <c r="B77">
        <v>76</v>
      </c>
      <c r="C77">
        <v>190.23</v>
      </c>
    </row>
    <row r="78" spans="1:17" x14ac:dyDescent="0.4">
      <c r="A78" t="s">
        <v>51</v>
      </c>
      <c r="B78">
        <v>77</v>
      </c>
      <c r="C78">
        <v>192.22</v>
      </c>
    </row>
    <row r="79" spans="1:17" x14ac:dyDescent="0.4">
      <c r="A79" t="s">
        <v>52</v>
      </c>
      <c r="B79">
        <v>78</v>
      </c>
      <c r="C79">
        <v>195.08</v>
      </c>
    </row>
    <row r="80" spans="1:17" x14ac:dyDescent="0.4">
      <c r="A80" t="s">
        <v>53</v>
      </c>
      <c r="B80">
        <v>79</v>
      </c>
      <c r="C80">
        <v>196.97</v>
      </c>
    </row>
    <row r="81" spans="1:17" x14ac:dyDescent="0.4">
      <c r="A81" t="s">
        <v>145</v>
      </c>
      <c r="B81">
        <v>80</v>
      </c>
      <c r="C81">
        <v>200.59</v>
      </c>
    </row>
    <row r="82" spans="1:17" x14ac:dyDescent="0.4">
      <c r="A82" t="s">
        <v>54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55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60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291</v>
      </c>
      <c r="B85">
        <v>84</v>
      </c>
      <c r="C85">
        <v>209</v>
      </c>
    </row>
    <row r="86" spans="1:17" x14ac:dyDescent="0.4">
      <c r="A86" t="s">
        <v>292</v>
      </c>
      <c r="B86">
        <v>85</v>
      </c>
      <c r="C86">
        <v>210</v>
      </c>
    </row>
    <row r="87" spans="1:17" x14ac:dyDescent="0.4">
      <c r="A87" t="s">
        <v>293</v>
      </c>
      <c r="B87">
        <v>86</v>
      </c>
      <c r="C87">
        <v>222</v>
      </c>
    </row>
    <row r="88" spans="1:17" x14ac:dyDescent="0.4">
      <c r="A88" t="s">
        <v>294</v>
      </c>
      <c r="B88">
        <v>87</v>
      </c>
      <c r="C88">
        <v>223</v>
      </c>
    </row>
    <row r="89" spans="1:17" x14ac:dyDescent="0.4">
      <c r="A89" t="s">
        <v>295</v>
      </c>
      <c r="B89">
        <v>88</v>
      </c>
      <c r="C89">
        <v>226</v>
      </c>
    </row>
    <row r="90" spans="1:17" x14ac:dyDescent="0.4">
      <c r="A90" t="s">
        <v>109</v>
      </c>
      <c r="B90">
        <v>89</v>
      </c>
      <c r="C90">
        <v>227</v>
      </c>
    </row>
    <row r="91" spans="1:17" x14ac:dyDescent="0.4">
      <c r="A91" t="s">
        <v>56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111</v>
      </c>
      <c r="B92">
        <v>91</v>
      </c>
      <c r="C92">
        <v>231.04</v>
      </c>
    </row>
    <row r="93" spans="1:17" x14ac:dyDescent="0.4">
      <c r="A93" t="s">
        <v>112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114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133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813C-E879-4D32-8807-2745B69C11E0}">
  <dimension ref="A1:Q95"/>
  <sheetViews>
    <sheetView workbookViewId="0">
      <selection activeCell="G7" sqref="G7"/>
    </sheetView>
  </sheetViews>
  <sheetFormatPr defaultRowHeight="18.75" x14ac:dyDescent="0.4"/>
  <sheetData>
    <row r="1" spans="1:17" x14ac:dyDescent="0.4">
      <c r="D1" t="s">
        <v>2</v>
      </c>
      <c r="E1" t="s">
        <v>141</v>
      </c>
      <c r="F1" t="s">
        <v>274</v>
      </c>
      <c r="G1" t="s">
        <v>275</v>
      </c>
      <c r="H1" t="s">
        <v>276</v>
      </c>
      <c r="I1" t="s">
        <v>277</v>
      </c>
      <c r="J1" t="s">
        <v>278</v>
      </c>
      <c r="K1" t="s">
        <v>279</v>
      </c>
      <c r="L1" t="s">
        <v>280</v>
      </c>
      <c r="M1" t="s">
        <v>281</v>
      </c>
      <c r="N1" t="s">
        <v>282</v>
      </c>
      <c r="O1" t="s">
        <v>283</v>
      </c>
      <c r="P1" t="s">
        <v>284</v>
      </c>
      <c r="Q1" t="s">
        <v>285</v>
      </c>
    </row>
    <row r="2" spans="1:17" x14ac:dyDescent="0.4">
      <c r="A2" t="s">
        <v>83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286</v>
      </c>
      <c r="B3">
        <v>2</v>
      </c>
      <c r="C3">
        <v>4.0026000000000002</v>
      </c>
    </row>
    <row r="4" spans="1:17" x14ac:dyDescent="0.4">
      <c r="A4" t="s">
        <v>9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15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89</v>
      </c>
      <c r="B8">
        <v>7</v>
      </c>
      <c r="C8">
        <v>14.007</v>
      </c>
    </row>
    <row r="9" spans="1:17" x14ac:dyDescent="0.4">
      <c r="A9" t="s">
        <v>116</v>
      </c>
      <c r="B9">
        <v>8</v>
      </c>
      <c r="C9">
        <v>15.999000000000001</v>
      </c>
    </row>
    <row r="10" spans="1:17" x14ac:dyDescent="0.4">
      <c r="A10" t="s">
        <v>118</v>
      </c>
      <c r="B10">
        <v>9</v>
      </c>
      <c r="C10">
        <v>18.998000000000001</v>
      </c>
    </row>
    <row r="11" spans="1:17" x14ac:dyDescent="0.4">
      <c r="A11" t="s">
        <v>287</v>
      </c>
      <c r="B11">
        <v>10</v>
      </c>
      <c r="C11">
        <v>20.18</v>
      </c>
    </row>
    <row r="12" spans="1:17" x14ac:dyDescent="0.4">
      <c r="A12" t="s">
        <v>16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17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18</v>
      </c>
      <c r="B14">
        <v>13</v>
      </c>
      <c r="C14">
        <v>26.981999999999999</v>
      </c>
    </row>
    <row r="15" spans="1:17" x14ac:dyDescent="0.4">
      <c r="A15" t="s">
        <v>19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120</v>
      </c>
      <c r="B16">
        <v>15</v>
      </c>
      <c r="C16">
        <v>30.974</v>
      </c>
    </row>
    <row r="17" spans="1:17" x14ac:dyDescent="0.4">
      <c r="A17" t="s">
        <v>122</v>
      </c>
      <c r="B17">
        <v>16</v>
      </c>
      <c r="C17">
        <v>32.06</v>
      </c>
    </row>
    <row r="18" spans="1:17" x14ac:dyDescent="0.4">
      <c r="A18" t="s">
        <v>123</v>
      </c>
      <c r="B18">
        <v>17</v>
      </c>
      <c r="C18">
        <v>35.450000000000003</v>
      </c>
    </row>
    <row r="19" spans="1:17" x14ac:dyDescent="0.4">
      <c r="A19" t="s">
        <v>288</v>
      </c>
      <c r="B19">
        <v>18</v>
      </c>
      <c r="C19">
        <v>39.948</v>
      </c>
    </row>
    <row r="20" spans="1:17" x14ac:dyDescent="0.4">
      <c r="A20" t="s">
        <v>20</v>
      </c>
      <c r="B20">
        <v>19</v>
      </c>
      <c r="C20">
        <v>39.097999999999999</v>
      </c>
    </row>
    <row r="21" spans="1:17" x14ac:dyDescent="0.4">
      <c r="A21" t="s">
        <v>21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85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22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23</v>
      </c>
      <c r="B24">
        <v>23</v>
      </c>
      <c r="C24">
        <v>50.942</v>
      </c>
    </row>
    <row r="25" spans="1:17" x14ac:dyDescent="0.4">
      <c r="A25" t="s">
        <v>24</v>
      </c>
      <c r="B25">
        <v>24</v>
      </c>
      <c r="C25">
        <v>51.996000000000002</v>
      </c>
    </row>
    <row r="26" spans="1:17" x14ac:dyDescent="0.4">
      <c r="A26" t="s">
        <v>91</v>
      </c>
      <c r="B26">
        <v>25</v>
      </c>
      <c r="C26">
        <v>54.938000000000002</v>
      </c>
    </row>
    <row r="27" spans="1:17" x14ac:dyDescent="0.4">
      <c r="A27" t="s">
        <v>25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26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27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</v>
      </c>
      <c r="B30">
        <v>29</v>
      </c>
      <c r="C30">
        <v>63.545999999999999</v>
      </c>
    </row>
    <row r="31" spans="1:17" x14ac:dyDescent="0.4">
      <c r="A31" t="s">
        <v>28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93</v>
      </c>
      <c r="B32">
        <v>31</v>
      </c>
      <c r="C32">
        <v>69.722999999999999</v>
      </c>
    </row>
    <row r="33" spans="1:17" x14ac:dyDescent="0.4">
      <c r="A33" t="s">
        <v>29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126</v>
      </c>
      <c r="B34">
        <v>33</v>
      </c>
      <c r="C34">
        <v>74.921999999999997</v>
      </c>
    </row>
    <row r="35" spans="1:17" x14ac:dyDescent="0.4">
      <c r="A35" t="s">
        <v>127</v>
      </c>
      <c r="B35">
        <v>34</v>
      </c>
      <c r="C35">
        <v>78.971000000000004</v>
      </c>
    </row>
    <row r="36" spans="1:17" x14ac:dyDescent="0.4">
      <c r="A36" t="s">
        <v>129</v>
      </c>
      <c r="B36">
        <v>35</v>
      </c>
      <c r="C36">
        <v>79.903999999999996</v>
      </c>
    </row>
    <row r="37" spans="1:17" x14ac:dyDescent="0.4">
      <c r="A37" t="s">
        <v>289</v>
      </c>
      <c r="B37">
        <v>36</v>
      </c>
      <c r="C37">
        <v>83.798000000000002</v>
      </c>
    </row>
    <row r="38" spans="1:17" x14ac:dyDescent="0.4">
      <c r="A38" t="s">
        <v>30</v>
      </c>
      <c r="B38">
        <v>37</v>
      </c>
      <c r="C38">
        <v>85.468000000000004</v>
      </c>
    </row>
    <row r="39" spans="1:17" x14ac:dyDescent="0.4">
      <c r="A39" t="s">
        <v>95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31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32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33</v>
      </c>
      <c r="B42">
        <v>41</v>
      </c>
      <c r="C42">
        <v>92.906000000000006</v>
      </c>
    </row>
    <row r="43" spans="1:17" x14ac:dyDescent="0.4">
      <c r="A43" t="s">
        <v>34</v>
      </c>
      <c r="B43">
        <v>42</v>
      </c>
      <c r="C43">
        <v>95.95</v>
      </c>
    </row>
    <row r="44" spans="1:17" x14ac:dyDescent="0.4">
      <c r="A44" t="s">
        <v>97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35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58</v>
      </c>
      <c r="B46">
        <v>45</v>
      </c>
      <c r="C46">
        <v>102.91</v>
      </c>
    </row>
    <row r="47" spans="1:17" x14ac:dyDescent="0.4">
      <c r="A47" t="s">
        <v>36</v>
      </c>
      <c r="B47">
        <v>46</v>
      </c>
      <c r="C47">
        <v>106.42</v>
      </c>
    </row>
    <row r="48" spans="1:17" x14ac:dyDescent="0.4">
      <c r="A48" t="s">
        <v>11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37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38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98</v>
      </c>
      <c r="B51">
        <v>50</v>
      </c>
      <c r="C51">
        <v>118.71</v>
      </c>
    </row>
    <row r="52" spans="1:17" x14ac:dyDescent="0.4">
      <c r="A52" t="s">
        <v>100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130</v>
      </c>
      <c r="B53">
        <v>52</v>
      </c>
      <c r="C53">
        <v>127.6</v>
      </c>
    </row>
    <row r="54" spans="1:17" x14ac:dyDescent="0.4">
      <c r="A54" t="s">
        <v>131</v>
      </c>
      <c r="B54">
        <v>53</v>
      </c>
      <c r="C54">
        <v>126.9</v>
      </c>
    </row>
    <row r="55" spans="1:17" x14ac:dyDescent="0.4">
      <c r="A55" t="s">
        <v>290</v>
      </c>
      <c r="B55">
        <v>54</v>
      </c>
      <c r="C55">
        <v>131.29</v>
      </c>
    </row>
    <row r="56" spans="1:17" x14ac:dyDescent="0.4">
      <c r="A56" t="s">
        <v>39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40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101</v>
      </c>
      <c r="B58">
        <v>57</v>
      </c>
      <c r="C58">
        <v>138.91</v>
      </c>
    </row>
    <row r="59" spans="1:17" x14ac:dyDescent="0.4">
      <c r="A59" t="s">
        <v>41</v>
      </c>
      <c r="B59">
        <v>58</v>
      </c>
      <c r="C59">
        <v>140.12</v>
      </c>
    </row>
    <row r="60" spans="1:17" x14ac:dyDescent="0.4">
      <c r="A60" t="s">
        <v>102</v>
      </c>
      <c r="B60">
        <v>59</v>
      </c>
      <c r="C60">
        <v>140.91</v>
      </c>
    </row>
    <row r="61" spans="1:17" x14ac:dyDescent="0.4">
      <c r="A61" t="s">
        <v>59</v>
      </c>
      <c r="B61">
        <v>60</v>
      </c>
      <c r="C61">
        <v>144.24</v>
      </c>
    </row>
    <row r="62" spans="1:17" x14ac:dyDescent="0.4">
      <c r="A62" t="s">
        <v>103</v>
      </c>
      <c r="B62">
        <v>61</v>
      </c>
      <c r="C62">
        <v>145</v>
      </c>
    </row>
    <row r="63" spans="1:17" x14ac:dyDescent="0.4">
      <c r="A63" t="s">
        <v>104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42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43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105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44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106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45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134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46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107</v>
      </c>
      <c r="B72">
        <v>71</v>
      </c>
      <c r="C72">
        <v>174.97</v>
      </c>
    </row>
    <row r="73" spans="1:17" x14ac:dyDescent="0.4">
      <c r="A73" t="s">
        <v>47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48</v>
      </c>
      <c r="B74">
        <v>73</v>
      </c>
      <c r="C74">
        <v>180.95</v>
      </c>
    </row>
    <row r="75" spans="1:17" x14ac:dyDescent="0.4">
      <c r="A75" t="s">
        <v>49</v>
      </c>
      <c r="B75">
        <v>74</v>
      </c>
      <c r="C75">
        <v>183.84</v>
      </c>
    </row>
    <row r="76" spans="1:17" x14ac:dyDescent="0.4">
      <c r="A76" t="s">
        <v>50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108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51</v>
      </c>
      <c r="B78">
        <v>77</v>
      </c>
      <c r="C78">
        <v>192.22</v>
      </c>
    </row>
    <row r="79" spans="1:17" x14ac:dyDescent="0.4">
      <c r="A79" t="s">
        <v>52</v>
      </c>
      <c r="B79">
        <v>78</v>
      </c>
      <c r="C79">
        <v>195.08</v>
      </c>
    </row>
    <row r="80" spans="1:17" x14ac:dyDescent="0.4">
      <c r="A80" t="s">
        <v>53</v>
      </c>
      <c r="B80">
        <v>79</v>
      </c>
      <c r="C80">
        <v>196.97</v>
      </c>
    </row>
    <row r="81" spans="1:17" x14ac:dyDescent="0.4">
      <c r="A81" t="s">
        <v>145</v>
      </c>
      <c r="B81">
        <v>80</v>
      </c>
      <c r="C81">
        <v>200.59</v>
      </c>
    </row>
    <row r="82" spans="1:17" x14ac:dyDescent="0.4">
      <c r="A82" t="s">
        <v>54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55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60</v>
      </c>
      <c r="B84">
        <v>83</v>
      </c>
      <c r="C84">
        <v>208.98</v>
      </c>
    </row>
    <row r="85" spans="1:17" x14ac:dyDescent="0.4">
      <c r="A85" t="s">
        <v>291</v>
      </c>
      <c r="B85">
        <v>84</v>
      </c>
      <c r="C85">
        <v>209</v>
      </c>
    </row>
    <row r="86" spans="1:17" x14ac:dyDescent="0.4">
      <c r="A86" t="s">
        <v>292</v>
      </c>
      <c r="B86">
        <v>85</v>
      </c>
      <c r="C86">
        <v>210</v>
      </c>
    </row>
    <row r="87" spans="1:17" x14ac:dyDescent="0.4">
      <c r="A87" t="s">
        <v>293</v>
      </c>
      <c r="B87">
        <v>86</v>
      </c>
      <c r="C87">
        <v>222</v>
      </c>
    </row>
    <row r="88" spans="1:17" x14ac:dyDescent="0.4">
      <c r="A88" t="s">
        <v>294</v>
      </c>
      <c r="B88">
        <v>87</v>
      </c>
      <c r="C88">
        <v>223</v>
      </c>
    </row>
    <row r="89" spans="1:17" x14ac:dyDescent="0.4">
      <c r="A89" t="s">
        <v>295</v>
      </c>
      <c r="B89">
        <v>88</v>
      </c>
      <c r="C89">
        <v>226</v>
      </c>
    </row>
    <row r="90" spans="1:17" x14ac:dyDescent="0.4">
      <c r="A90" t="s">
        <v>109</v>
      </c>
      <c r="B90">
        <v>89</v>
      </c>
      <c r="C90">
        <v>227</v>
      </c>
    </row>
    <row r="91" spans="1:17" x14ac:dyDescent="0.4">
      <c r="A91" t="s">
        <v>56</v>
      </c>
      <c r="B91">
        <v>90</v>
      </c>
      <c r="C91">
        <v>232.04</v>
      </c>
    </row>
    <row r="92" spans="1:17" x14ac:dyDescent="0.4">
      <c r="A92" t="s">
        <v>111</v>
      </c>
      <c r="B92">
        <v>91</v>
      </c>
      <c r="C92">
        <v>231.04</v>
      </c>
    </row>
    <row r="93" spans="1:17" x14ac:dyDescent="0.4">
      <c r="A93" t="s">
        <v>112</v>
      </c>
      <c r="B93">
        <v>92</v>
      </c>
      <c r="C93">
        <v>238.03</v>
      </c>
    </row>
    <row r="94" spans="1:17" x14ac:dyDescent="0.4">
      <c r="A94" t="s">
        <v>114</v>
      </c>
      <c r="B94">
        <v>93</v>
      </c>
      <c r="C94">
        <v>237</v>
      </c>
    </row>
    <row r="95" spans="1:17" x14ac:dyDescent="0.4">
      <c r="A95" t="s">
        <v>133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table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2025-10-25T01:19:01Z</dcterms:modified>
</cp:coreProperties>
</file>