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"/>
    </mc:Choice>
  </mc:AlternateContent>
  <xr:revisionPtr revIDLastSave="0" documentId="13_ncr:1_{7717BDC9-B84E-4664-8B61-76204F23A34F}" xr6:coauthVersionLast="47" xr6:coauthVersionMax="47" xr10:uidLastSave="{00000000-0000-0000-0000-000000000000}"/>
  <bookViews>
    <workbookView xWindow="795" yWindow="210" windowWidth="23355" windowHeight="14700" xr2:uid="{1ABAA621-BF53-4EC6-AD5A-ED59DA47D425}"/>
  </bookViews>
  <sheets>
    <sheet name="MEAM" sheetId="1" r:id="rId1"/>
    <sheet name="data" sheetId="2" r:id="rId2"/>
    <sheet name="FCC" sheetId="3" r:id="rId3"/>
    <sheet name="BCC" sheetId="4" r:id="rId4"/>
    <sheet name="HCP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0" i="1" l="1"/>
  <c r="Y35" i="1"/>
  <c r="Y36" i="1" s="1"/>
  <c r="V36" i="1"/>
  <c r="T36" i="1" s="1"/>
  <c r="T48" i="1"/>
  <c r="Y44" i="1"/>
  <c r="U29" i="1"/>
  <c r="U30" i="1"/>
  <c r="U31" i="1"/>
  <c r="U32" i="1"/>
  <c r="X30" i="1" s="1"/>
  <c r="U33" i="1"/>
  <c r="Y29" i="1" s="1"/>
  <c r="U28" i="1"/>
  <c r="W14" i="1"/>
  <c r="W15" i="1"/>
  <c r="F5" i="1"/>
  <c r="C5" i="1"/>
  <c r="AA44" i="1" s="1"/>
  <c r="X32" i="1" l="1"/>
  <c r="Z32" i="1"/>
  <c r="X28" i="1"/>
  <c r="V44" i="1" s="1"/>
  <c r="X29" i="1"/>
  <c r="X31" i="1"/>
  <c r="W44" i="1" s="1"/>
  <c r="K70" i="1"/>
  <c r="K71" i="1" s="1"/>
  <c r="K69" i="1"/>
  <c r="K66" i="1"/>
  <c r="K67" i="1" s="1"/>
  <c r="K65" i="1"/>
  <c r="C81" i="1"/>
  <c r="C82" i="1" s="1"/>
  <c r="C80" i="1"/>
  <c r="C77" i="1"/>
  <c r="C78" i="1" s="1"/>
  <c r="C76" i="1"/>
  <c r="C70" i="1"/>
  <c r="C66" i="1"/>
  <c r="C69" i="1"/>
  <c r="C65" i="1"/>
  <c r="Q20" i="1"/>
  <c r="Q21" i="1"/>
  <c r="Q22" i="1"/>
  <c r="Q23" i="1"/>
  <c r="Q24" i="1"/>
  <c r="Q25" i="1"/>
  <c r="Q26" i="1"/>
  <c r="Q19" i="1"/>
  <c r="E17" i="1"/>
  <c r="K21" i="1"/>
  <c r="L5" i="1"/>
  <c r="D7" i="1"/>
  <c r="X21" i="1" s="1"/>
  <c r="F4" i="1"/>
  <c r="B7" i="1"/>
  <c r="A7" i="1"/>
  <c r="E7" i="1"/>
  <c r="F16" i="1" s="1"/>
  <c r="J7" i="1"/>
  <c r="AA32" i="1" l="1"/>
  <c r="K85" i="1"/>
  <c r="K79" i="1"/>
  <c r="X19" i="1"/>
  <c r="K77" i="1"/>
  <c r="U44" i="1"/>
  <c r="C83" i="1"/>
  <c r="K89" i="1"/>
  <c r="K90" i="1"/>
  <c r="K78" i="1"/>
  <c r="K87" i="1"/>
  <c r="K86" i="1"/>
  <c r="K72" i="1"/>
  <c r="K88" i="1"/>
  <c r="K80" i="1"/>
  <c r="K81" i="1"/>
  <c r="K76" i="1"/>
  <c r="C67" i="1"/>
  <c r="K96" i="1"/>
  <c r="C71" i="1"/>
  <c r="K99" i="1" s="1"/>
  <c r="C72" i="1"/>
  <c r="C68" i="1"/>
  <c r="C79" i="1"/>
  <c r="K68" i="1"/>
  <c r="H5" i="1"/>
  <c r="I5" i="1"/>
  <c r="J5" i="1"/>
  <c r="M5" i="1"/>
  <c r="K5" i="1"/>
  <c r="C15" i="1"/>
  <c r="K13" i="1"/>
  <c r="K28" i="1"/>
  <c r="K23" i="1"/>
  <c r="K22" i="1"/>
  <c r="Q10" i="1"/>
  <c r="Q18" i="1"/>
  <c r="Q17" i="1"/>
  <c r="Q13" i="1"/>
  <c r="Q16" i="1"/>
  <c r="Q15" i="1"/>
  <c r="Q14" i="1"/>
  <c r="K25" i="1"/>
  <c r="K26" i="1"/>
  <c r="K18" i="1"/>
  <c r="K27" i="1"/>
  <c r="A15" i="1"/>
  <c r="F17" i="1"/>
  <c r="K12" i="1"/>
  <c r="A17" i="1"/>
  <c r="H16" i="1"/>
  <c r="G16" i="1"/>
  <c r="D15" i="1"/>
  <c r="E15" i="1"/>
  <c r="B15" i="1"/>
  <c r="B16" i="1"/>
  <c r="D17" i="1"/>
  <c r="C17" i="1"/>
  <c r="B17" i="1"/>
  <c r="E16" i="1"/>
  <c r="D16" i="1"/>
  <c r="C16" i="1"/>
  <c r="K97" i="1" l="1"/>
  <c r="K94" i="1"/>
  <c r="K95" i="1"/>
  <c r="K98" i="1"/>
  <c r="U40" i="1"/>
  <c r="X40" i="1" s="1"/>
  <c r="D3" i="1"/>
  <c r="S19" i="1" s="1"/>
  <c r="W40" i="1" l="1"/>
  <c r="Z30" i="1"/>
  <c r="Z31" i="1"/>
  <c r="S21" i="1"/>
  <c r="S20" i="1"/>
  <c r="K24" i="1"/>
  <c r="A16" i="1"/>
  <c r="T46" i="1" l="1"/>
  <c r="Z29" i="1"/>
  <c r="T49" i="1"/>
  <c r="U36" i="1"/>
  <c r="T47" i="1"/>
</calcChain>
</file>

<file path=xl/sharedStrings.xml><?xml version="1.0" encoding="utf-8"?>
<sst xmlns="http://schemas.openxmlformats.org/spreadsheetml/2006/main" count="826" uniqueCount="413">
  <si>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</si>
  <si>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</si>
  <si>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</si>
  <si>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</si>
  <si>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</si>
  <si>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</si>
  <si>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</si>
  <si>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</si>
  <si>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</si>
  <si>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</si>
  <si>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</si>
  <si>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</si>
  <si>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</si>
  <si>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</si>
  <si>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</si>
  <si>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</si>
  <si>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</si>
  <si>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</si>
  <si>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</si>
  <si>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</si>
  <si>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</si>
  <si>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</si>
  <si>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</si>
  <si>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</si>
  <si>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</si>
  <si>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</si>
  <si>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</si>
  <si>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</si>
  <si>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</si>
  <si>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</si>
  <si>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</si>
  <si>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rho0</t>
    <phoneticPr fontId="1"/>
  </si>
  <si>
    <t>dia</t>
    <phoneticPr fontId="1"/>
  </si>
  <si>
    <t>B</t>
    <phoneticPr fontId="1"/>
  </si>
  <si>
    <t>alpha -&gt;</t>
    <phoneticPr fontId="1"/>
  </si>
  <si>
    <t>hcp</t>
    <phoneticPr fontId="1"/>
  </si>
  <si>
    <t>c/a (for HCP)</t>
    <phoneticPr fontId="1"/>
  </si>
  <si>
    <t>augt1 =</t>
    <phoneticPr fontId="1"/>
  </si>
  <si>
    <t>erose_form =</t>
    <phoneticPr fontId="1"/>
  </si>
  <si>
    <t>rozero</t>
    <phoneticPr fontId="1"/>
  </si>
  <si>
    <t xml:space="preserve"> ibar</t>
    <phoneticPr fontId="1"/>
  </si>
  <si>
    <t>elt</t>
    <phoneticPr fontId="1"/>
  </si>
  <si>
    <t>lat</t>
    <phoneticPr fontId="1"/>
  </si>
  <si>
    <t>z</t>
    <phoneticPr fontId="1"/>
  </si>
  <si>
    <t>ielement</t>
    <phoneticPr fontId="1"/>
  </si>
  <si>
    <t>atwt</t>
  </si>
  <si>
    <t>b0</t>
    <phoneticPr fontId="1"/>
  </si>
  <si>
    <t>b1</t>
    <phoneticPr fontId="1"/>
  </si>
  <si>
    <t>b2</t>
    <phoneticPr fontId="1"/>
  </si>
  <si>
    <t>b3</t>
    <phoneticPr fontId="1"/>
  </si>
  <si>
    <t>alat</t>
    <phoneticPr fontId="1"/>
  </si>
  <si>
    <t>esub</t>
    <phoneticPr fontId="1"/>
  </si>
  <si>
    <t>asub</t>
    <phoneticPr fontId="1"/>
  </si>
  <si>
    <t>lat      = lattice structure of reference configuration</t>
  </si>
  <si>
    <t>z        = number of nearest neighbors in the reference structure</t>
  </si>
  <si>
    <t>ielement = atomic number</t>
  </si>
  <si>
    <t>atwt     = atomic weight</t>
  </si>
  <si>
    <t>alat     = lattice constant of reference structure</t>
  </si>
  <si>
    <t>esub     = energy per atom (eV) in the reference structure at equilibrium</t>
  </si>
  <si>
    <t>asub     = "A" parameter for MEAM (see e.g. (Baskes))</t>
  </si>
  <si>
    <t xml:space="preserve"> 0 =&gt; G = sqrt(1+Gamma)</t>
  </si>
  <si>
    <t xml:space="preserve"> 1 =&gt; G = exp(Gamma/2)</t>
  </si>
  <si>
    <t xml:space="preserve"> 2 =&gt; not implemented</t>
  </si>
  <si>
    <t xml:space="preserve"> 3 =&gt; G = 2/(1+exp(-Gamma))</t>
  </si>
  <si>
    <t xml:space="preserve"> 4 =&gt; G = sqrt(1+Gamma)</t>
  </si>
  <si>
    <t>-5 =&gt; G = +-sqrt(abs(1+Gamma))</t>
  </si>
  <si>
    <t>The ibar parameter selects the form of the function G(Gamma) used to compute the electron density; options are</t>
    <phoneticPr fontId="1"/>
  </si>
  <si>
    <t>The rozero parameter is an element-dependent density scaling that weights the reference background density (see e.g. equation 4.5 in (Gullet)) and is typically 1.0 for single-element systems.</t>
  </si>
  <si>
    <t>ialloy =</t>
    <phoneticPr fontId="1"/>
  </si>
  <si>
    <t>zbl(1,1) =</t>
    <phoneticPr fontId="1"/>
  </si>
  <si>
    <t>nn2(1,1) =</t>
    <phoneticPr fontId="1"/>
  </si>
  <si>
    <t>#</t>
    <phoneticPr fontId="1"/>
  </si>
  <si>
    <t>attrac(1,1) =</t>
    <phoneticPr fontId="1"/>
  </si>
  <si>
    <t>repuls(1,1) =</t>
    <phoneticPr fontId="1"/>
  </si>
  <si>
    <t>d(repuls)</t>
    <phoneticPr fontId="1"/>
  </si>
  <si>
    <t>d(attrac)</t>
    <phoneticPr fontId="1"/>
  </si>
  <si>
    <t>Hf-Ni</t>
    <phoneticPr fontId="1"/>
  </si>
  <si>
    <t>structure</t>
    <phoneticPr fontId="1"/>
  </si>
  <si>
    <t>A-B</t>
    <phoneticPr fontId="1"/>
  </si>
  <si>
    <t>Cmin(A-A-B)</t>
    <phoneticPr fontId="1"/>
  </si>
  <si>
    <t>zbl(1,2) =</t>
    <phoneticPr fontId="1"/>
  </si>
  <si>
    <t>nn2(1,2) =</t>
    <phoneticPr fontId="1"/>
  </si>
  <si>
    <t>Ec(1,2) =</t>
    <phoneticPr fontId="1"/>
  </si>
  <si>
    <t>re(1,2) =</t>
    <phoneticPr fontId="1"/>
  </si>
  <si>
    <t>alpha(1,2)</t>
    <phoneticPr fontId="1"/>
  </si>
  <si>
    <t>lattce(1,2) =</t>
    <phoneticPr fontId="1"/>
  </si>
  <si>
    <t>d(replus)</t>
    <phoneticPr fontId="1"/>
  </si>
  <si>
    <t xml:space="preserve">attrac(1,2) = </t>
    <phoneticPr fontId="1"/>
  </si>
  <si>
    <t>repuls(1,2) =</t>
    <phoneticPr fontId="1"/>
  </si>
  <si>
    <t>rho0(1) =</t>
    <phoneticPr fontId="1"/>
  </si>
  <si>
    <t>Cmin(1,1,2) =</t>
    <phoneticPr fontId="1"/>
  </si>
  <si>
    <t>Cmin(2,2,1) =</t>
    <phoneticPr fontId="1"/>
  </si>
  <si>
    <t>Cmin(1,2,1) =</t>
    <phoneticPr fontId="1"/>
  </si>
  <si>
    <t>Cmax(1,1,2) =</t>
    <phoneticPr fontId="1"/>
  </si>
  <si>
    <t>Cmax(2,2,1) =</t>
    <phoneticPr fontId="1"/>
  </si>
  <si>
    <t>Cmax(1,2,1) =</t>
    <phoneticPr fontId="1"/>
  </si>
  <si>
    <t>Cmin(1,2,2) =</t>
    <phoneticPr fontId="1"/>
  </si>
  <si>
    <t>Cmax(1,2,2) =</t>
    <phoneticPr fontId="1"/>
  </si>
  <si>
    <t>Cmin(1,2,3) =</t>
    <phoneticPr fontId="1"/>
  </si>
  <si>
    <t>Cmin(1,3,2) =</t>
    <phoneticPr fontId="1"/>
  </si>
  <si>
    <t>Cmin(2,3,1) =</t>
    <phoneticPr fontId="1"/>
  </si>
  <si>
    <t>Cmax(1,2,3) =</t>
    <phoneticPr fontId="1"/>
  </si>
  <si>
    <t>Cmax(1,3,2) =</t>
    <phoneticPr fontId="1"/>
  </si>
  <si>
    <t>Cmax(2,3,1) =</t>
    <phoneticPr fontId="1"/>
  </si>
  <si>
    <t>input (A-B)</t>
    <phoneticPr fontId="1"/>
  </si>
  <si>
    <t>Cmin(A-B-A)</t>
    <phoneticPr fontId="1"/>
  </si>
  <si>
    <t>Cmin(A-B-B)</t>
    <phoneticPr fontId="1"/>
  </si>
  <si>
    <t>Cmax(A-A-B)</t>
    <phoneticPr fontId="1"/>
  </si>
  <si>
    <t>Cmax(A-B-A)</t>
    <phoneticPr fontId="1"/>
  </si>
  <si>
    <t>Cmax(A-B-B)</t>
    <phoneticPr fontId="1"/>
  </si>
  <si>
    <t>rc          = cutoff radius for cutoff function; default = 4.0</t>
  </si>
  <si>
    <t>delr        = length of smoothing distance for cutoff function; default = 0.1</t>
  </si>
  <si>
    <t>augt1           = integer flag for whether to augment t1 parameter by 3/5*t3 to account for old vs. new meam formulations; 0 = don't augment t1, 1 = augment t1, default = 1</t>
  </si>
  <si>
    <t>erose_form      = integer value to select the form of the Rose energy function (see description below). default = 0</t>
  </si>
  <si>
    <t>ialloy          = integer flag to use alternative averaging rule for t parameters, for comparison with the DYNAMO MEAM code; 0 = standard averaging (matches ialloy=0 in DYNAMO), 1 = alternative averaging (matches ialloy=1 in DYNAMO), 2 = no averaging of t (use single-element values), default = 0</t>
  </si>
  <si>
    <t>astar = alpha * (r/re - 1.d0)</t>
  </si>
  <si>
    <t>if erose_form = 0: erose = -Ec*(1+astar+a3*(astar**3)/(r/re))*exp(-astar)</t>
  </si>
  <si>
    <t>if erose_form = 1: erose = -Ec*(1+astar+(-attrac+repuls/r)*(astar**3))*exp(-astar)</t>
  </si>
  <si>
    <t>if erose_form = 2: erose = -Ec*(1 +astar + a3*(astar**3))*exp(-astar)</t>
  </si>
  <si>
    <t>a3 = repuls, astar &lt; 0</t>
  </si>
  <si>
    <t>a3 = attrac, astar &gt;= 0</t>
  </si>
  <si>
    <t>Note: In some papers, the "attrac" of A-B is the average of the d values ​​of A and B.</t>
    <phoneticPr fontId="1"/>
  </si>
  <si>
    <t>Note: In some papers, the "repuls" of A-B is the average of the d values ​​of A and B.</t>
    <phoneticPr fontId="1"/>
  </si>
  <si>
    <t>Ec(1,1) =</t>
    <phoneticPr fontId="1"/>
  </si>
  <si>
    <t>re(1,1) =</t>
    <phoneticPr fontId="1"/>
  </si>
  <si>
    <t>alpha(1,1) =</t>
    <phoneticPr fontId="1"/>
  </si>
  <si>
    <t>sc</t>
    <phoneticPr fontId="1"/>
  </si>
  <si>
    <t>&lt;- sqrt(8/3)</t>
    <phoneticPr fontId="1"/>
  </si>
  <si>
    <t>Ec(A,B) = c(A)*Ec(A) + c(B)*Ec(B) - dEc</t>
    <phoneticPr fontId="1"/>
  </si>
  <si>
    <t>c(X) = concentration of X atom</t>
    <phoneticPr fontId="1"/>
  </si>
  <si>
    <t>d(A,B) = c(A)*d(A) + c(B)*d(B)</t>
    <phoneticPr fontId="1"/>
  </si>
  <si>
    <t>bcc, b2</t>
    <phoneticPr fontId="1"/>
  </si>
  <si>
    <t>fcc, l12</t>
    <phoneticPr fontId="1"/>
  </si>
  <si>
    <t>Note: 1e12 [dyne/cm^2] = 1e2 [GPa]</t>
    <phoneticPr fontId="1"/>
  </si>
  <si>
    <t>Pt</t>
    <phoneticPr fontId="1"/>
  </si>
  <si>
    <t>V</t>
    <phoneticPr fontId="1"/>
  </si>
  <si>
    <t>Nb</t>
    <phoneticPr fontId="1"/>
  </si>
  <si>
    <t>Ta</t>
    <phoneticPr fontId="1"/>
  </si>
  <si>
    <t>Ti</t>
    <phoneticPr fontId="1"/>
  </si>
  <si>
    <t>Fe</t>
    <phoneticPr fontId="1"/>
  </si>
  <si>
    <t>Cr</t>
    <phoneticPr fontId="1"/>
  </si>
  <si>
    <t>Mo</t>
    <phoneticPr fontId="1"/>
  </si>
  <si>
    <t>C</t>
    <phoneticPr fontId="1"/>
  </si>
  <si>
    <t>Note: fcc (Z=12, f=sqrt(2)), bcc (Z=8, f=2/SQRT(3)), hcp (Z=12, f=1), dim (Z=1, f=1), dia (Z=4, f=4/SQRT(3)), sc (Z=6, f=1)</t>
    <phoneticPr fontId="1"/>
  </si>
  <si>
    <t>H</t>
    <phoneticPr fontId="1"/>
  </si>
  <si>
    <t>He</t>
    <phoneticPr fontId="1"/>
  </si>
  <si>
    <t>Li</t>
    <phoneticPr fontId="1"/>
  </si>
  <si>
    <t>Be</t>
    <phoneticPr fontId="1"/>
  </si>
  <si>
    <t>N</t>
    <phoneticPr fontId="1"/>
  </si>
  <si>
    <t>O</t>
    <phoneticPr fontId="1"/>
  </si>
  <si>
    <t>F</t>
    <phoneticPr fontId="1"/>
  </si>
  <si>
    <t>Ne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</si>
  <si>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</si>
  <si>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</si>
  <si>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</si>
  <si>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</si>
  <si>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P</t>
    <phoneticPr fontId="1"/>
  </si>
  <si>
    <t>Cl</t>
    <phoneticPr fontId="1"/>
  </si>
  <si>
    <t>S</t>
    <phoneticPr fontId="1"/>
  </si>
  <si>
    <t>Ar</t>
    <phoneticPr fontId="1"/>
  </si>
  <si>
    <t>K</t>
    <phoneticPr fontId="1"/>
  </si>
  <si>
    <t>Ca</t>
    <phoneticPr fontId="1"/>
  </si>
  <si>
    <t>Sc</t>
    <phoneticPr fontId="1"/>
  </si>
  <si>
    <t>Mn</t>
    <phoneticPr fontId="1"/>
  </si>
  <si>
    <t>Co</t>
    <phoneticPr fontId="1"/>
  </si>
  <si>
    <t>Ni</t>
    <phoneticPr fontId="1"/>
  </si>
  <si>
    <t>Cu</t>
    <phoneticPr fontId="1"/>
  </si>
  <si>
    <t>Zn</t>
    <phoneticPr fontId="1"/>
  </si>
  <si>
    <t>Ga</t>
    <phoneticPr fontId="1"/>
  </si>
  <si>
    <t>Ge</t>
    <phoneticPr fontId="1"/>
  </si>
  <si>
    <t>As</t>
    <phoneticPr fontId="1"/>
  </si>
  <si>
    <t>Se</t>
    <phoneticPr fontId="1"/>
  </si>
  <si>
    <t>Br</t>
    <phoneticPr fontId="1"/>
  </si>
  <si>
    <t>Kr</t>
    <phoneticPr fontId="1"/>
  </si>
  <si>
    <t>Rb</t>
    <phoneticPr fontId="1"/>
  </si>
  <si>
    <t>Sr</t>
    <phoneticPr fontId="1"/>
  </si>
  <si>
    <t>Y</t>
    <phoneticPr fontId="1"/>
  </si>
  <si>
    <t>Zr</t>
    <phoneticPr fontId="1"/>
  </si>
  <si>
    <t>Tc</t>
    <phoneticPr fontId="1"/>
  </si>
  <si>
    <t>Ru</t>
    <phoneticPr fontId="1"/>
  </si>
  <si>
    <t>Rh</t>
    <phoneticPr fontId="1"/>
  </si>
  <si>
    <t>Pd</t>
    <phoneticPr fontId="1"/>
  </si>
  <si>
    <t>Ag</t>
    <phoneticPr fontId="1"/>
  </si>
  <si>
    <t>Cd</t>
    <phoneticPr fontId="1"/>
  </si>
  <si>
    <t>In</t>
    <phoneticPr fontId="1"/>
  </si>
  <si>
    <t>Sn</t>
    <phoneticPr fontId="1"/>
  </si>
  <si>
    <t>Sb</t>
    <phoneticPr fontId="1"/>
  </si>
  <si>
    <t>Te</t>
    <phoneticPr fontId="1"/>
  </si>
  <si>
    <t>I</t>
    <phoneticPr fontId="1"/>
  </si>
  <si>
    <t>Cs</t>
    <phoneticPr fontId="1"/>
  </si>
  <si>
    <t>Ba</t>
    <phoneticPr fontId="1"/>
  </si>
  <si>
    <t>Xe</t>
    <phoneticPr fontId="1"/>
  </si>
  <si>
    <t>La</t>
    <phoneticPr fontId="1"/>
  </si>
  <si>
    <t>Ce</t>
    <phoneticPr fontId="1"/>
  </si>
  <si>
    <t>Pr</t>
    <phoneticPr fontId="1"/>
  </si>
  <si>
    <t>Nd</t>
    <phoneticPr fontId="1"/>
  </si>
  <si>
    <t>Pm</t>
    <phoneticPr fontId="1"/>
  </si>
  <si>
    <t>Sm</t>
    <phoneticPr fontId="1"/>
  </si>
  <si>
    <t>Eu</t>
    <phoneticPr fontId="1"/>
  </si>
  <si>
    <t>Gd</t>
    <phoneticPr fontId="1"/>
  </si>
  <si>
    <t>Tb</t>
    <phoneticPr fontId="1"/>
  </si>
  <si>
    <t>Dy</t>
    <phoneticPr fontId="1"/>
  </si>
  <si>
    <t>Ho</t>
    <phoneticPr fontId="1"/>
  </si>
  <si>
    <t>Er</t>
    <phoneticPr fontId="1"/>
  </si>
  <si>
    <t>Tm</t>
    <phoneticPr fontId="1"/>
  </si>
  <si>
    <t>Yb</t>
    <phoneticPr fontId="1"/>
  </si>
  <si>
    <t>Lu</t>
    <phoneticPr fontId="1"/>
  </si>
  <si>
    <t>Hf</t>
    <phoneticPr fontId="1"/>
  </si>
  <si>
    <t>W</t>
    <phoneticPr fontId="1"/>
  </si>
  <si>
    <t>Re</t>
    <phoneticPr fontId="1"/>
  </si>
  <si>
    <t>Os</t>
    <phoneticPr fontId="1"/>
  </si>
  <si>
    <t>Ir</t>
    <phoneticPr fontId="1"/>
  </si>
  <si>
    <t>Au</t>
    <phoneticPr fontId="1"/>
  </si>
  <si>
    <t>Hg</t>
    <phoneticPr fontId="1"/>
  </si>
  <si>
    <t>Tl</t>
    <phoneticPr fontId="1"/>
  </si>
  <si>
    <t>Pb</t>
    <phoneticPr fontId="1"/>
  </si>
  <si>
    <t>Bi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</si>
  <si>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</si>
  <si>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</si>
  <si>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</si>
  <si>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</si>
  <si>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</si>
  <si>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Ac</t>
    <phoneticPr fontId="1"/>
  </si>
  <si>
    <t>Th</t>
    <phoneticPr fontId="1"/>
  </si>
  <si>
    <t>Pa</t>
    <phoneticPr fontId="1"/>
  </si>
  <si>
    <t>U</t>
    <phoneticPr fontId="1"/>
  </si>
  <si>
    <t>Np</t>
    <phoneticPr fontId="1"/>
  </si>
  <si>
    <t>Pu</t>
    <phoneticPr fontId="1"/>
  </si>
  <si>
    <t>check -&gt;</t>
    <phoneticPr fontId="1"/>
  </si>
  <si>
    <t>Ec [eV]</t>
    <phoneticPr fontId="1"/>
  </si>
  <si>
    <t>re [A]</t>
    <phoneticPr fontId="1"/>
  </si>
  <si>
    <t>rc [A]</t>
    <phoneticPr fontId="1"/>
  </si>
  <si>
    <t>ibar = 3 for 2NN-MEAM</t>
    <phoneticPr fontId="1"/>
  </si>
  <si>
    <t>Note: if t3 &lt; 0, then c/a &lt;= sqrt(8/3)</t>
    <phoneticPr fontId="1"/>
  </si>
  <si>
    <t>Note: augt1 = 1 and ialloy = 0 for MEAM92 (1NN-MEAM),  augt1 = 0 and ialloy = 2 for 2NN-MEAM</t>
    <phoneticPr fontId="1"/>
  </si>
  <si>
    <t>input</t>
    <phoneticPr fontId="1"/>
  </si>
  <si>
    <t>Cmin(1,3,1) =</t>
    <phoneticPr fontId="1"/>
  </si>
  <si>
    <t>Cmin(1,3,3) =</t>
    <phoneticPr fontId="1"/>
  </si>
  <si>
    <t>Cmin(1,1,3) =</t>
    <phoneticPr fontId="1"/>
  </si>
  <si>
    <t>Cmin(3,3,1) =</t>
    <phoneticPr fontId="1"/>
  </si>
  <si>
    <t>Cmax(1,3,1) =</t>
    <phoneticPr fontId="1"/>
  </si>
  <si>
    <t>Cmax(1,3,3) =</t>
    <phoneticPr fontId="1"/>
  </si>
  <si>
    <t>Cmin(2,3,2) =</t>
    <phoneticPr fontId="1"/>
  </si>
  <si>
    <t>Cmin(2,3,3) =</t>
    <phoneticPr fontId="1"/>
  </si>
  <si>
    <t>Cmin(2,2,3) =</t>
    <phoneticPr fontId="1"/>
  </si>
  <si>
    <t>Cmin(3,3,2) =</t>
    <phoneticPr fontId="1"/>
  </si>
  <si>
    <t>Cmax(2,3,2) =</t>
    <phoneticPr fontId="1"/>
  </si>
  <si>
    <t>Cmax(2,3,3) =</t>
    <phoneticPr fontId="1"/>
  </si>
  <si>
    <t>Cmax(3,3,1) =</t>
    <phoneticPr fontId="1"/>
  </si>
  <si>
    <t>Cmax(3,3,2) =</t>
    <phoneticPr fontId="1"/>
  </si>
  <si>
    <t>Note</t>
    <phoneticPr fontId="1"/>
  </si>
  <si>
    <t>Empirically mixing rules (prediction)(Note: The same mixing method is used for Cmax as for Cmin.)</t>
    <phoneticPr fontId="1"/>
  </si>
  <si>
    <t>Note: rozero = rho0</t>
    <phoneticPr fontId="1"/>
  </si>
  <si>
    <t>fcc</t>
  </si>
  <si>
    <t>Note: 1 GPa = 1e9 Pa = 1e9 J/m^3 = 1e9/(1.602e-19) eV/m^3  = 1e9/(1.602e-19)/((10^10)^3) eV/A^3 = 6.2415e-3 eV/A^3</t>
    <phoneticPr fontId="1"/>
  </si>
  <si>
    <t>B [GPa]</t>
    <phoneticPr fontId="1"/>
  </si>
  <si>
    <t>Note: MEAM92</t>
    <phoneticPr fontId="1"/>
  </si>
  <si>
    <t>The intermetallic energy with parameters</t>
    <phoneticPr fontId="1"/>
  </si>
  <si>
    <t>E(i,j) = (E(i)+E(j))/2-delta</t>
    <phoneticPr fontId="1"/>
  </si>
  <si>
    <t>alpha(i,j) = (alpha(i)+alpha(j))/2</t>
    <phoneticPr fontId="1"/>
  </si>
  <si>
    <t>The atomic volume, omega(i,j) = (omega(i)+omega(j))/2</t>
    <phoneticPr fontId="1"/>
  </si>
  <si>
    <t>ibar = -5 for MEAM92</t>
    <phoneticPr fontId="1"/>
  </si>
  <si>
    <t>Cmin(B-A-B)</t>
    <phoneticPr fontId="1"/>
  </si>
  <si>
    <t>Cmax(B-A-B)</t>
    <phoneticPr fontId="1"/>
  </si>
  <si>
    <t>Assumption</t>
    <phoneticPr fontId="1"/>
  </si>
  <si>
    <t>output: AB.meam</t>
    <phoneticPr fontId="1"/>
  </si>
  <si>
    <t>C(A,B,C) is screened by C</t>
    <phoneticPr fontId="1"/>
  </si>
  <si>
    <t>C(A-C-B) is screened by C</t>
    <phoneticPr fontId="1"/>
  </si>
  <si>
    <t>A atom: 1</t>
    <phoneticPr fontId="1"/>
  </si>
  <si>
    <t>B atom: 2</t>
    <phoneticPr fontId="1"/>
  </si>
  <si>
    <t>C atom: 3</t>
    <phoneticPr fontId="1"/>
  </si>
  <si>
    <t>A-B or A-B-C system</t>
    <phoneticPr fontId="1"/>
  </si>
  <si>
    <t>Cmax(1,1,3) =</t>
    <phoneticPr fontId="1"/>
  </si>
  <si>
    <t># A-B system</t>
    <phoneticPr fontId="1"/>
  </si>
  <si>
    <t># A-C system</t>
    <phoneticPr fontId="1"/>
  </si>
  <si>
    <t># Cmin(1,1,1) = Cmin,A</t>
    <phoneticPr fontId="1"/>
  </si>
  <si>
    <t># Cmin(2,2,2) = Cmin,B</t>
    <phoneticPr fontId="1"/>
  </si>
  <si>
    <t># [0.5*Cmin(1,1,1)^0.5+0.5*Cmin(2,2,1)^0.5]^2</t>
    <phoneticPr fontId="1"/>
  </si>
  <si>
    <t># [0.5*Cmin(1,1,2)^0.5+0.5*Cmin(2,2,2)^0.5]^2</t>
    <phoneticPr fontId="1"/>
  </si>
  <si>
    <t># Cmax(1,1,1) = Cmax,A</t>
    <phoneticPr fontId="1"/>
  </si>
  <si>
    <t># Cmax(2,2,2) = Cmax,B</t>
    <phoneticPr fontId="1"/>
  </si>
  <si>
    <t># [0.5*Cmax(1,1,1)^0.5+0.5*Cmax(2,2,1)^0.5]^2</t>
    <phoneticPr fontId="1"/>
  </si>
  <si>
    <t># [0.5*Cmax(1,1,2)^0.5+0.5*Cmax(2,2,2)^0.5]^2</t>
    <phoneticPr fontId="1"/>
  </si>
  <si>
    <t># Cmin(3,3,3) = Cmin,C</t>
    <phoneticPr fontId="1"/>
  </si>
  <si>
    <t># [0.5*Cmin(1,1,1)^0.5+0.5*Cmin(3,3,1)^0.5]^2</t>
    <phoneticPr fontId="1"/>
  </si>
  <si>
    <t># [0.5*Cmin(1,1,3)^0.5+0.5*Cmin(3,3,3)^0.5]^2</t>
    <phoneticPr fontId="1"/>
  </si>
  <si>
    <t># Cmax(3,3,3) = Cmax,C</t>
    <phoneticPr fontId="1"/>
  </si>
  <si>
    <t># [0.5*Cmax(1,1,1)^0.5+0.5*Cmax(3,3,1)^0.5]^2</t>
    <phoneticPr fontId="1"/>
  </si>
  <si>
    <t># [0.5*Cmax(1,1,3)^0.5+0.5*Cmax(3,3,3)^0.5]^2</t>
    <phoneticPr fontId="1"/>
  </si>
  <si>
    <t># B-C system</t>
    <phoneticPr fontId="1"/>
  </si>
  <si>
    <t># [0.5*Cmin(2,2,2)^0.5+0.5*Cmin(3,3,2)^0.5]^2</t>
    <phoneticPr fontId="1"/>
  </si>
  <si>
    <t># [0.5*Cmin(2,2,3)^0.5+0.5*Cmin(3,3,3)^0.5]^2</t>
    <phoneticPr fontId="1"/>
  </si>
  <si>
    <t># [0.5*Cmax(2,2,2)^0.5+0.5*Cmax(3,3,2)^0.5]^2</t>
    <phoneticPr fontId="1"/>
  </si>
  <si>
    <t># [0.5*Cmax(2,2,3)^0.5+0.5*Cmax(3,3,3)^0.5]^2</t>
    <phoneticPr fontId="1"/>
  </si>
  <si>
    <t>Cmax(2,2,3) =</t>
    <phoneticPr fontId="1"/>
  </si>
  <si>
    <t># [0.5*Cmin(1,1,3)^0.5 + 0.5*Cmin(2,2,3)^0.5]^2</t>
    <phoneticPr fontId="1"/>
  </si>
  <si>
    <t>In paper</t>
    <phoneticPr fontId="1"/>
  </si>
  <si>
    <t>#Lammps format</t>
    <phoneticPr fontId="1"/>
  </si>
  <si>
    <t>Cmin(A-B-A) =</t>
    <phoneticPr fontId="1"/>
  </si>
  <si>
    <t>Cmin(B-A-B) =</t>
    <phoneticPr fontId="1"/>
  </si>
  <si>
    <t>Cmin(A-A-B) =</t>
    <phoneticPr fontId="1"/>
  </si>
  <si>
    <t>Cmin(A-B-B) =</t>
    <phoneticPr fontId="1"/>
  </si>
  <si>
    <t>Cmax(A-B-A) =</t>
    <phoneticPr fontId="1"/>
  </si>
  <si>
    <t>Cmax(B-A-B) =</t>
    <phoneticPr fontId="1"/>
  </si>
  <si>
    <t>Cmax(A-A-B) =</t>
    <phoneticPr fontId="1"/>
  </si>
  <si>
    <t>Cmax(A-B-B) =</t>
    <phoneticPr fontId="1"/>
  </si>
  <si>
    <t>Cmin(A-C-A) =</t>
    <phoneticPr fontId="1"/>
  </si>
  <si>
    <t>Cmin(C-A-C) =</t>
    <phoneticPr fontId="1"/>
  </si>
  <si>
    <t>Cmin(A-A-C) =</t>
    <phoneticPr fontId="1"/>
  </si>
  <si>
    <t>Cmin(A-C-C) =</t>
    <phoneticPr fontId="1"/>
  </si>
  <si>
    <t>Cmax(A-C-A) =</t>
    <phoneticPr fontId="1"/>
  </si>
  <si>
    <t>Cmax(C-A-C) =</t>
    <phoneticPr fontId="1"/>
  </si>
  <si>
    <t>Cmax(A-A-C) =</t>
    <phoneticPr fontId="1"/>
  </si>
  <si>
    <t>Cmax(A-C-C) =</t>
    <phoneticPr fontId="1"/>
  </si>
  <si>
    <t>Cmin(B-C-B) =</t>
    <phoneticPr fontId="1"/>
  </si>
  <si>
    <t>Cmin(C-B-C) =</t>
    <phoneticPr fontId="1"/>
  </si>
  <si>
    <t>Cmin(B-B-C) =</t>
    <phoneticPr fontId="1"/>
  </si>
  <si>
    <t>Cmin(B-C-C) =</t>
    <phoneticPr fontId="1"/>
  </si>
  <si>
    <t>Cmax(B-C-B) =</t>
    <phoneticPr fontId="1"/>
  </si>
  <si>
    <t>Cmax(C-B-C) =</t>
    <phoneticPr fontId="1"/>
  </si>
  <si>
    <t>Cmax(B-B-C) =</t>
    <phoneticPr fontId="1"/>
  </si>
  <si>
    <t>Cmax(B-C-C) =</t>
    <phoneticPr fontId="1"/>
  </si>
  <si>
    <t># [0.5*Cmin(1,1,2)^0.5 + 0.5*Cmin(3,3,2)^0.5]^2</t>
    <phoneticPr fontId="1"/>
  </si>
  <si>
    <t># [0.5*Cmin(2,2,1)^0.5 + 0.5*Cmin(3,3,1)^0.5]^2</t>
    <phoneticPr fontId="1"/>
  </si>
  <si>
    <t># [0.5*Cmax(1,1,3)^0.5 + 0.5*Cmax(2,2,3)^0.5]^2</t>
    <phoneticPr fontId="1"/>
  </si>
  <si>
    <t># [0.5*Cmax(1,1,2)^0.5 + 0.5*Cmax(3,3,2)^0.5]^2</t>
    <phoneticPr fontId="1"/>
  </si>
  <si>
    <t># [0.5*Cmax(2,2,1)^0.5 + 0.5*Cmax(3,3,1)^0.5]^2</t>
    <phoneticPr fontId="1"/>
  </si>
  <si>
    <r>
      <t>C</t>
    </r>
    <r>
      <rPr>
        <sz val="11"/>
        <color theme="1"/>
        <rFont val="Source Sans Pro"/>
        <family val="2"/>
      </rPr>
      <t>min,max</t>
    </r>
    <r>
      <rPr>
        <sz val="12"/>
        <color theme="1"/>
        <rFont val="Source Sans Pro"/>
        <family val="2"/>
      </rPr>
      <t>(</t>
    </r>
    <r>
      <rPr>
        <i/>
        <sz val="12"/>
        <color theme="1"/>
        <rFont val="Source Sans Pro"/>
        <family val="2"/>
      </rPr>
      <t>i</t>
    </r>
    <r>
      <rPr>
        <sz val="12"/>
        <color theme="1"/>
        <rFont val="Source Sans Pro"/>
        <family val="2"/>
      </rPr>
      <t>–</t>
    </r>
    <r>
      <rPr>
        <i/>
        <sz val="12"/>
        <color theme="1"/>
        <rFont val="Source Sans Pro"/>
        <family val="2"/>
      </rPr>
      <t>k</t>
    </r>
    <r>
      <rPr>
        <sz val="12"/>
        <color theme="1"/>
        <rFont val="Source Sans Pro"/>
        <family val="2"/>
      </rPr>
      <t>–</t>
    </r>
    <r>
      <rPr>
        <i/>
        <sz val="12"/>
        <color theme="1"/>
        <rFont val="Source Sans Pro"/>
        <family val="2"/>
      </rPr>
      <t>j</t>
    </r>
    <r>
      <rPr>
        <sz val="12"/>
        <color theme="1"/>
        <rFont val="Source Sans Pro"/>
        <family val="2"/>
      </rPr>
      <t>) (with the </t>
    </r>
    <r>
      <rPr>
        <i/>
        <sz val="12"/>
        <color theme="1"/>
        <rFont val="Source Sans Pro"/>
        <family val="2"/>
      </rPr>
      <t>ij</t>
    </r>
    <r>
      <rPr>
        <sz val="12"/>
        <color theme="1"/>
        <rFont val="Source Sans Pro"/>
        <family val="2"/>
      </rPr>
      <t> pair screened by </t>
    </r>
    <r>
      <rPr>
        <i/>
        <sz val="12"/>
        <color theme="1"/>
        <rFont val="Source Sans Pro"/>
        <family val="2"/>
      </rPr>
      <t>k</t>
    </r>
    <r>
      <rPr>
        <sz val="12"/>
        <color theme="1"/>
        <rFont val="Source Sans Pro"/>
        <family val="2"/>
      </rPr>
      <t>).</t>
    </r>
    <phoneticPr fontId="1"/>
  </si>
  <si>
    <t>Cmin,max(A–C–B) (with the AB pair screened by C).</t>
    <phoneticPr fontId="1"/>
  </si>
  <si>
    <t>Cmin(A-C-B) =</t>
    <phoneticPr fontId="1"/>
  </si>
  <si>
    <t>Cmin(A-B-C) =</t>
    <phoneticPr fontId="1"/>
  </si>
  <si>
    <t>Cmin(B-A-C) =</t>
    <phoneticPr fontId="1"/>
  </si>
  <si>
    <t>Cmax(A-C-B) =</t>
    <phoneticPr fontId="1"/>
  </si>
  <si>
    <t>Cmax(A-B-C) =</t>
    <phoneticPr fontId="1"/>
  </si>
  <si>
    <t>Cmax(B-A-C) =</t>
    <phoneticPr fontId="1"/>
  </si>
  <si>
    <t>a</t>
    <phoneticPr fontId="1"/>
  </si>
  <si>
    <t>c</t>
    <phoneticPr fontId="1"/>
  </si>
  <si>
    <t>E</t>
    <phoneticPr fontId="1"/>
  </si>
  <si>
    <t>C11</t>
    <phoneticPr fontId="1"/>
  </si>
  <si>
    <t>C12</t>
    <phoneticPr fontId="1"/>
  </si>
  <si>
    <t>C13</t>
    <phoneticPr fontId="1"/>
  </si>
  <si>
    <t>C33</t>
    <phoneticPr fontId="1"/>
  </si>
  <si>
    <t>C44</t>
    <phoneticPr fontId="1"/>
  </si>
  <si>
    <t>C66</t>
    <phoneticPr fontId="1"/>
  </si>
  <si>
    <t>C22</t>
    <phoneticPr fontId="1"/>
  </si>
  <si>
    <t>C23</t>
    <phoneticPr fontId="1"/>
  </si>
  <si>
    <t>C55</t>
    <phoneticPr fontId="1"/>
  </si>
  <si>
    <t>Bv</t>
    <phoneticPr fontId="1"/>
  </si>
  <si>
    <t>Gv</t>
    <phoneticPr fontId="1"/>
  </si>
  <si>
    <t># A-B-C system (case 1)</t>
    <phoneticPr fontId="1"/>
  </si>
  <si>
    <t># A-B-C system (case 2)</t>
    <phoneticPr fontId="1"/>
  </si>
  <si>
    <t># [0.5*Cmax(1,3,1)^0.5 + 0.5*Cmax(2,3,2)^0.5]^2</t>
    <phoneticPr fontId="1"/>
  </si>
  <si>
    <t># [0.5*Cmin(1,3,1)^0.5 + 0.5*Cmin(2,3,2)^0.5]^2</t>
    <phoneticPr fontId="1"/>
  </si>
  <si>
    <t># A-B-C system (case 3)</t>
    <phoneticPr fontId="1"/>
  </si>
  <si>
    <t># [((Cmin(2,2,3)^0.5 + Cmin(1,1,3)^0.5 + Cmin(1,3,3)^0.5 + Cmin(1,2,2)^0.5 + Cmin(2,3,3)^0.5 + Cmin(1,2,1)^0.5)/6]^2</t>
    <phoneticPr fontId="1"/>
  </si>
  <si>
    <t># [((Cmin(1,1,2)^0.5 + Cmin(3,3,2)^0.5 + Cmin(1,3,1)^0.5 + Cmin(2,3,2)^0.5 + Cmin(1,3,3)^0.5 + Cmin(1,2,2)^0.5)/6]^2</t>
    <phoneticPr fontId="1"/>
  </si>
  <si>
    <t># [((Cmin(2,2,1)^0.5 + Cmin(3,3,1)^0.5 + Cmin(2,3,2)^0.5 + Cmin(1,3,1)^0.5 + Cmin(2,3,3)^0.5 + Cmin(1,2,1)^0.5)/6]^2</t>
    <phoneticPr fontId="1"/>
  </si>
  <si>
    <t># [((Cmax(2,2,3)^0.5 + Cmax(1,1,3)^0.5 + Cmax(1,3,3)^0.5 + Cmax(1,2,2)^0.5 + Cmax(2,3,3)^0.5 + Cmax(1,2,1)^0.5)/6]^2</t>
    <phoneticPr fontId="1"/>
  </si>
  <si>
    <t># [((Cmax(1,1,2)^0.5 + Cmax(3,3,2)^0.5 + Cmax(1,3,1)^0.5 + Cmax(2,3,2)^0.5 + Cmax(1,3,3)^0.5 + Cmax(1,2,2)^0.5)/6]^2</t>
    <phoneticPr fontId="1"/>
  </si>
  <si>
    <t># [((Cmax(2,2,1)^0.5 + Cmax(3,3,1)^0.5 + Cmax(2,3,2)^0.5 + Cmax(1,3,1)^0.5 + Cmax(2,3,3)^0.5 + Cmax(1,2,1)^0.5)/6]^2</t>
    <phoneticPr fontId="1"/>
  </si>
  <si>
    <t>FCC or BCC</t>
    <phoneticPr fontId="1"/>
  </si>
  <si>
    <t>gamma</t>
    <phoneticPr fontId="1"/>
  </si>
  <si>
    <t>gamma'</t>
    <phoneticPr fontId="1"/>
  </si>
  <si>
    <t>1NN-MEAM</t>
    <phoneticPr fontId="1"/>
  </si>
  <si>
    <t>Ometa [A^3/atom]</t>
    <phoneticPr fontId="1"/>
  </si>
  <si>
    <t>C44 [GPa]</t>
    <phoneticPr fontId="1"/>
  </si>
  <si>
    <t>C11 [GPa]</t>
    <phoneticPr fontId="1"/>
  </si>
  <si>
    <t>C12 [GPa]</t>
    <phoneticPr fontId="1"/>
  </si>
  <si>
    <t>BCC</t>
    <phoneticPr fontId="1"/>
  </si>
  <si>
    <t>FCC</t>
    <phoneticPr fontId="1"/>
  </si>
  <si>
    <t>s (l=0)</t>
    <phoneticPr fontId="1"/>
  </si>
  <si>
    <t>p (l=1)</t>
    <phoneticPr fontId="1"/>
  </si>
  <si>
    <t>d (l=2)</t>
    <phoneticPr fontId="1"/>
  </si>
  <si>
    <t>f (l=3)</t>
    <phoneticPr fontId="1"/>
  </si>
  <si>
    <t>orbital</t>
    <phoneticPr fontId="1"/>
  </si>
  <si>
    <t>t3: stacking fault energy or structural energy difference between the fcc and hcp phases.</t>
    <phoneticPr fontId="1"/>
  </si>
  <si>
    <t>t1: vacancy formaiton energy</t>
    <phoneticPr fontId="1"/>
  </si>
  <si>
    <t>t2: related with the number of d electrons</t>
    <phoneticPr fontId="1"/>
  </si>
  <si>
    <t>(t3 &gt;0 for FCC, t3 &lt; 0 for BCC and diamond cubic)</t>
    <phoneticPr fontId="1"/>
  </si>
  <si>
    <t>HCP</t>
    <phoneticPr fontId="1"/>
  </si>
  <si>
    <t>C13 [GPa]</t>
    <phoneticPr fontId="1"/>
  </si>
  <si>
    <t>C33 [GPa]</t>
    <phoneticPr fontId="1"/>
  </si>
  <si>
    <t>C66 [GPa]</t>
    <phoneticPr fontId="1"/>
  </si>
  <si>
    <t>rho_e</t>
    <phoneticPr fontId="1"/>
  </si>
  <si>
    <t>Cb</t>
    <phoneticPr fontId="1"/>
  </si>
  <si>
    <t>Cc</t>
    <phoneticPr fontId="1"/>
  </si>
  <si>
    <t>Delta</t>
    <phoneticPr fontId="1"/>
  </si>
  <si>
    <t>3: La-Lu</t>
    <phoneticPr fontId="1"/>
  </si>
  <si>
    <t>Ef1v [eV]</t>
    <phoneticPr fontId="1"/>
  </si>
  <si>
    <t>[eV/A^3]</t>
    <phoneticPr fontId="1"/>
  </si>
  <si>
    <t>Cb*</t>
    <phoneticPr fontId="1"/>
  </si>
  <si>
    <t>Cc*</t>
    <phoneticPr fontId="1"/>
  </si>
  <si>
    <t>Cb*/Cc*</t>
    <phoneticPr fontId="1"/>
  </si>
  <si>
    <t>c/a</t>
    <phoneticPr fontId="1"/>
  </si>
  <si>
    <t>Fixed: 0</t>
    <phoneticPr fontId="1"/>
  </si>
  <si>
    <t>check</t>
    <phoneticPr fontId="1"/>
  </si>
  <si>
    <t>t3 = 0.0 for ideal c/a = (8/3)^0.5</t>
    <phoneticPr fontId="1"/>
  </si>
  <si>
    <t>the approximate relations for the unrelaxed vacancy formation energy, Ef1v</t>
    <phoneticPr fontId="1"/>
  </si>
  <si>
    <t>the divacancy binding energy (for a divacancy in the basal plane), Eub2v</t>
    <phoneticPr fontId="1"/>
  </si>
  <si>
    <t>the unrelaxed stacking fault energy, Eusf</t>
    <phoneticPr fontId="1"/>
  </si>
  <si>
    <t>the unrelaxed surface energy on the basal plane, Gub</t>
    <phoneticPr fontId="1"/>
  </si>
  <si>
    <t>Euf1v [eV]</t>
    <phoneticPr fontId="1"/>
  </si>
  <si>
    <t>Eb2v [eV]</t>
    <phoneticPr fontId="1"/>
  </si>
  <si>
    <t>Eusf [eV]</t>
    <phoneticPr fontId="1"/>
  </si>
  <si>
    <t>Gub [eV]</t>
    <phoneticPr fontId="1"/>
  </si>
  <si>
    <t>Tm [K]</t>
    <phoneticPr fontId="1"/>
  </si>
  <si>
    <t>the melting temperature, Tm</t>
    <phoneticPr fontId="1"/>
  </si>
  <si>
    <t>Hvap [eV]</t>
    <phoneticPr fontId="1"/>
  </si>
  <si>
    <t>the cohesive energy, Ec</t>
    <phoneticPr fontId="1"/>
  </si>
  <si>
    <t>the heat of vaporization, Hvap</t>
    <phoneticPr fontId="1"/>
  </si>
  <si>
    <t>Note: A = 1.0-1.2 range</t>
    <phoneticPr fontId="1"/>
  </si>
  <si>
    <t>Ref: M. I. Baskes et al., Modelling Simul. Mater. Sci. Eng. 2 (1994) 147-163.: https://iopscience.iop.org/article/10.1088/0965-0393/2/1/011</t>
    <phoneticPr fontId="1"/>
  </si>
  <si>
    <t>Ref: M. I. Baskes, Phys. Rev. B 46 (1992) 2727.: https://journals.aps.org/prb/abstract/10.1103/PhysRevB.46.2727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</si>
</sst>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0.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2"/>
      <color theme="1"/>
      <name val="Source Sans Pro"/>
      <family val="2"/>
    </font>
    <font>
      <sz val="11"/>
      <color theme="1"/>
      <name val="Source Sans Pro"/>
      <family val="2"/>
    </font>
    <font>
      <sz val="12"/>
      <color theme="1"/>
      <name val="Source Sans Pro"/>
      <family val="2"/>
    </font>
    <font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10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7" borderId="1" xfId="0" applyFill="1" applyBorder="1">
      <alignment vertical="center"/>
    </xf>
    <xf numFmtId="176" fontId="0" fillId="0" borderId="0" xfId="0" applyNumberFormat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2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2" fontId="0" fillId="7" borderId="9" xfId="0" applyNumberFormat="1" applyFill="1" applyBorder="1">
      <alignment vertical="center"/>
    </xf>
    <xf numFmtId="177" fontId="0" fillId="5" borderId="7" xfId="0" applyNumberFormat="1" applyFill="1" applyBorder="1">
      <alignment vertical="center"/>
    </xf>
    <xf numFmtId="178" fontId="0" fillId="0" borderId="6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0" fillId="8" borderId="1" xfId="0" applyFill="1" applyBorder="1">
      <alignment vertical="center"/>
    </xf>
    <xf numFmtId="0" fontId="0" fillId="8" borderId="13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2" xfId="0" applyFill="1" applyBorder="1">
      <alignment vertical="center"/>
    </xf>
    <xf numFmtId="0" fontId="0" fillId="9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3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6" borderId="2" xfId="0" applyFill="1" applyBorder="1">
      <alignment vertical="center"/>
    </xf>
    <xf numFmtId="0" fontId="0" fillId="2" borderId="11" xfId="0" applyFill="1" applyBorder="1">
      <alignment vertical="center"/>
    </xf>
    <xf numFmtId="0" fontId="0" fillId="11" borderId="1" xfId="0" applyFill="1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4" borderId="4" xfId="0" applyFill="1" applyBorder="1">
      <alignment vertical="center"/>
    </xf>
    <xf numFmtId="0" fontId="0" fillId="4" borderId="15" xfId="0" applyFill="1" applyBorder="1">
      <alignment vertical="center"/>
    </xf>
    <xf numFmtId="2" fontId="0" fillId="4" borderId="4" xfId="0" applyNumberFormat="1" applyFill="1" applyBorder="1">
      <alignment vertical="center"/>
    </xf>
    <xf numFmtId="0" fontId="0" fillId="4" borderId="5" xfId="0" applyFill="1" applyBorder="1">
      <alignment vertical="center"/>
    </xf>
    <xf numFmtId="2" fontId="0" fillId="4" borderId="6" xfId="0" applyNumberFormat="1" applyFill="1" applyBorder="1">
      <alignment vertical="center"/>
    </xf>
    <xf numFmtId="0" fontId="0" fillId="4" borderId="7" xfId="0" applyFill="1" applyBorder="1">
      <alignment vertical="center"/>
    </xf>
    <xf numFmtId="2" fontId="0" fillId="4" borderId="9" xfId="0" applyNumberFormat="1" applyFill="1" applyBorder="1">
      <alignment vertical="center"/>
    </xf>
    <xf numFmtId="0" fontId="0" fillId="7" borderId="2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5" xfId="0" applyFill="1" applyBorder="1">
      <alignment vertical="center"/>
    </xf>
    <xf numFmtId="2" fontId="0" fillId="7" borderId="4" xfId="0" applyNumberFormat="1" applyFill="1" applyBorder="1">
      <alignment vertical="center"/>
    </xf>
    <xf numFmtId="0" fontId="0" fillId="7" borderId="5" xfId="0" applyFill="1" applyBorder="1">
      <alignment vertical="center"/>
    </xf>
    <xf numFmtId="2" fontId="0" fillId="7" borderId="6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15" xfId="0" applyFill="1" applyBorder="1">
      <alignment vertical="center"/>
    </xf>
    <xf numFmtId="2" fontId="0" fillId="3" borderId="4" xfId="0" applyNumberFormat="1" applyFill="1" applyBorder="1">
      <alignment vertical="center"/>
    </xf>
    <xf numFmtId="0" fontId="0" fillId="3" borderId="5" xfId="0" applyFill="1" applyBorder="1">
      <alignment vertical="center"/>
    </xf>
    <xf numFmtId="2" fontId="0" fillId="3" borderId="6" xfId="0" applyNumberFormat="1" applyFill="1" applyBorder="1">
      <alignment vertical="center"/>
    </xf>
    <xf numFmtId="0" fontId="0" fillId="3" borderId="7" xfId="0" applyFill="1" applyBorder="1">
      <alignment vertical="center"/>
    </xf>
    <xf numFmtId="2" fontId="0" fillId="3" borderId="9" xfId="0" applyNumberFormat="1" applyFill="1" applyBorder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5" fillId="0" borderId="0" xfId="0" applyFont="1">
      <alignment vertical="center"/>
    </xf>
    <xf numFmtId="2" fontId="0" fillId="2" borderId="6" xfId="0" applyNumberFormat="1" applyFill="1" applyBorder="1">
      <alignment vertical="center"/>
    </xf>
    <xf numFmtId="2" fontId="0" fillId="2" borderId="9" xfId="0" applyNumberFormat="1" applyFill="1" applyBorder="1">
      <alignment vertical="center"/>
    </xf>
    <xf numFmtId="2" fontId="0" fillId="2" borderId="4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8" fontId="0" fillId="4" borderId="1" xfId="0" applyNumberFormat="1" applyFill="1" applyBorder="1">
      <alignment vertical="center"/>
    </xf>
    <xf numFmtId="0" fontId="0" fillId="4" borderId="12" xfId="0" applyFill="1" applyBorder="1">
      <alignment vertical="center"/>
    </xf>
    <xf numFmtId="0" fontId="0" fillId="2" borderId="15" xfId="0" applyFill="1" applyBorder="1">
      <alignment vertical="center"/>
    </xf>
    <xf numFmtId="176" fontId="0" fillId="0" borderId="15" xfId="0" applyNumberFormat="1" applyBorder="1">
      <alignment vertical="center"/>
    </xf>
    <xf numFmtId="0" fontId="0" fillId="2" borderId="14" xfId="0" applyFill="1" applyBorder="1">
      <alignment vertical="center"/>
    </xf>
    <xf numFmtId="0" fontId="0" fillId="3" borderId="14" xfId="0" applyFill="1" applyBorder="1">
      <alignment vertical="center"/>
    </xf>
    <xf numFmtId="178" fontId="0" fillId="0" borderId="11" xfId="0" applyNumberFormat="1" applyBorder="1">
      <alignment vertical="center"/>
    </xf>
    <xf numFmtId="176" fontId="0" fillId="0" borderId="12" xfId="0" applyNumberFormat="1" applyBorder="1">
      <alignment vertical="center"/>
    </xf>
    <xf numFmtId="0" fontId="0" fillId="0" borderId="1" xfId="0" applyFill="1" applyBorder="1">
      <alignment vertical="center"/>
    </xf>
    <xf numFmtId="178" fontId="0" fillId="3" borderId="1" xfId="0" applyNumberFormat="1" applyFill="1" applyBorder="1">
      <alignment vertical="center"/>
    </xf>
    <xf numFmtId="176" fontId="0" fillId="0" borderId="14" xfId="0" applyNumberFormat="1" applyBorder="1">
      <alignment vertical="center"/>
    </xf>
    <xf numFmtId="176" fontId="0" fillId="8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AB99"/>
  <sheetViews>
    <sheetView tabSelected="1" topLeftCell="K10" workbookViewId="0">
      <selection activeCell="AC19" sqref="AC19"/>
    </sheetView>
  </sheetViews>
  <sheetFormatPr defaultRowHeight="18.75" x14ac:dyDescent="0.4"/>
  <cols>
    <col min="1" max="1" width="12.5" customWidth="1"/>
    <col min="2" max="2" width="10.875" customWidth="1"/>
    <col min="4" max="4" width="9.75" customWidth="1"/>
    <col min="5" max="5" width="9.875" customWidth="1"/>
    <col min="6" max="6" width="9.375" bestFit="1" customWidth="1"/>
    <col min="9" max="9" width="11.75" customWidth="1"/>
    <col min="10" max="10" width="10.625" customWidth="1"/>
    <col min="11" max="11" width="9.375" bestFit="1" customWidth="1"/>
    <col min="13" max="13" width="11.125" customWidth="1"/>
    <col min="18" max="18" width="11.75" bestFit="1" customWidth="1"/>
    <col min="19" max="19" width="10.125" customWidth="1"/>
    <col min="22" max="22" width="10.5" customWidth="1"/>
  </cols>
  <sheetData>
    <row r="1" spans="1:28" x14ac:dyDescent="0.4">
      <c r="A1" s="44" t="s">
        <v>30</v>
      </c>
      <c r="B1" s="3"/>
      <c r="C1" s="3"/>
      <c r="D1" s="3"/>
      <c r="E1" s="3"/>
      <c r="F1" s="3"/>
      <c r="G1" s="3"/>
      <c r="H1" s="3"/>
      <c r="I1" s="3"/>
      <c r="J1" s="10" t="s">
        <v>29</v>
      </c>
      <c r="K1" s="3"/>
      <c r="L1" s="3"/>
      <c r="M1" s="3" t="s">
        <v>233</v>
      </c>
      <c r="N1" s="3"/>
      <c r="O1" s="3"/>
      <c r="P1" s="3"/>
      <c r="Q1" s="3"/>
      <c r="R1" s="15" t="s">
        <v>26</v>
      </c>
      <c r="S1" s="15" t="s">
        <v>26</v>
      </c>
      <c r="T1" t="s">
        <v>252</v>
      </c>
    </row>
    <row r="2" spans="1:28" x14ac:dyDescent="0.4">
      <c r="A2" s="14" t="s">
        <v>15</v>
      </c>
      <c r="B2" s="14" t="s">
        <v>229</v>
      </c>
      <c r="C2" s="14" t="s">
        <v>230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11</v>
      </c>
      <c r="N2" s="14" t="s">
        <v>13</v>
      </c>
      <c r="O2" s="14" t="s">
        <v>12</v>
      </c>
      <c r="P2" s="14" t="s">
        <v>231</v>
      </c>
      <c r="Q2" s="14" t="s">
        <v>14</v>
      </c>
      <c r="R2" s="15" t="s">
        <v>75</v>
      </c>
      <c r="S2" s="15" t="s">
        <v>74</v>
      </c>
      <c r="T2" s="14" t="s">
        <v>31</v>
      </c>
    </row>
    <row r="3" spans="1:28" x14ac:dyDescent="0.4">
      <c r="A3" s="11" t="s">
        <v>165</v>
      </c>
      <c r="B3" s="26">
        <v>4.45</v>
      </c>
      <c r="C3" s="26">
        <v>2.4900000000000002</v>
      </c>
      <c r="D3" s="11">
        <f>F5</f>
        <v>5.0844500894425755</v>
      </c>
      <c r="E3" s="11">
        <v>0.94</v>
      </c>
      <c r="F3" s="25">
        <v>2.56</v>
      </c>
      <c r="G3" s="25">
        <v>1.5</v>
      </c>
      <c r="H3" s="25">
        <v>6</v>
      </c>
      <c r="I3" s="25">
        <v>1.5</v>
      </c>
      <c r="J3" s="12">
        <v>1</v>
      </c>
      <c r="K3" s="25">
        <v>3.1</v>
      </c>
      <c r="L3" s="25">
        <v>1.8</v>
      </c>
      <c r="M3" s="25">
        <v>4.3600000000000003</v>
      </c>
      <c r="N3" s="25">
        <v>0.81</v>
      </c>
      <c r="O3" s="11">
        <v>2.8</v>
      </c>
      <c r="P3" s="30">
        <v>4.2</v>
      </c>
      <c r="Q3" s="11">
        <v>0.1</v>
      </c>
      <c r="R3" s="15">
        <v>0.05</v>
      </c>
      <c r="S3" s="15">
        <v>0.05</v>
      </c>
      <c r="T3" s="25">
        <v>1</v>
      </c>
    </row>
    <row r="4" spans="1:28" x14ac:dyDescent="0.4">
      <c r="A4" s="5"/>
      <c r="C4" s="35" t="s">
        <v>364</v>
      </c>
      <c r="D4" s="14" t="s">
        <v>255</v>
      </c>
      <c r="F4" s="35" t="str">
        <f>C7</f>
        <v>fcc</v>
      </c>
      <c r="H4" s="33" t="s">
        <v>132</v>
      </c>
      <c r="I4" s="33" t="s">
        <v>131</v>
      </c>
      <c r="J4" s="33" t="s">
        <v>35</v>
      </c>
      <c r="K4" s="34" t="s">
        <v>32</v>
      </c>
      <c r="L4" s="33" t="s">
        <v>47</v>
      </c>
      <c r="M4" s="34" t="s">
        <v>126</v>
      </c>
      <c r="Q4" s="6"/>
    </row>
    <row r="5" spans="1:28" x14ac:dyDescent="0.4">
      <c r="C5" s="11">
        <f>IF(OR(C7="fcc", C7="l12"), ((C3*SQRT(2))^3/4), IF(OR(C7="bcc", C7="b2"), ((C3*2/SQRT(3))^3/2), IF(C7="hcp", (SQRT(3)/2*J7*(C3)^3/2), IF(C7="dim", "", IF(C7="dia", ((C3*E7)^3/8), IF(C7="b1", ((C3*2)^3/8), IF(C7="l12", ((C3*SQRT(2))^3/4), IF(C7="sc", ((C3)^3/1), ""))))))))</f>
        <v>10.916490557546441</v>
      </c>
      <c r="D5" s="11">
        <v>187.6</v>
      </c>
      <c r="E5" s="36" t="s">
        <v>34</v>
      </c>
      <c r="F5" s="35">
        <f>IF(OR(C7="fcc", C7="l12"), (9*(D5*0.006241509)*((C3*SQRT(2))^3/4)/B3)^(1/2), IF(OR(C7="bcc", C7="b2"), (9*(D5*0.006241509)*((C3*2/SQRT(3))^3/2)/B3)^(1/2), IF(C7="hcp", (9*(D5*0.006241509)*(SQRT(3)/2*J7*(C3)^3/2)/B3)^(1/2), IF(C7="dim", "", IF(C7="dia", (9*(D5*0.006241509)*((C3*E7)^3/8)/B3)^(1/2), IF(C7="b1", (9*(D5*0.006241509)*((C3*2)^3/8)/B3)^(1/2), IF(C7="l12", (9*(D5*0.006241509)*((C3*SQRT(2))^3/4)/B3)^(1/2), IF(C7="sc", (9*(D5*0.006241509)*((C3)^3/1)/B3)^(1/2), ""))))))))</f>
        <v>5.0844500894425755</v>
      </c>
      <c r="G5" s="33" t="s">
        <v>228</v>
      </c>
      <c r="H5" s="33">
        <f>(9*(D5*0.006241509)*((C3*SQRT(2))^3/4)/B3)^(1/2)</f>
        <v>5.0844500894425755</v>
      </c>
      <c r="I5" s="33">
        <f>(9*(D5*0.006241509)*((C3*2/SQRT(3))^3/2)/B3)^(1/2)</f>
        <v>5.305062955425881</v>
      </c>
      <c r="J5" s="33">
        <f>(9*(D5*0.006241509)*(SQRT(3)/2*J7*(C3)^3/2)/B3)^(1/2)</f>
        <v>5.0844500894425746</v>
      </c>
      <c r="K5" s="33">
        <f>(9*(D5*0.006241509)*((C3*4/SQRT(3))^3/8)/B3)^(1/2)</f>
        <v>7.5024919808063757</v>
      </c>
      <c r="L5" s="33">
        <f>(9*(D5*0.006241509)*((C3*2)^3/8)/B3)^(1/2)</f>
        <v>6.0464642222413323</v>
      </c>
      <c r="M5" s="33">
        <f>(9*(D5*0.006241509)*((C3)^3/1)/B3)^(1/2)</f>
        <v>6.0464642222413323</v>
      </c>
      <c r="N5" t="s">
        <v>133</v>
      </c>
      <c r="Q5" s="6"/>
      <c r="R5" t="s">
        <v>254</v>
      </c>
    </row>
    <row r="6" spans="1:28" x14ac:dyDescent="0.4">
      <c r="A6" s="35" t="s">
        <v>19</v>
      </c>
      <c r="B6" s="35" t="s">
        <v>17</v>
      </c>
      <c r="C6" s="14" t="s">
        <v>18</v>
      </c>
      <c r="D6" s="35" t="s">
        <v>16</v>
      </c>
      <c r="E6" s="35" t="s">
        <v>27</v>
      </c>
      <c r="F6" s="17" t="s">
        <v>28</v>
      </c>
      <c r="G6" s="18" t="s">
        <v>261</v>
      </c>
      <c r="J6" s="14" t="s">
        <v>36</v>
      </c>
      <c r="Q6" s="6"/>
      <c r="X6" s="2" t="s">
        <v>256</v>
      </c>
      <c r="Y6" s="3"/>
      <c r="Z6" s="3"/>
      <c r="AA6" s="3"/>
      <c r="AB6" s="4"/>
    </row>
    <row r="7" spans="1:28" x14ac:dyDescent="0.4">
      <c r="A7" s="35">
        <f>IFERROR(VLOOKUP(A3, data!A:C, 2, FALSE), "")</f>
        <v>28</v>
      </c>
      <c r="B7" s="35">
        <f>IFERROR(VLOOKUP(A3, data!A:C, 3, FALSE), "")</f>
        <v>58.692999999999998</v>
      </c>
      <c r="C7" s="13" t="s">
        <v>253</v>
      </c>
      <c r="D7" s="35">
        <f>IF(C7="fcc", 12, IF(C7="bcc", 8, IF(C7="hcp", 12, IF(C7="dim", 1, IF(C7="dia", 4, IF(C7="sc", 6, ""))))))</f>
        <v>12</v>
      </c>
      <c r="E7" s="35">
        <f>IF(C7="fcc", SQRT(2), IF(C7="bcc", 2/SQRT(3), IF(C7="hcp", 1, IF(C7="dim", 1, IF(C7="dia", 4/SQRT(3), IF(C7="sc", 1, ""))))))</f>
        <v>1.4142135623730951</v>
      </c>
      <c r="F7" s="11">
        <v>3</v>
      </c>
      <c r="G7" s="8" t="s">
        <v>232</v>
      </c>
      <c r="H7" s="8"/>
      <c r="I7" s="8"/>
      <c r="J7" s="11">
        <f>SQRT(8/3)</f>
        <v>1.6329931618554521</v>
      </c>
      <c r="K7" s="8" t="s">
        <v>127</v>
      </c>
      <c r="L7" s="8"/>
      <c r="M7" s="8"/>
      <c r="N7" s="8"/>
      <c r="O7" s="8"/>
      <c r="P7" s="8"/>
      <c r="Q7" s="9"/>
      <c r="R7" s="7"/>
      <c r="S7" s="8"/>
      <c r="T7" s="8"/>
      <c r="U7" s="8"/>
      <c r="V7" s="8"/>
      <c r="W7" s="8"/>
      <c r="X7" s="5" t="s">
        <v>257</v>
      </c>
      <c r="AB7" s="6"/>
    </row>
    <row r="8" spans="1:28" x14ac:dyDescent="0.4">
      <c r="A8" t="s">
        <v>143</v>
      </c>
      <c r="C8" s="1"/>
      <c r="M8" s="2"/>
      <c r="R8" s="4"/>
      <c r="X8" s="5" t="s">
        <v>258</v>
      </c>
      <c r="AB8" s="6"/>
    </row>
    <row r="9" spans="1:28" x14ac:dyDescent="0.4">
      <c r="A9" t="s">
        <v>234</v>
      </c>
      <c r="M9" s="5"/>
      <c r="P9" s="36" t="s">
        <v>265</v>
      </c>
      <c r="Q9" s="43"/>
      <c r="R9" s="6"/>
      <c r="X9" s="5" t="s">
        <v>259</v>
      </c>
      <c r="AB9" s="6"/>
    </row>
    <row r="10" spans="1:28" x14ac:dyDescent="0.4">
      <c r="M10" s="5"/>
      <c r="P10" s="2" t="s">
        <v>71</v>
      </c>
      <c r="Q10" s="4" t="str">
        <f>N12</f>
        <v>Hf-Ni</v>
      </c>
      <c r="R10" s="6"/>
      <c r="X10" s="7" t="s">
        <v>260</v>
      </c>
      <c r="Y10" s="8"/>
      <c r="Z10" s="8"/>
      <c r="AA10" s="8"/>
      <c r="AB10" s="9"/>
    </row>
    <row r="11" spans="1:28" x14ac:dyDescent="0.4">
      <c r="A11" s="41" t="s">
        <v>21</v>
      </c>
      <c r="B11" s="42"/>
      <c r="C11" s="42"/>
      <c r="D11" s="42"/>
      <c r="E11" s="42"/>
      <c r="F11" s="42"/>
      <c r="G11" s="42"/>
      <c r="H11" s="43"/>
      <c r="J11" s="41" t="s">
        <v>22</v>
      </c>
      <c r="K11" s="43"/>
      <c r="M11" s="45" t="s">
        <v>104</v>
      </c>
      <c r="N11" s="43"/>
      <c r="P11" s="5" t="s">
        <v>80</v>
      </c>
      <c r="Q11" s="6">
        <v>0</v>
      </c>
      <c r="R11" s="6"/>
      <c r="S11" s="7"/>
      <c r="T11" s="8"/>
      <c r="U11" s="8"/>
      <c r="V11" s="8"/>
      <c r="W11" s="8"/>
      <c r="X11" s="8"/>
      <c r="Y11" s="8"/>
      <c r="Z11" s="8"/>
      <c r="AA11" s="8"/>
      <c r="AB11" s="8"/>
    </row>
    <row r="12" spans="1:28" x14ac:dyDescent="0.4">
      <c r="A12" s="2" t="s">
        <v>41</v>
      </c>
      <c r="B12" s="3" t="s">
        <v>42</v>
      </c>
      <c r="C12" s="3" t="s">
        <v>43</v>
      </c>
      <c r="D12" s="3" t="s">
        <v>44</v>
      </c>
      <c r="E12" s="3" t="s">
        <v>45</v>
      </c>
      <c r="F12" s="3"/>
      <c r="G12" s="3"/>
      <c r="H12" s="4"/>
      <c r="J12" s="2" t="s">
        <v>20</v>
      </c>
      <c r="K12" s="4">
        <f>P3</f>
        <v>4.2</v>
      </c>
      <c r="M12" s="11" t="s">
        <v>78</v>
      </c>
      <c r="N12" s="11" t="s">
        <v>76</v>
      </c>
      <c r="P12" s="5" t="s">
        <v>81</v>
      </c>
      <c r="Q12" s="6">
        <v>1</v>
      </c>
      <c r="R12" s="6"/>
      <c r="S12" t="s">
        <v>360</v>
      </c>
      <c r="AB12" s="4"/>
    </row>
    <row r="13" spans="1:28" x14ac:dyDescent="0.4">
      <c r="A13" s="5" t="s">
        <v>2</v>
      </c>
      <c r="B13" t="s">
        <v>46</v>
      </c>
      <c r="C13" t="s">
        <v>47</v>
      </c>
      <c r="D13" t="s">
        <v>48</v>
      </c>
      <c r="E13" t="s">
        <v>49</v>
      </c>
      <c r="F13" t="s">
        <v>50</v>
      </c>
      <c r="G13" t="s">
        <v>51</v>
      </c>
      <c r="H13" s="6" t="s">
        <v>52</v>
      </c>
      <c r="J13" s="5" t="s">
        <v>23</v>
      </c>
      <c r="K13" s="6">
        <f>Q3</f>
        <v>0.1</v>
      </c>
      <c r="M13" s="11" t="s">
        <v>77</v>
      </c>
      <c r="N13" s="11" t="s">
        <v>48</v>
      </c>
      <c r="P13" s="5" t="s">
        <v>85</v>
      </c>
      <c r="Q13" s="6" t="str">
        <f t="shared" ref="Q13:Q18" si="0">N13</f>
        <v>b2</v>
      </c>
      <c r="R13" s="6"/>
      <c r="S13" s="85" t="s">
        <v>365</v>
      </c>
      <c r="T13" s="11">
        <v>125</v>
      </c>
      <c r="W13" s="35" t="s">
        <v>389</v>
      </c>
      <c r="AB13" s="6"/>
    </row>
    <row r="14" spans="1:28" x14ac:dyDescent="0.4">
      <c r="A14" s="7" t="s">
        <v>8</v>
      </c>
      <c r="B14" s="8" t="s">
        <v>9</v>
      </c>
      <c r="C14" s="8" t="s">
        <v>10</v>
      </c>
      <c r="D14" s="8" t="s">
        <v>11</v>
      </c>
      <c r="E14" s="8" t="s">
        <v>39</v>
      </c>
      <c r="F14" s="8" t="s">
        <v>40</v>
      </c>
      <c r="G14" s="8"/>
      <c r="H14" s="9"/>
      <c r="J14" s="5" t="s">
        <v>37</v>
      </c>
      <c r="K14" s="6">
        <v>0</v>
      </c>
      <c r="M14" s="11" t="s">
        <v>0</v>
      </c>
      <c r="N14" s="26">
        <v>6.4</v>
      </c>
      <c r="P14" s="5" t="s">
        <v>82</v>
      </c>
      <c r="Q14" s="21">
        <f t="shared" si="0"/>
        <v>6.4</v>
      </c>
      <c r="R14" s="6"/>
      <c r="S14" s="85" t="s">
        <v>366</v>
      </c>
      <c r="T14" s="11">
        <v>260</v>
      </c>
      <c r="V14" s="35" t="s">
        <v>361</v>
      </c>
      <c r="W14" s="80">
        <f>T13*0.006241509</f>
        <v>0.78018862499999997</v>
      </c>
      <c r="AB14" s="6"/>
    </row>
    <row r="15" spans="1:28" x14ac:dyDescent="0.4">
      <c r="A15" s="2" t="str">
        <f>A3</f>
        <v>Ni</v>
      </c>
      <c r="B15" s="3" t="str">
        <f>C7</f>
        <v>fcc</v>
      </c>
      <c r="C15" s="3">
        <f>D7</f>
        <v>12</v>
      </c>
      <c r="D15" s="3">
        <f>A7</f>
        <v>28</v>
      </c>
      <c r="E15" s="3">
        <f>B7</f>
        <v>58.692999999999998</v>
      </c>
      <c r="F15" s="3"/>
      <c r="G15" s="3"/>
      <c r="H15" s="4"/>
      <c r="J15" s="5" t="s">
        <v>38</v>
      </c>
      <c r="K15" s="6">
        <v>2</v>
      </c>
      <c r="M15" s="11" t="s">
        <v>1</v>
      </c>
      <c r="N15" s="25">
        <v>2.72</v>
      </c>
      <c r="P15" s="5" t="s">
        <v>83</v>
      </c>
      <c r="Q15" s="23">
        <f t="shared" si="0"/>
        <v>2.72</v>
      </c>
      <c r="R15" s="6"/>
      <c r="S15" s="85" t="s">
        <v>367</v>
      </c>
      <c r="T15" s="11">
        <v>160</v>
      </c>
      <c r="V15" s="35" t="s">
        <v>362</v>
      </c>
      <c r="W15" s="80">
        <f>(T14-T15)*0.006241509/2</f>
        <v>0.31207545000000003</v>
      </c>
      <c r="AB15" s="6"/>
    </row>
    <row r="16" spans="1:28" x14ac:dyDescent="0.4">
      <c r="A16" s="32">
        <f>D3</f>
        <v>5.0844500894425755</v>
      </c>
      <c r="B16" s="20">
        <f>F3</f>
        <v>2.56</v>
      </c>
      <c r="C16" s="20">
        <f>G3</f>
        <v>1.5</v>
      </c>
      <c r="D16" s="20">
        <f>H3</f>
        <v>6</v>
      </c>
      <c r="E16" s="20">
        <f>I3</f>
        <v>1.5</v>
      </c>
      <c r="F16" s="31">
        <f>C3*E7</f>
        <v>3.5213917703090072</v>
      </c>
      <c r="G16" s="16">
        <f>B3</f>
        <v>4.45</v>
      </c>
      <c r="H16" s="23">
        <f>E3</f>
        <v>0.94</v>
      </c>
      <c r="J16" s="5" t="s">
        <v>68</v>
      </c>
      <c r="K16" s="6">
        <v>2</v>
      </c>
      <c r="M16" s="11" t="s">
        <v>2</v>
      </c>
      <c r="N16" s="25">
        <v>5</v>
      </c>
      <c r="P16" s="5" t="s">
        <v>84</v>
      </c>
      <c r="Q16" s="23">
        <f t="shared" si="0"/>
        <v>5</v>
      </c>
      <c r="R16" s="6"/>
      <c r="AB16" s="6"/>
    </row>
    <row r="17" spans="1:28" x14ac:dyDescent="0.4">
      <c r="A17" s="28">
        <f>J3</f>
        <v>1</v>
      </c>
      <c r="B17" s="22">
        <f>K3</f>
        <v>3.1</v>
      </c>
      <c r="C17" s="22">
        <f>L3</f>
        <v>1.8</v>
      </c>
      <c r="D17" s="22">
        <f>M3</f>
        <v>4.3600000000000003</v>
      </c>
      <c r="E17" s="22">
        <f>T3</f>
        <v>1</v>
      </c>
      <c r="F17" s="8">
        <f>F7</f>
        <v>3</v>
      </c>
      <c r="G17" s="8"/>
      <c r="H17" s="9"/>
      <c r="J17" s="5"/>
      <c r="K17" s="6"/>
      <c r="M17" s="11" t="s">
        <v>75</v>
      </c>
      <c r="N17" s="11">
        <v>2.5000000000000001E-2</v>
      </c>
      <c r="P17" s="5" t="s">
        <v>87</v>
      </c>
      <c r="Q17" s="6">
        <f t="shared" si="0"/>
        <v>2.5000000000000001E-2</v>
      </c>
      <c r="R17" s="6"/>
      <c r="S17" t="s">
        <v>363</v>
      </c>
      <c r="U17" t="s">
        <v>264</v>
      </c>
      <c r="Y17" t="s">
        <v>264</v>
      </c>
      <c r="AB17" s="6"/>
    </row>
    <row r="18" spans="1:28" x14ac:dyDescent="0.4">
      <c r="A18" s="8"/>
      <c r="B18" s="8"/>
      <c r="C18" s="8"/>
      <c r="D18" s="8"/>
      <c r="E18" s="8"/>
      <c r="F18" s="8"/>
      <c r="G18" s="8"/>
      <c r="H18" s="8"/>
      <c r="I18" s="8"/>
      <c r="J18" s="5" t="s">
        <v>71</v>
      </c>
      <c r="K18" s="6" t="str">
        <f>A3</f>
        <v>Ni</v>
      </c>
      <c r="M18" s="18" t="s">
        <v>86</v>
      </c>
      <c r="N18" s="18">
        <v>2.5000000000000001E-2</v>
      </c>
      <c r="P18" s="5" t="s">
        <v>88</v>
      </c>
      <c r="Q18" s="6">
        <f t="shared" si="0"/>
        <v>2.5000000000000001E-2</v>
      </c>
      <c r="R18" s="6"/>
      <c r="S18" s="50" t="s">
        <v>4</v>
      </c>
      <c r="T18" s="39" t="s">
        <v>5</v>
      </c>
      <c r="U18" s="39" t="s">
        <v>6</v>
      </c>
      <c r="V18" s="39" t="s">
        <v>7</v>
      </c>
      <c r="X18" s="35" t="s">
        <v>10</v>
      </c>
      <c r="Y18" s="39" t="s">
        <v>11</v>
      </c>
      <c r="AB18" s="6"/>
    </row>
    <row r="19" spans="1:28" x14ac:dyDescent="0.4">
      <c r="A19" t="s">
        <v>250</v>
      </c>
      <c r="J19" s="5" t="s">
        <v>69</v>
      </c>
      <c r="K19" s="6">
        <v>0</v>
      </c>
      <c r="M19" s="11" t="s">
        <v>105</v>
      </c>
      <c r="N19" s="25">
        <v>0.4</v>
      </c>
      <c r="P19" s="5" t="s">
        <v>90</v>
      </c>
      <c r="Q19" s="23">
        <f>N19</f>
        <v>0.4</v>
      </c>
      <c r="R19" s="6"/>
      <c r="S19" s="86">
        <f>((D3^2-2*D7*W15*C5/B3)/E3)^(1/2)</f>
        <v>2.8205267153630094</v>
      </c>
      <c r="T19" s="30">
        <v>2.2000000000000002</v>
      </c>
      <c r="U19" s="30">
        <v>6</v>
      </c>
      <c r="V19" s="30">
        <v>2.2000000000000002</v>
      </c>
      <c r="W19" t="s">
        <v>369</v>
      </c>
      <c r="X19" s="26">
        <f>((W14-2*W15)*D7^2*C5)/(2*E3*B3*(H3-2)^2)</f>
        <v>1.8324718102141699</v>
      </c>
      <c r="Y19" s="11"/>
      <c r="AB19" s="6"/>
    </row>
    <row r="20" spans="1:28" x14ac:dyDescent="0.4">
      <c r="J20" s="5" t="s">
        <v>70</v>
      </c>
      <c r="K20" s="6">
        <v>1</v>
      </c>
      <c r="M20" s="11" t="s">
        <v>262</v>
      </c>
      <c r="N20" s="11">
        <v>0.67</v>
      </c>
      <c r="P20" s="5" t="s">
        <v>91</v>
      </c>
      <c r="Q20" s="23">
        <f t="shared" ref="Q20:Q26" si="1">N20</f>
        <v>0.67</v>
      </c>
      <c r="R20" s="6"/>
      <c r="S20" s="86">
        <f>((D3^2-D7*W14*C5/B3)/E3)^(1/2)</f>
        <v>1.7517932121606123</v>
      </c>
      <c r="T20" s="30">
        <v>1</v>
      </c>
      <c r="U20" s="30">
        <v>2</v>
      </c>
      <c r="V20" s="30">
        <v>1</v>
      </c>
      <c r="W20" t="s">
        <v>369</v>
      </c>
      <c r="X20" s="26" t="e">
        <f>((2*W15-W14)*D7^2*C5)/(E3*B3*(H3-6)^2)</f>
        <v>#DIV/0!</v>
      </c>
      <c r="Y20" s="11"/>
      <c r="AB20" s="6"/>
    </row>
    <row r="21" spans="1:28" x14ac:dyDescent="0.4">
      <c r="A21" t="s">
        <v>53</v>
      </c>
      <c r="J21" s="5" t="s">
        <v>89</v>
      </c>
      <c r="K21" s="23">
        <f>T3</f>
        <v>1</v>
      </c>
      <c r="M21" s="11" t="s">
        <v>79</v>
      </c>
      <c r="N21" s="25">
        <v>0.6</v>
      </c>
      <c r="P21" s="5" t="s">
        <v>92</v>
      </c>
      <c r="Q21" s="23">
        <f t="shared" si="1"/>
        <v>0.6</v>
      </c>
      <c r="R21" s="6"/>
      <c r="S21" s="86">
        <f>((D3^2-9*D7*W14*C5/(8*B3))/E3)^(1/2)</f>
        <v>0.12107755564807285</v>
      </c>
      <c r="T21" s="30">
        <v>1</v>
      </c>
      <c r="U21" s="30">
        <v>1</v>
      </c>
      <c r="V21" s="30">
        <v>1</v>
      </c>
      <c r="W21" t="s">
        <v>368</v>
      </c>
      <c r="X21" s="26">
        <f>(9*W15*D7^2*C5)/(256*E3*B3)</f>
        <v>4.1230615729818849</v>
      </c>
      <c r="Y21" s="11"/>
      <c r="AB21" s="6"/>
    </row>
    <row r="22" spans="1:28" x14ac:dyDescent="0.4">
      <c r="A22" t="s">
        <v>54</v>
      </c>
      <c r="J22" s="5" t="s">
        <v>123</v>
      </c>
      <c r="K22" s="21">
        <f>B3</f>
        <v>4.45</v>
      </c>
      <c r="M22" s="11" t="s">
        <v>106</v>
      </c>
      <c r="N22" s="25">
        <v>0.4</v>
      </c>
      <c r="P22" s="5" t="s">
        <v>96</v>
      </c>
      <c r="Q22" s="23">
        <f t="shared" si="1"/>
        <v>0.4</v>
      </c>
      <c r="R22" s="6"/>
      <c r="S22" s="43" t="s">
        <v>370</v>
      </c>
      <c r="T22" s="11" t="s">
        <v>371</v>
      </c>
      <c r="U22" s="11" t="s">
        <v>372</v>
      </c>
      <c r="V22" s="11" t="s">
        <v>373</v>
      </c>
      <c r="W22" s="5" t="s">
        <v>374</v>
      </c>
      <c r="X22" t="s">
        <v>376</v>
      </c>
      <c r="AB22" s="6"/>
    </row>
    <row r="23" spans="1:28" x14ac:dyDescent="0.4">
      <c r="A23" t="s">
        <v>55</v>
      </c>
      <c r="J23" s="5" t="s">
        <v>124</v>
      </c>
      <c r="K23" s="21">
        <f>C3</f>
        <v>2.4900000000000002</v>
      </c>
      <c r="M23" s="11" t="s">
        <v>108</v>
      </c>
      <c r="N23" s="25">
        <v>2.8</v>
      </c>
      <c r="P23" s="5" t="s">
        <v>93</v>
      </c>
      <c r="Q23" s="23">
        <f t="shared" si="1"/>
        <v>2.8</v>
      </c>
      <c r="R23" s="6"/>
      <c r="X23" t="s">
        <v>377</v>
      </c>
      <c r="AB23" s="6"/>
    </row>
    <row r="24" spans="1:28" x14ac:dyDescent="0.4">
      <c r="A24" t="s">
        <v>56</v>
      </c>
      <c r="J24" s="5" t="s">
        <v>125</v>
      </c>
      <c r="K24" s="29">
        <f>D3</f>
        <v>5.0844500894425755</v>
      </c>
      <c r="M24" s="11" t="s">
        <v>263</v>
      </c>
      <c r="N24" s="25">
        <v>1.7</v>
      </c>
      <c r="P24" s="5" t="s">
        <v>94</v>
      </c>
      <c r="Q24" s="23">
        <f t="shared" si="1"/>
        <v>1.7</v>
      </c>
      <c r="R24" s="6"/>
      <c r="X24" t="s">
        <v>375</v>
      </c>
      <c r="AB24" s="6"/>
    </row>
    <row r="25" spans="1:28" x14ac:dyDescent="0.4">
      <c r="A25" t="s">
        <v>57</v>
      </c>
      <c r="J25" s="5" t="s">
        <v>73</v>
      </c>
      <c r="K25" s="23">
        <f>S3</f>
        <v>0.05</v>
      </c>
      <c r="M25" s="11" t="s">
        <v>107</v>
      </c>
      <c r="N25" s="25">
        <v>1.9</v>
      </c>
      <c r="P25" s="5" t="s">
        <v>95</v>
      </c>
      <c r="Q25" s="23">
        <f t="shared" si="1"/>
        <v>1.9</v>
      </c>
      <c r="R25" s="6"/>
      <c r="S25" s="5"/>
      <c r="T25" s="81"/>
      <c r="U25" s="81"/>
      <c r="V25" s="81"/>
      <c r="W25" s="81"/>
      <c r="X25" s="81" t="s">
        <v>378</v>
      </c>
      <c r="Y25" s="81"/>
      <c r="Z25" s="81"/>
      <c r="AA25" s="81"/>
      <c r="AB25" s="6"/>
    </row>
    <row r="26" spans="1:28" x14ac:dyDescent="0.4">
      <c r="A26" t="s">
        <v>58</v>
      </c>
      <c r="J26" s="5" t="s">
        <v>72</v>
      </c>
      <c r="K26" s="23">
        <f>R3</f>
        <v>0.05</v>
      </c>
      <c r="M26" s="11" t="s">
        <v>109</v>
      </c>
      <c r="N26" s="25">
        <v>1.8</v>
      </c>
      <c r="P26" s="7" t="s">
        <v>97</v>
      </c>
      <c r="Q26" s="24">
        <f t="shared" si="1"/>
        <v>1.8</v>
      </c>
      <c r="R26" s="18"/>
      <c r="S26" s="8" t="s">
        <v>412</v>
      </c>
      <c r="T26" s="8"/>
      <c r="U26" s="8"/>
      <c r="V26" s="8"/>
      <c r="W26" s="8"/>
      <c r="X26" s="8"/>
      <c r="Y26" s="8"/>
      <c r="Z26" s="8"/>
      <c r="AA26" s="8"/>
      <c r="AB26" s="8"/>
    </row>
    <row r="27" spans="1:28" x14ac:dyDescent="0.4">
      <c r="A27" t="s">
        <v>59</v>
      </c>
      <c r="J27" s="5" t="s">
        <v>25</v>
      </c>
      <c r="K27" s="23">
        <f>N3</f>
        <v>0.81</v>
      </c>
      <c r="M27" s="5" t="s">
        <v>267</v>
      </c>
      <c r="P27" s="5" t="s">
        <v>266</v>
      </c>
      <c r="Q27" s="20"/>
      <c r="R27" s="6"/>
      <c r="S27" t="s">
        <v>379</v>
      </c>
      <c r="T27" s="48"/>
      <c r="U27" s="84" t="s">
        <v>389</v>
      </c>
      <c r="X27" s="84" t="s">
        <v>389</v>
      </c>
      <c r="AB27" s="6"/>
    </row>
    <row r="28" spans="1:28" x14ac:dyDescent="0.4">
      <c r="J28" s="7" t="s">
        <v>24</v>
      </c>
      <c r="K28" s="24">
        <f>O3</f>
        <v>2.8</v>
      </c>
      <c r="M28" s="5"/>
      <c r="Q28" s="20"/>
      <c r="R28" s="6"/>
      <c r="S28" s="87" t="s">
        <v>366</v>
      </c>
      <c r="T28" s="30">
        <v>60</v>
      </c>
      <c r="U28" s="83">
        <f>T28*0.006241509</f>
        <v>0.37449053999999998</v>
      </c>
      <c r="W28" s="35" t="s">
        <v>33</v>
      </c>
      <c r="X28" s="80">
        <f>(1/9)*(2*U28+U31+2*U29+4*U30)</f>
        <v>0.21914631600000001</v>
      </c>
      <c r="Z28" s="91" t="s">
        <v>395</v>
      </c>
      <c r="AB28" s="6"/>
    </row>
    <row r="29" spans="1:28" x14ac:dyDescent="0.4">
      <c r="A29" t="s">
        <v>67</v>
      </c>
      <c r="J29" s="5"/>
      <c r="M29" s="5"/>
      <c r="Q29" s="20"/>
      <c r="R29" s="6"/>
      <c r="S29" s="87" t="s">
        <v>367</v>
      </c>
      <c r="T29" s="30">
        <v>16</v>
      </c>
      <c r="U29" s="83">
        <f t="shared" ref="U29:U33" si="2">T29*0.006241509</f>
        <v>9.9864144000000002E-2</v>
      </c>
      <c r="W29" s="35" t="s">
        <v>161</v>
      </c>
      <c r="X29" s="80">
        <f>(1/2)*(U28-U29)</f>
        <v>0.137313198</v>
      </c>
      <c r="Y29" s="89">
        <f>U33</f>
        <v>0.137313198</v>
      </c>
      <c r="Z29" s="83">
        <f>(5/8)*X28+(E3*B3)/(2*Y44^2*C5)*(-20*S40^2+(1/6)*W40*(T40+1)^2+(25/9)*X40*(U40-14/5)^2+(1/9)*Y40*((11/8)*V40^2+(125/12)*V40+115/8))</f>
        <v>0.11201451639917742</v>
      </c>
      <c r="AB29" s="6"/>
    </row>
    <row r="30" spans="1:28" x14ac:dyDescent="0.4">
      <c r="J30" s="5"/>
      <c r="M30" s="5"/>
      <c r="Q30" s="20"/>
      <c r="R30" s="6"/>
      <c r="S30" s="87" t="s">
        <v>380</v>
      </c>
      <c r="T30" s="30">
        <v>25</v>
      </c>
      <c r="U30" s="83">
        <f t="shared" si="2"/>
        <v>0.15603772500000002</v>
      </c>
      <c r="W30" s="35" t="s">
        <v>384</v>
      </c>
      <c r="X30" s="80">
        <f>U32</f>
        <v>9.9864144000000002E-2</v>
      </c>
      <c r="Z30" s="83">
        <f>(1/2)*X28+(E3*B3)/(2*Y44^2*C5)*(-16*S40^2+(16/9)*X40*(U40-4)^2+(1/9)*Y40*(44*V40^2+(193/12)*V40+17/2))</f>
        <v>6.0101327925962275E-2</v>
      </c>
      <c r="AB30" s="6"/>
    </row>
    <row r="31" spans="1:28" x14ac:dyDescent="0.4">
      <c r="A31" t="s">
        <v>66</v>
      </c>
      <c r="J31" s="5"/>
      <c r="M31" s="5"/>
      <c r="R31" s="6"/>
      <c r="S31" s="87" t="s">
        <v>381</v>
      </c>
      <c r="T31" s="30">
        <v>64</v>
      </c>
      <c r="U31" s="83">
        <f t="shared" si="2"/>
        <v>0.39945657600000001</v>
      </c>
      <c r="W31" s="35" t="s">
        <v>385</v>
      </c>
      <c r="X31" s="80">
        <f>(1/6)*(U28+2*U31+U29-4*U30)</f>
        <v>0.10818615599999999</v>
      </c>
      <c r="Z31" s="83">
        <f>(3/4)*X28+(E3*B3)/(2*Y44^2*C5)*(-24*S40^2+4*X40*(U40-2)^2+(1/9)*(Y40*(23/2)*V40+33))</f>
        <v>0.12064762435635354</v>
      </c>
      <c r="AB31" s="6"/>
    </row>
    <row r="32" spans="1:28" x14ac:dyDescent="0.4">
      <c r="A32" t="s">
        <v>60</v>
      </c>
      <c r="J32" s="5"/>
      <c r="M32" s="5"/>
      <c r="R32" s="6"/>
      <c r="S32" s="87" t="s">
        <v>365</v>
      </c>
      <c r="T32" s="30">
        <v>16</v>
      </c>
      <c r="U32" s="83">
        <f t="shared" si="2"/>
        <v>9.9864144000000002E-2</v>
      </c>
      <c r="W32" s="35" t="s">
        <v>386</v>
      </c>
      <c r="X32" s="80">
        <f>(1/3)*(U28-U31+U29-U30)</f>
        <v>-2.7046539000000012E-2</v>
      </c>
      <c r="Z32" s="83">
        <f>(E3*B3)/(2*Y44^2*C5)*(-(2/9)*Y40*(V40^2+6*V40+3))</f>
        <v>8.8905040802355131E-3</v>
      </c>
      <c r="AA32" s="35">
        <f>(1/2)*(U28-3*X29-3*X28-X31)</f>
        <v>-0.40153707900000007</v>
      </c>
      <c r="AB32" s="6"/>
    </row>
    <row r="33" spans="1:28" x14ac:dyDescent="0.4">
      <c r="A33" t="s">
        <v>61</v>
      </c>
      <c r="J33" s="5"/>
      <c r="M33" s="7"/>
      <c r="N33" s="8"/>
      <c r="O33" s="8"/>
      <c r="P33" s="8"/>
      <c r="Q33" s="8"/>
      <c r="R33" s="9"/>
      <c r="S33" s="87" t="s">
        <v>382</v>
      </c>
      <c r="T33" s="30">
        <v>22</v>
      </c>
      <c r="U33" s="83">
        <f t="shared" si="2"/>
        <v>0.137313198</v>
      </c>
      <c r="AB33" s="6"/>
    </row>
    <row r="34" spans="1:28" x14ac:dyDescent="0.4">
      <c r="A34" t="s">
        <v>62</v>
      </c>
      <c r="J34" s="5"/>
      <c r="R34" s="4"/>
      <c r="Y34" s="11" t="s">
        <v>395</v>
      </c>
      <c r="Z34" t="s">
        <v>410</v>
      </c>
      <c r="AB34" s="6"/>
    </row>
    <row r="35" spans="1:28" x14ac:dyDescent="0.4">
      <c r="A35" t="s">
        <v>63</v>
      </c>
      <c r="J35" s="5"/>
      <c r="R35" s="6"/>
      <c r="S35" s="14" t="s">
        <v>405</v>
      </c>
      <c r="T35" s="30">
        <v>1345</v>
      </c>
      <c r="U35" t="s">
        <v>406</v>
      </c>
      <c r="X35" s="14" t="s">
        <v>407</v>
      </c>
      <c r="Y35" s="80">
        <f>0.0103636*285</f>
        <v>2.9536260000000003</v>
      </c>
      <c r="Z35" t="s">
        <v>409</v>
      </c>
      <c r="AB35" s="6"/>
    </row>
    <row r="36" spans="1:28" x14ac:dyDescent="0.4">
      <c r="A36" t="s">
        <v>64</v>
      </c>
      <c r="J36" s="5"/>
      <c r="R36" s="6"/>
      <c r="S36" s="85" t="s">
        <v>388</v>
      </c>
      <c r="T36" s="80">
        <f>V36</f>
        <v>1.159031323739</v>
      </c>
      <c r="U36" s="83">
        <f>B3*(1-(23/24)*E3+(1/24)*E3*(W40+(2/3)*X40+Y40))</f>
        <v>1.159031323739</v>
      </c>
      <c r="V36" s="92">
        <f>T35*10*0.00008617333262</f>
        <v>1.159031323739</v>
      </c>
      <c r="X36" s="35" t="s">
        <v>229</v>
      </c>
      <c r="Y36" s="80">
        <f>Y35*1.16</f>
        <v>3.42620616</v>
      </c>
      <c r="Z36" t="s">
        <v>408</v>
      </c>
      <c r="AB36" s="23"/>
    </row>
    <row r="37" spans="1:28" x14ac:dyDescent="0.4">
      <c r="A37" t="s">
        <v>65</v>
      </c>
      <c r="J37" s="5"/>
      <c r="R37" s="6"/>
      <c r="AB37" s="6"/>
    </row>
    <row r="38" spans="1:28" x14ac:dyDescent="0.4">
      <c r="J38" s="5"/>
      <c r="R38" s="6"/>
      <c r="S38" s="82" t="s">
        <v>363</v>
      </c>
      <c r="T38" t="s">
        <v>394</v>
      </c>
      <c r="V38" t="s">
        <v>387</v>
      </c>
      <c r="AA38" s="81"/>
      <c r="AB38" s="6"/>
    </row>
    <row r="39" spans="1:28" x14ac:dyDescent="0.4">
      <c r="A39" t="s">
        <v>110</v>
      </c>
      <c r="J39" s="5"/>
      <c r="R39" s="6"/>
      <c r="S39" s="88" t="s">
        <v>4</v>
      </c>
      <c r="T39" s="33" t="s">
        <v>5</v>
      </c>
      <c r="U39" s="50" t="s">
        <v>6</v>
      </c>
      <c r="V39" s="39" t="s">
        <v>7</v>
      </c>
      <c r="W39" s="35" t="s">
        <v>9</v>
      </c>
      <c r="X39" s="35" t="s">
        <v>10</v>
      </c>
      <c r="Y39" s="39" t="s">
        <v>11</v>
      </c>
      <c r="AA39" s="82"/>
      <c r="AB39" s="6"/>
    </row>
    <row r="40" spans="1:28" x14ac:dyDescent="0.4">
      <c r="A40" t="s">
        <v>111</v>
      </c>
      <c r="J40" s="5"/>
      <c r="R40" s="6"/>
      <c r="S40" s="93">
        <v>1.3</v>
      </c>
      <c r="T40" s="94">
        <v>0</v>
      </c>
      <c r="U40" s="86">
        <f>(8-6*U44^0.5)/(2-3*U44^0.5)</f>
        <v>1.1580277736423858</v>
      </c>
      <c r="V40" s="26">
        <v>3</v>
      </c>
      <c r="W40" s="26">
        <f>(24/E3)*(T36/B3-1+23/24*E3)-(2/3)*X40-Y40</f>
        <v>3.2493338377304091</v>
      </c>
      <c r="X40" s="26">
        <f>((3/8)*(2*Y44^2*C5/(E3*B3))*(2*X31-3*X30)+Y40*((4/3)*V40^2+(101/36)*V40-9/2))/(U40^2+4*U40-20)</f>
        <v>2.8030558187340522</v>
      </c>
      <c r="Y40" s="26">
        <v>-1</v>
      </c>
      <c r="AA40" s="81"/>
      <c r="AB40" s="6"/>
    </row>
    <row r="41" spans="1:28" x14ac:dyDescent="0.4">
      <c r="A41" t="s">
        <v>112</v>
      </c>
      <c r="J41" s="5"/>
      <c r="R41" s="6"/>
      <c r="S41" s="42" t="s">
        <v>370</v>
      </c>
      <c r="T41" s="33" t="s">
        <v>371</v>
      </c>
      <c r="U41" s="43" t="s">
        <v>372</v>
      </c>
      <c r="V41" s="11" t="s">
        <v>373</v>
      </c>
      <c r="Y41" s="11" t="s">
        <v>393</v>
      </c>
      <c r="AA41" s="81"/>
      <c r="AB41" s="6"/>
    </row>
    <row r="42" spans="1:28" x14ac:dyDescent="0.4">
      <c r="A42" t="s">
        <v>113</v>
      </c>
      <c r="J42" s="5"/>
      <c r="R42" s="6"/>
      <c r="T42" s="82"/>
      <c r="Y42" t="s">
        <v>396</v>
      </c>
      <c r="AB42" s="6"/>
    </row>
    <row r="43" spans="1:28" x14ac:dyDescent="0.4">
      <c r="A43" t="s">
        <v>114</v>
      </c>
      <c r="J43" s="5"/>
      <c r="R43" s="6"/>
      <c r="U43" s="35" t="s">
        <v>392</v>
      </c>
      <c r="V43" s="35" t="s">
        <v>390</v>
      </c>
      <c r="W43" s="35" t="s">
        <v>391</v>
      </c>
      <c r="Y43" s="35" t="s">
        <v>383</v>
      </c>
      <c r="AA43" s="35" t="s">
        <v>230</v>
      </c>
      <c r="AB43" s="6"/>
    </row>
    <row r="44" spans="1:28" x14ac:dyDescent="0.4">
      <c r="J44" s="5"/>
      <c r="R44" s="6"/>
      <c r="T44" s="81"/>
      <c r="U44" s="80">
        <f>V44/W44</f>
        <v>5.0636258564948902</v>
      </c>
      <c r="V44" s="80">
        <f>(2*Y44^2*C5)/(E3*B3)*(X30-(1/2)*X28)+16*S40^2-(1/9)*Y40*(4*V40^2+(193/12)*V40+17/2)</f>
        <v>30.065117976780456</v>
      </c>
      <c r="W44" s="80">
        <f>(2*Y44^2*C5)/(E3*B3)*(X31-(3/4)*X28)+24*S40^2-(1/9)*Y40*((23/2)*V40+33)</f>
        <v>5.9374682942297667</v>
      </c>
      <c r="Y44" s="80">
        <f>12*EXP(Y40/864)</f>
        <v>11.986119145562542</v>
      </c>
      <c r="AA44" s="26">
        <f>(2^0.5*C5)^(1/3)</f>
        <v>2.4900000000000007</v>
      </c>
      <c r="AB44" s="6"/>
    </row>
    <row r="45" spans="1:28" x14ac:dyDescent="0.4">
      <c r="A45" t="s">
        <v>115</v>
      </c>
      <c r="J45" s="5"/>
      <c r="R45" s="6"/>
      <c r="T45" s="11" t="s">
        <v>395</v>
      </c>
      <c r="AB45" s="6"/>
    </row>
    <row r="46" spans="1:28" x14ac:dyDescent="0.4">
      <c r="A46" t="s">
        <v>116</v>
      </c>
      <c r="J46" s="5"/>
      <c r="R46" s="6"/>
      <c r="S46" s="36" t="s">
        <v>401</v>
      </c>
      <c r="T46" s="26">
        <f>B3*(1-(23/24)*E3+(1/24)*E3*(W40+(2/3)*X40+Y40))</f>
        <v>1.159031323739</v>
      </c>
      <c r="U46" t="s">
        <v>397</v>
      </c>
      <c r="AB46" s="6"/>
    </row>
    <row r="47" spans="1:28" x14ac:dyDescent="0.4">
      <c r="A47" t="s">
        <v>117</v>
      </c>
      <c r="J47" s="5"/>
      <c r="R47" s="6"/>
      <c r="S47" s="35" t="s">
        <v>402</v>
      </c>
      <c r="T47" s="90">
        <f>(1/6)*B3*(1-1.139*E3-0.0378*E3*(W40-(17/15)*X40-(7/10)*Y40))</f>
        <v>-7.2764763382073508E-2</v>
      </c>
      <c r="U47" t="s">
        <v>398</v>
      </c>
      <c r="AB47" s="6"/>
    </row>
    <row r="48" spans="1:28" x14ac:dyDescent="0.4">
      <c r="A48" t="s">
        <v>118</v>
      </c>
      <c r="J48" s="5"/>
      <c r="R48" s="6"/>
      <c r="S48" s="35" t="s">
        <v>403</v>
      </c>
      <c r="T48" s="26">
        <f>(-E3*B3)/(216*3^0.5*C3^2)*Y40</f>
        <v>1.803328273692871E-3</v>
      </c>
      <c r="U48" t="s">
        <v>399</v>
      </c>
      <c r="AB48" s="6"/>
    </row>
    <row r="49" spans="1:28" x14ac:dyDescent="0.4">
      <c r="A49" t="s">
        <v>119</v>
      </c>
      <c r="J49" s="5"/>
      <c r="R49" s="6"/>
      <c r="S49" s="35" t="s">
        <v>404</v>
      </c>
      <c r="T49" s="26">
        <f>(B3/(2*3^0.5*C3^2))*(1+3*LN(3/4)*E3+(1/9)*(1+LN(3/4))*E3*(W40+(1/4)*X40+(1/2)*Y40))</f>
        <v>9.2286088402253566E-2</v>
      </c>
      <c r="U49" t="s">
        <v>400</v>
      </c>
      <c r="AB49" s="6"/>
    </row>
    <row r="50" spans="1:28" x14ac:dyDescent="0.4">
      <c r="A50" t="s">
        <v>120</v>
      </c>
      <c r="J50" s="5"/>
      <c r="R50" s="6"/>
    </row>
    <row r="51" spans="1:28" x14ac:dyDescent="0.4">
      <c r="J51" s="5"/>
      <c r="R51" s="6"/>
      <c r="S51" s="7" t="s">
        <v>411</v>
      </c>
      <c r="T51" s="8"/>
      <c r="U51" s="8"/>
      <c r="V51" s="8"/>
      <c r="W51" s="8"/>
      <c r="X51" s="8"/>
      <c r="Y51" s="8"/>
      <c r="Z51" s="8"/>
      <c r="AA51" s="8"/>
      <c r="AB51" s="9"/>
    </row>
    <row r="52" spans="1:28" x14ac:dyDescent="0.4">
      <c r="A52" t="s">
        <v>121</v>
      </c>
      <c r="J52" s="5"/>
    </row>
    <row r="53" spans="1:28" x14ac:dyDescent="0.4">
      <c r="A53" t="s">
        <v>122</v>
      </c>
      <c r="J53" s="5"/>
    </row>
    <row r="54" spans="1:28" x14ac:dyDescent="0.4">
      <c r="A54" t="s">
        <v>129</v>
      </c>
      <c r="J54" s="5"/>
    </row>
    <row r="55" spans="1:28" x14ac:dyDescent="0.4">
      <c r="A55" t="s">
        <v>130</v>
      </c>
      <c r="J55" s="5"/>
    </row>
    <row r="56" spans="1:28" s="8" customFormat="1" x14ac:dyDescent="0.4">
      <c r="A56" s="8" t="s">
        <v>128</v>
      </c>
      <c r="I56" s="9"/>
      <c r="J56" s="7"/>
      <c r="S56"/>
      <c r="T56"/>
      <c r="U56"/>
      <c r="V56"/>
      <c r="W56"/>
      <c r="X56"/>
      <c r="Y56"/>
      <c r="Z56"/>
    </row>
    <row r="57" spans="1:28" x14ac:dyDescent="0.4">
      <c r="A57" t="s">
        <v>251</v>
      </c>
    </row>
    <row r="58" spans="1:28" x14ac:dyDescent="0.4">
      <c r="A58" t="s">
        <v>271</v>
      </c>
    </row>
    <row r="59" spans="1:28" x14ac:dyDescent="0.4">
      <c r="A59" s="11" t="s">
        <v>235</v>
      </c>
      <c r="B59" s="14" t="s">
        <v>268</v>
      </c>
      <c r="C59" s="14" t="s">
        <v>269</v>
      </c>
      <c r="D59" s="14" t="s">
        <v>270</v>
      </c>
      <c r="F59" s="71" t="s">
        <v>327</v>
      </c>
    </row>
    <row r="60" spans="1:28" x14ac:dyDescent="0.4">
      <c r="A60" s="11" t="s">
        <v>13</v>
      </c>
      <c r="B60" s="15">
        <v>0.49</v>
      </c>
      <c r="C60" s="12">
        <v>0.49</v>
      </c>
      <c r="D60" s="39">
        <v>0.49</v>
      </c>
      <c r="F60" t="s">
        <v>328</v>
      </c>
    </row>
    <row r="61" spans="1:28" x14ac:dyDescent="0.4">
      <c r="A61" s="11" t="s">
        <v>12</v>
      </c>
      <c r="B61" s="38">
        <v>2.8</v>
      </c>
      <c r="C61" s="46">
        <v>2.8</v>
      </c>
      <c r="D61" s="40">
        <v>2.8</v>
      </c>
    </row>
    <row r="63" spans="1:28" x14ac:dyDescent="0.4">
      <c r="B63" s="56" t="s">
        <v>273</v>
      </c>
      <c r="C63" s="57"/>
      <c r="J63" s="63" t="s">
        <v>274</v>
      </c>
      <c r="K63" s="64"/>
    </row>
    <row r="64" spans="1:28" x14ac:dyDescent="0.4">
      <c r="A64" s="47" t="s">
        <v>296</v>
      </c>
      <c r="B64" s="58" t="s">
        <v>297</v>
      </c>
      <c r="C64" s="59"/>
      <c r="D64" t="s">
        <v>264</v>
      </c>
      <c r="I64" s="47" t="s">
        <v>296</v>
      </c>
      <c r="J64" s="41" t="s">
        <v>297</v>
      </c>
      <c r="K64" s="65"/>
      <c r="L64" t="s">
        <v>264</v>
      </c>
    </row>
    <row r="65" spans="1:12" x14ac:dyDescent="0.4">
      <c r="A65" s="47" t="s">
        <v>298</v>
      </c>
      <c r="B65" s="56" t="s">
        <v>90</v>
      </c>
      <c r="C65" s="60">
        <f>B60</f>
        <v>0.49</v>
      </c>
      <c r="D65" t="s">
        <v>275</v>
      </c>
      <c r="I65" s="47" t="s">
        <v>306</v>
      </c>
      <c r="J65" s="63" t="s">
        <v>238</v>
      </c>
      <c r="K65" s="66">
        <f>B60</f>
        <v>0.49</v>
      </c>
      <c r="L65" t="s">
        <v>275</v>
      </c>
    </row>
    <row r="66" spans="1:12" x14ac:dyDescent="0.4">
      <c r="A66" s="18" t="s">
        <v>299</v>
      </c>
      <c r="B66" s="61" t="s">
        <v>91</v>
      </c>
      <c r="C66" s="62">
        <f>C60</f>
        <v>0.49</v>
      </c>
      <c r="D66" t="s">
        <v>276</v>
      </c>
      <c r="I66" s="18" t="s">
        <v>307</v>
      </c>
      <c r="J66" s="67" t="s">
        <v>239</v>
      </c>
      <c r="K66" s="68">
        <f>D60</f>
        <v>0.49</v>
      </c>
      <c r="L66" t="s">
        <v>283</v>
      </c>
    </row>
    <row r="67" spans="1:12" x14ac:dyDescent="0.4">
      <c r="A67" s="18" t="s">
        <v>300</v>
      </c>
      <c r="B67" s="61" t="s">
        <v>92</v>
      </c>
      <c r="C67" s="62">
        <f>(0.5*B60^0.5+0.5*C66^0.5)^2</f>
        <v>0.48999999999999994</v>
      </c>
      <c r="D67" t="s">
        <v>277</v>
      </c>
      <c r="I67" s="18" t="s">
        <v>308</v>
      </c>
      <c r="J67" s="67" t="s">
        <v>236</v>
      </c>
      <c r="K67" s="68">
        <f>(0.5*B60^0.5+0.5*K66^0.5)^2</f>
        <v>0.48999999999999994</v>
      </c>
      <c r="L67" t="s">
        <v>284</v>
      </c>
    </row>
    <row r="68" spans="1:12" x14ac:dyDescent="0.4">
      <c r="A68" s="48" t="s">
        <v>301</v>
      </c>
      <c r="B68" s="19" t="s">
        <v>96</v>
      </c>
      <c r="C68" s="27">
        <f>(0.5*C65^0.5+0.5*C60^0.5)^2</f>
        <v>0.48999999999999994</v>
      </c>
      <c r="D68" t="s">
        <v>278</v>
      </c>
      <c r="I68" s="48" t="s">
        <v>309</v>
      </c>
      <c r="J68" s="69" t="s">
        <v>237</v>
      </c>
      <c r="K68" s="70">
        <f>(0.5*K65^0.5+0.5*D60^0.5)^2</f>
        <v>0.48999999999999994</v>
      </c>
      <c r="L68" t="s">
        <v>285</v>
      </c>
    </row>
    <row r="69" spans="1:12" x14ac:dyDescent="0.4">
      <c r="A69" s="18" t="s">
        <v>302</v>
      </c>
      <c r="B69" s="61" t="s">
        <v>93</v>
      </c>
      <c r="C69" s="62">
        <f>B61</f>
        <v>2.8</v>
      </c>
      <c r="D69" t="s">
        <v>279</v>
      </c>
      <c r="I69" s="18" t="s">
        <v>310</v>
      </c>
      <c r="J69" s="67" t="s">
        <v>272</v>
      </c>
      <c r="K69" s="68">
        <f>B61</f>
        <v>2.8</v>
      </c>
      <c r="L69" t="s">
        <v>279</v>
      </c>
    </row>
    <row r="70" spans="1:12" x14ac:dyDescent="0.4">
      <c r="A70" s="18" t="s">
        <v>303</v>
      </c>
      <c r="B70" s="61" t="s">
        <v>94</v>
      </c>
      <c r="C70" s="62">
        <f>C61</f>
        <v>2.8</v>
      </c>
      <c r="D70" t="s">
        <v>280</v>
      </c>
      <c r="I70" s="18" t="s">
        <v>311</v>
      </c>
      <c r="J70" s="67" t="s">
        <v>248</v>
      </c>
      <c r="K70" s="68">
        <f>D61</f>
        <v>2.8</v>
      </c>
      <c r="L70" t="s">
        <v>286</v>
      </c>
    </row>
    <row r="71" spans="1:12" x14ac:dyDescent="0.4">
      <c r="A71" s="18" t="s">
        <v>304</v>
      </c>
      <c r="B71" s="61" t="s">
        <v>95</v>
      </c>
      <c r="C71" s="62">
        <f>(0.5*B61^0.5+0.5*C70^0.5)^2</f>
        <v>2.8000000000000003</v>
      </c>
      <c r="D71" t="s">
        <v>281</v>
      </c>
      <c r="I71" s="18" t="s">
        <v>312</v>
      </c>
      <c r="J71" s="67" t="s">
        <v>240</v>
      </c>
      <c r="K71" s="68">
        <f>(0.5*B61^0.5+0.5*K70^0.5)^2</f>
        <v>2.8000000000000003</v>
      </c>
      <c r="L71" t="s">
        <v>287</v>
      </c>
    </row>
    <row r="72" spans="1:12" x14ac:dyDescent="0.4">
      <c r="A72" s="48" t="s">
        <v>305</v>
      </c>
      <c r="B72" s="19" t="s">
        <v>97</v>
      </c>
      <c r="C72" s="27">
        <f>(0.5*C69^0.5+0.5*C61^0.5)^2</f>
        <v>2.8000000000000003</v>
      </c>
      <c r="D72" t="s">
        <v>282</v>
      </c>
      <c r="I72" s="48" t="s">
        <v>313</v>
      </c>
      <c r="J72" s="69" t="s">
        <v>241</v>
      </c>
      <c r="K72" s="70">
        <f>(0.5*K69^0.5+0.5*D61^0.5)^2</f>
        <v>2.8000000000000003</v>
      </c>
      <c r="L72" t="s">
        <v>288</v>
      </c>
    </row>
    <row r="74" spans="1:12" x14ac:dyDescent="0.4">
      <c r="B74" s="37" t="s">
        <v>289</v>
      </c>
      <c r="C74" s="49"/>
      <c r="J74" s="72" t="s">
        <v>349</v>
      </c>
      <c r="K74" s="73"/>
    </row>
    <row r="75" spans="1:12" x14ac:dyDescent="0.4">
      <c r="A75" s="47" t="s">
        <v>296</v>
      </c>
      <c r="B75" s="36" t="s">
        <v>297</v>
      </c>
      <c r="C75" s="50"/>
      <c r="D75" t="s">
        <v>264</v>
      </c>
      <c r="I75" s="2" t="s">
        <v>296</v>
      </c>
      <c r="J75" s="72" t="s">
        <v>297</v>
      </c>
      <c r="K75" s="73"/>
      <c r="L75" t="s">
        <v>264</v>
      </c>
    </row>
    <row r="76" spans="1:12" x14ac:dyDescent="0.4">
      <c r="A76" s="47" t="s">
        <v>314</v>
      </c>
      <c r="B76" s="37" t="s">
        <v>244</v>
      </c>
      <c r="C76" s="51">
        <f>C60</f>
        <v>0.49</v>
      </c>
      <c r="D76" t="s">
        <v>276</v>
      </c>
      <c r="I76" s="2" t="s">
        <v>329</v>
      </c>
      <c r="J76" s="72" t="s">
        <v>98</v>
      </c>
      <c r="K76" s="79">
        <f>(0.5*K65^0.5+0.5*C76^0.5)^2</f>
        <v>0.48999999999999994</v>
      </c>
      <c r="L76" t="s">
        <v>295</v>
      </c>
    </row>
    <row r="77" spans="1:12" x14ac:dyDescent="0.4">
      <c r="A77" s="18" t="s">
        <v>315</v>
      </c>
      <c r="B77" s="52" t="s">
        <v>245</v>
      </c>
      <c r="C77" s="53">
        <f>D60</f>
        <v>0.49</v>
      </c>
      <c r="D77" t="s">
        <v>283</v>
      </c>
      <c r="I77" s="5" t="s">
        <v>330</v>
      </c>
      <c r="J77" s="74" t="s">
        <v>99</v>
      </c>
      <c r="K77" s="77">
        <f>(0.5*C65^0.5+0.5*C77^0.5)^2</f>
        <v>0.48999999999999994</v>
      </c>
      <c r="L77" t="s">
        <v>322</v>
      </c>
    </row>
    <row r="78" spans="1:12" x14ac:dyDescent="0.4">
      <c r="A78" s="18" t="s">
        <v>316</v>
      </c>
      <c r="B78" s="52" t="s">
        <v>242</v>
      </c>
      <c r="C78" s="53">
        <f>(0.5*C60^0.5+0.5*C77^0.5)^2</f>
        <v>0.48999999999999994</v>
      </c>
      <c r="D78" t="s">
        <v>290</v>
      </c>
      <c r="I78" s="7" t="s">
        <v>331</v>
      </c>
      <c r="J78" s="75" t="s">
        <v>100</v>
      </c>
      <c r="K78" s="78">
        <f>(0.5*C66^0.5+0.5*K66^0.5)^2</f>
        <v>0.48999999999999994</v>
      </c>
      <c r="L78" t="s">
        <v>323</v>
      </c>
    </row>
    <row r="79" spans="1:12" x14ac:dyDescent="0.4">
      <c r="A79" s="48" t="s">
        <v>317</v>
      </c>
      <c r="B79" s="54" t="s">
        <v>243</v>
      </c>
      <c r="C79" s="55">
        <f>(0.5*C76^0.5+0.5*D60^0.5)^2</f>
        <v>0.48999999999999994</v>
      </c>
      <c r="D79" t="s">
        <v>291</v>
      </c>
      <c r="I79" s="5" t="s">
        <v>332</v>
      </c>
      <c r="J79" s="74" t="s">
        <v>101</v>
      </c>
      <c r="K79" s="77">
        <f>(0.5*K69^0.5+0.5*C80^0.5)^2</f>
        <v>2.8000000000000003</v>
      </c>
      <c r="L79" t="s">
        <v>324</v>
      </c>
    </row>
    <row r="80" spans="1:12" x14ac:dyDescent="0.4">
      <c r="A80" s="18" t="s">
        <v>318</v>
      </c>
      <c r="B80" s="52" t="s">
        <v>294</v>
      </c>
      <c r="C80" s="53">
        <f>C61</f>
        <v>2.8</v>
      </c>
      <c r="D80" t="s">
        <v>280</v>
      </c>
      <c r="I80" s="5" t="s">
        <v>333</v>
      </c>
      <c r="J80" s="74" t="s">
        <v>102</v>
      </c>
      <c r="K80" s="77">
        <f>(0.5*C69^0.5+0.5*C81^0.5)^2</f>
        <v>2.8000000000000003</v>
      </c>
      <c r="L80" t="s">
        <v>325</v>
      </c>
    </row>
    <row r="81" spans="1:12" x14ac:dyDescent="0.4">
      <c r="A81" s="18" t="s">
        <v>319</v>
      </c>
      <c r="B81" s="52" t="s">
        <v>249</v>
      </c>
      <c r="C81" s="53">
        <f>D61</f>
        <v>2.8</v>
      </c>
      <c r="D81" t="s">
        <v>286</v>
      </c>
      <c r="I81" s="7" t="s">
        <v>334</v>
      </c>
      <c r="J81" s="75" t="s">
        <v>103</v>
      </c>
      <c r="K81" s="78">
        <f>(0.5*C70^0.5+0.5*K70^0.5)^2</f>
        <v>2.8000000000000003</v>
      </c>
      <c r="L81" t="s">
        <v>326</v>
      </c>
    </row>
    <row r="82" spans="1:12" x14ac:dyDescent="0.4">
      <c r="A82" s="18" t="s">
        <v>320</v>
      </c>
      <c r="B82" s="52" t="s">
        <v>246</v>
      </c>
      <c r="C82" s="53">
        <f>(0.5*C61^0.5+0.5*C81^0.5)^2</f>
        <v>2.8000000000000003</v>
      </c>
      <c r="D82" t="s">
        <v>292</v>
      </c>
    </row>
    <row r="83" spans="1:12" x14ac:dyDescent="0.4">
      <c r="A83" s="48" t="s">
        <v>321</v>
      </c>
      <c r="B83" s="54" t="s">
        <v>247</v>
      </c>
      <c r="C83" s="55">
        <f>(0.5*C80^0.5+0.5*D61^0.5)^2</f>
        <v>2.8000000000000003</v>
      </c>
      <c r="D83" t="s">
        <v>293</v>
      </c>
      <c r="J83" s="72" t="s">
        <v>350</v>
      </c>
      <c r="K83" s="73"/>
    </row>
    <row r="84" spans="1:12" x14ac:dyDescent="0.4">
      <c r="I84" s="2" t="s">
        <v>296</v>
      </c>
      <c r="J84" s="72" t="s">
        <v>297</v>
      </c>
      <c r="K84" s="73"/>
      <c r="L84" t="s">
        <v>264</v>
      </c>
    </row>
    <row r="85" spans="1:12" x14ac:dyDescent="0.4">
      <c r="I85" s="2" t="s">
        <v>329</v>
      </c>
      <c r="J85" s="72" t="s">
        <v>98</v>
      </c>
      <c r="K85" s="79">
        <f>(0.5*K65^0.5+0.5*C76^0.5)^2</f>
        <v>0.48999999999999994</v>
      </c>
      <c r="L85" t="s">
        <v>295</v>
      </c>
    </row>
    <row r="86" spans="1:12" x14ac:dyDescent="0.4">
      <c r="I86" s="5" t="s">
        <v>330</v>
      </c>
      <c r="J86" s="74" t="s">
        <v>99</v>
      </c>
      <c r="K86" s="77">
        <f>(0.5*K67^0.5+0.5*C78^0.5)^2</f>
        <v>0.48999999999999994</v>
      </c>
      <c r="L86" t="s">
        <v>352</v>
      </c>
    </row>
    <row r="87" spans="1:12" x14ac:dyDescent="0.4">
      <c r="I87" s="7" t="s">
        <v>331</v>
      </c>
      <c r="J87" s="75" t="s">
        <v>100</v>
      </c>
      <c r="K87" s="78">
        <f>(0.5*K67^0.5+0.5*C78^0.5)^2</f>
        <v>0.48999999999999994</v>
      </c>
      <c r="L87" t="s">
        <v>352</v>
      </c>
    </row>
    <row r="88" spans="1:12" x14ac:dyDescent="0.4">
      <c r="I88" s="5" t="s">
        <v>332</v>
      </c>
      <c r="J88" s="74" t="s">
        <v>101</v>
      </c>
      <c r="K88" s="77">
        <f>(0.5*K69^0.5+0.5*C80^0.5)^2</f>
        <v>2.8000000000000003</v>
      </c>
      <c r="L88" t="s">
        <v>324</v>
      </c>
    </row>
    <row r="89" spans="1:12" x14ac:dyDescent="0.4">
      <c r="I89" s="5" t="s">
        <v>333</v>
      </c>
      <c r="J89" s="74" t="s">
        <v>102</v>
      </c>
      <c r="K89" s="77">
        <f>(0.5*K71^0.5+0.5*C82^0.5)^2</f>
        <v>2.8000000000000003</v>
      </c>
      <c r="L89" t="s">
        <v>351</v>
      </c>
    </row>
    <row r="90" spans="1:12" x14ac:dyDescent="0.4">
      <c r="I90" s="7" t="s">
        <v>334</v>
      </c>
      <c r="J90" s="75" t="s">
        <v>103</v>
      </c>
      <c r="K90" s="78">
        <f>(0.5*K71^0.5+0.5*C82^0.5)^2</f>
        <v>2.8000000000000003</v>
      </c>
      <c r="L90" t="s">
        <v>351</v>
      </c>
    </row>
    <row r="92" spans="1:12" x14ac:dyDescent="0.4">
      <c r="J92" s="72" t="s">
        <v>353</v>
      </c>
      <c r="K92" s="73"/>
    </row>
    <row r="93" spans="1:12" x14ac:dyDescent="0.4">
      <c r="I93" s="2" t="s">
        <v>296</v>
      </c>
      <c r="J93" s="72" t="s">
        <v>297</v>
      </c>
      <c r="K93" s="73"/>
      <c r="L93" t="s">
        <v>264</v>
      </c>
    </row>
    <row r="94" spans="1:12" x14ac:dyDescent="0.4">
      <c r="I94" s="2" t="s">
        <v>329</v>
      </c>
      <c r="J94" s="72" t="s">
        <v>98</v>
      </c>
      <c r="K94" s="79">
        <f>((C76^0.5 + K65^0.5 + K68^0.5 + C68^0.5 + C79^0.5 + C67^0.5)/6)^2</f>
        <v>0.4900000000000001</v>
      </c>
      <c r="L94" t="s">
        <v>354</v>
      </c>
    </row>
    <row r="95" spans="1:12" x14ac:dyDescent="0.4">
      <c r="I95" s="5" t="s">
        <v>330</v>
      </c>
      <c r="J95" s="74" t="s">
        <v>99</v>
      </c>
      <c r="K95" s="77">
        <f>((C65^0.5 + C77^0.5 + K67^0.5 + C78^0.5 + K68^0.5 + C68^0.5)/6)^2</f>
        <v>0.4900000000000001</v>
      </c>
      <c r="L95" t="s">
        <v>355</v>
      </c>
    </row>
    <row r="96" spans="1:12" x14ac:dyDescent="0.4">
      <c r="I96" s="7" t="s">
        <v>331</v>
      </c>
      <c r="J96" s="75" t="s">
        <v>100</v>
      </c>
      <c r="K96" s="78">
        <f xml:space="preserve"> ((C66^0.5 + K66^0.5 + C78^0.5 + K67^0.5 + C79^0.5 + C67^0.5)/6)^2</f>
        <v>0.4900000000000001</v>
      </c>
      <c r="L96" t="s">
        <v>356</v>
      </c>
    </row>
    <row r="97" spans="9:12" x14ac:dyDescent="0.4">
      <c r="I97" s="5" t="s">
        <v>332</v>
      </c>
      <c r="J97" s="74" t="s">
        <v>101</v>
      </c>
      <c r="K97" s="77">
        <f>((C80^0.5 + K69^0.5 + K72^0.5 + C72^0.5 + C83^0.5 + C71^0.5)/6)^2</f>
        <v>2.8000000000000003</v>
      </c>
      <c r="L97" t="s">
        <v>357</v>
      </c>
    </row>
    <row r="98" spans="9:12" x14ac:dyDescent="0.4">
      <c r="I98" s="5" t="s">
        <v>333</v>
      </c>
      <c r="J98" s="74" t="s">
        <v>102</v>
      </c>
      <c r="K98" s="77">
        <f>((C69^0.5 + C81^0.5 + K71^0.5 + C82^0.5 + K72^0.5 + C72^0.5)/6)^2</f>
        <v>2.8000000000000003</v>
      </c>
      <c r="L98" t="s">
        <v>358</v>
      </c>
    </row>
    <row r="99" spans="9:12" x14ac:dyDescent="0.4">
      <c r="I99" s="7" t="s">
        <v>334</v>
      </c>
      <c r="J99" s="75" t="s">
        <v>103</v>
      </c>
      <c r="K99" s="78">
        <f xml:space="preserve"> ((C70^0.5 + K70^0.5 + C82^0.5 + K71^0.5 + C83^0.5 + C71^0.5)/6)^2</f>
        <v>2.8000000000000003</v>
      </c>
      <c r="L99" t="s">
        <v>359</v>
      </c>
    </row>
  </sheetData>
  <phoneticPr fontId="1"/>
  <dataValidations count="1">
    <dataValidation type="list" allowBlank="1" showInputMessage="1" showErrorMessage="1" sqref="C7" xr:uid="{57A4E5F9-7D81-457B-9242-85E08361FD36}">
      <formula1>"fcc,bcc,hcp,dim,dia,dia3,b1,c11,l12,b2,ch4,lin,zig,tri,sc"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2694-D983-4948-B087-8A1773639C00}">
  <dimension ref="A1:C94"/>
  <sheetViews>
    <sheetView workbookViewId="0">
      <selection activeCell="D1" sqref="D1"/>
    </sheetView>
  </sheetViews>
  <sheetFormatPr defaultRowHeight="18.75" x14ac:dyDescent="0.4"/>
  <sheetData>
    <row r="1" spans="1:3" x14ac:dyDescent="0.4">
      <c r="A1" t="s">
        <v>144</v>
      </c>
      <c r="B1">
        <v>1</v>
      </c>
      <c r="C1">
        <v>1.008</v>
      </c>
    </row>
    <row r="2" spans="1:3" x14ac:dyDescent="0.4">
      <c r="A2" t="s">
        <v>145</v>
      </c>
      <c r="B2">
        <v>2</v>
      </c>
      <c r="C2">
        <v>4.0026000000000002</v>
      </c>
    </row>
    <row r="3" spans="1:3" x14ac:dyDescent="0.4">
      <c r="A3" t="s">
        <v>146</v>
      </c>
      <c r="B3">
        <v>3</v>
      </c>
      <c r="C3">
        <v>6.94</v>
      </c>
    </row>
    <row r="4" spans="1:3" x14ac:dyDescent="0.4">
      <c r="A4" t="s">
        <v>147</v>
      </c>
      <c r="B4">
        <v>4</v>
      </c>
      <c r="C4">
        <v>9.0122</v>
      </c>
    </row>
    <row r="5" spans="1:3" x14ac:dyDescent="0.4">
      <c r="A5" t="s">
        <v>33</v>
      </c>
      <c r="B5">
        <v>5</v>
      </c>
      <c r="C5">
        <v>10.81</v>
      </c>
    </row>
    <row r="6" spans="1:3" x14ac:dyDescent="0.4">
      <c r="A6" t="s">
        <v>142</v>
      </c>
      <c r="B6">
        <v>6</v>
      </c>
      <c r="C6">
        <v>12.010999999999999</v>
      </c>
    </row>
    <row r="7" spans="1:3" x14ac:dyDescent="0.4">
      <c r="A7" t="s">
        <v>148</v>
      </c>
      <c r="B7">
        <v>7</v>
      </c>
      <c r="C7">
        <v>14.007</v>
      </c>
    </row>
    <row r="8" spans="1:3" x14ac:dyDescent="0.4">
      <c r="A8" t="s">
        <v>149</v>
      </c>
      <c r="B8">
        <v>8</v>
      </c>
      <c r="C8">
        <v>15.999000000000001</v>
      </c>
    </row>
    <row r="9" spans="1:3" x14ac:dyDescent="0.4">
      <c r="A9" t="s">
        <v>150</v>
      </c>
      <c r="B9">
        <v>9</v>
      </c>
      <c r="C9">
        <v>18.998000000000001</v>
      </c>
    </row>
    <row r="10" spans="1:3" x14ac:dyDescent="0.4">
      <c r="A10" t="s">
        <v>151</v>
      </c>
      <c r="B10">
        <v>10</v>
      </c>
      <c r="C10">
        <v>20.18</v>
      </c>
    </row>
    <row r="11" spans="1:3" x14ac:dyDescent="0.4">
      <c r="A11" t="s">
        <v>152</v>
      </c>
      <c r="B11">
        <v>11</v>
      </c>
      <c r="C11">
        <v>22.99</v>
      </c>
    </row>
    <row r="12" spans="1:3" x14ac:dyDescent="0.4">
      <c r="A12" t="s">
        <v>153</v>
      </c>
      <c r="B12">
        <v>12</v>
      </c>
      <c r="C12">
        <v>24.305</v>
      </c>
    </row>
    <row r="13" spans="1:3" x14ac:dyDescent="0.4">
      <c r="A13" t="s">
        <v>154</v>
      </c>
      <c r="B13">
        <v>13</v>
      </c>
      <c r="C13">
        <v>26.981999999999999</v>
      </c>
    </row>
    <row r="14" spans="1:3" x14ac:dyDescent="0.4">
      <c r="A14" t="s">
        <v>155</v>
      </c>
      <c r="B14">
        <v>14</v>
      </c>
      <c r="C14">
        <v>28.085000000000001</v>
      </c>
    </row>
    <row r="15" spans="1:3" x14ac:dyDescent="0.4">
      <c r="A15" t="s">
        <v>156</v>
      </c>
      <c r="B15">
        <v>15</v>
      </c>
      <c r="C15">
        <v>30.974</v>
      </c>
    </row>
    <row r="16" spans="1:3" x14ac:dyDescent="0.4">
      <c r="A16" t="s">
        <v>158</v>
      </c>
      <c r="B16">
        <v>16</v>
      </c>
      <c r="C16">
        <v>32.06</v>
      </c>
    </row>
    <row r="17" spans="1:3" x14ac:dyDescent="0.4">
      <c r="A17" t="s">
        <v>157</v>
      </c>
      <c r="B17">
        <v>17</v>
      </c>
      <c r="C17">
        <v>35.450000000000003</v>
      </c>
    </row>
    <row r="18" spans="1:3" x14ac:dyDescent="0.4">
      <c r="A18" t="s">
        <v>159</v>
      </c>
      <c r="B18">
        <v>18</v>
      </c>
      <c r="C18">
        <v>39.948</v>
      </c>
    </row>
    <row r="19" spans="1:3" x14ac:dyDescent="0.4">
      <c r="A19" t="s">
        <v>160</v>
      </c>
      <c r="B19">
        <v>19</v>
      </c>
      <c r="C19">
        <v>39.097999999999999</v>
      </c>
    </row>
    <row r="20" spans="1:3" x14ac:dyDescent="0.4">
      <c r="A20" t="s">
        <v>161</v>
      </c>
      <c r="B20">
        <v>20</v>
      </c>
      <c r="C20">
        <v>40.078000000000003</v>
      </c>
    </row>
    <row r="21" spans="1:3" x14ac:dyDescent="0.4">
      <c r="A21" t="s">
        <v>162</v>
      </c>
      <c r="B21">
        <v>21</v>
      </c>
      <c r="C21">
        <v>44.956000000000003</v>
      </c>
    </row>
    <row r="22" spans="1:3" x14ac:dyDescent="0.4">
      <c r="A22" t="s">
        <v>138</v>
      </c>
      <c r="B22">
        <v>22</v>
      </c>
      <c r="C22">
        <v>47.866999999999997</v>
      </c>
    </row>
    <row r="23" spans="1:3" x14ac:dyDescent="0.4">
      <c r="A23" t="s">
        <v>135</v>
      </c>
      <c r="B23">
        <v>23</v>
      </c>
      <c r="C23">
        <v>50.942</v>
      </c>
    </row>
    <row r="24" spans="1:3" x14ac:dyDescent="0.4">
      <c r="A24" t="s">
        <v>140</v>
      </c>
      <c r="B24">
        <v>24</v>
      </c>
      <c r="C24">
        <v>51.996000000000002</v>
      </c>
    </row>
    <row r="25" spans="1:3" x14ac:dyDescent="0.4">
      <c r="A25" t="s">
        <v>163</v>
      </c>
      <c r="B25">
        <v>25</v>
      </c>
      <c r="C25">
        <v>54.938000000000002</v>
      </c>
    </row>
    <row r="26" spans="1:3" x14ac:dyDescent="0.4">
      <c r="A26" t="s">
        <v>139</v>
      </c>
      <c r="B26">
        <v>26</v>
      </c>
      <c r="C26">
        <v>55.844999999999999</v>
      </c>
    </row>
    <row r="27" spans="1:3" x14ac:dyDescent="0.4">
      <c r="A27" t="s">
        <v>164</v>
      </c>
      <c r="B27">
        <v>27</v>
      </c>
      <c r="C27">
        <v>58.933</v>
      </c>
    </row>
    <row r="28" spans="1:3" x14ac:dyDescent="0.4">
      <c r="A28" t="s">
        <v>165</v>
      </c>
      <c r="B28">
        <v>28</v>
      </c>
      <c r="C28">
        <v>58.692999999999998</v>
      </c>
    </row>
    <row r="29" spans="1:3" x14ac:dyDescent="0.4">
      <c r="A29" t="s">
        <v>166</v>
      </c>
      <c r="B29">
        <v>29</v>
      </c>
      <c r="C29">
        <v>63.545999999999999</v>
      </c>
    </row>
    <row r="30" spans="1:3" x14ac:dyDescent="0.4">
      <c r="A30" t="s">
        <v>167</v>
      </c>
      <c r="B30">
        <v>30</v>
      </c>
      <c r="C30">
        <v>65.38</v>
      </c>
    </row>
    <row r="31" spans="1:3" x14ac:dyDescent="0.4">
      <c r="A31" t="s">
        <v>168</v>
      </c>
      <c r="B31">
        <v>31</v>
      </c>
      <c r="C31">
        <v>69.722999999999999</v>
      </c>
    </row>
    <row r="32" spans="1:3" x14ac:dyDescent="0.4">
      <c r="A32" t="s">
        <v>169</v>
      </c>
      <c r="B32">
        <v>32</v>
      </c>
      <c r="C32">
        <v>72.63</v>
      </c>
    </row>
    <row r="33" spans="1:3" x14ac:dyDescent="0.4">
      <c r="A33" t="s">
        <v>170</v>
      </c>
      <c r="B33">
        <v>33</v>
      </c>
      <c r="C33">
        <v>74.921999999999997</v>
      </c>
    </row>
    <row r="34" spans="1:3" x14ac:dyDescent="0.4">
      <c r="A34" t="s">
        <v>171</v>
      </c>
      <c r="B34">
        <v>34</v>
      </c>
      <c r="C34">
        <v>78.971000000000004</v>
      </c>
    </row>
    <row r="35" spans="1:3" x14ac:dyDescent="0.4">
      <c r="A35" t="s">
        <v>172</v>
      </c>
      <c r="B35">
        <v>35</v>
      </c>
      <c r="C35">
        <v>79.903999999999996</v>
      </c>
    </row>
    <row r="36" spans="1:3" x14ac:dyDescent="0.4">
      <c r="A36" t="s">
        <v>173</v>
      </c>
      <c r="B36">
        <v>36</v>
      </c>
      <c r="C36">
        <v>83.798000000000002</v>
      </c>
    </row>
    <row r="37" spans="1:3" x14ac:dyDescent="0.4">
      <c r="A37" t="s">
        <v>174</v>
      </c>
      <c r="B37">
        <v>37</v>
      </c>
      <c r="C37">
        <v>85.468000000000004</v>
      </c>
    </row>
    <row r="38" spans="1:3" x14ac:dyDescent="0.4">
      <c r="A38" t="s">
        <v>175</v>
      </c>
      <c r="B38">
        <v>38</v>
      </c>
      <c r="C38">
        <v>87.62</v>
      </c>
    </row>
    <row r="39" spans="1:3" x14ac:dyDescent="0.4">
      <c r="A39" t="s">
        <v>176</v>
      </c>
      <c r="B39">
        <v>39</v>
      </c>
      <c r="C39">
        <v>88.906000000000006</v>
      </c>
    </row>
    <row r="40" spans="1:3" x14ac:dyDescent="0.4">
      <c r="A40" t="s">
        <v>177</v>
      </c>
      <c r="B40">
        <v>40</v>
      </c>
      <c r="C40">
        <v>91.224000000000004</v>
      </c>
    </row>
    <row r="41" spans="1:3" x14ac:dyDescent="0.4">
      <c r="A41" t="s">
        <v>136</v>
      </c>
      <c r="B41">
        <v>41</v>
      </c>
      <c r="C41">
        <v>92.906000000000006</v>
      </c>
    </row>
    <row r="42" spans="1:3" x14ac:dyDescent="0.4">
      <c r="A42" t="s">
        <v>141</v>
      </c>
      <c r="B42">
        <v>42</v>
      </c>
      <c r="C42">
        <v>95.95</v>
      </c>
    </row>
    <row r="43" spans="1:3" x14ac:dyDescent="0.4">
      <c r="A43" t="s">
        <v>178</v>
      </c>
      <c r="B43">
        <v>43</v>
      </c>
      <c r="C43">
        <v>98</v>
      </c>
    </row>
    <row r="44" spans="1:3" x14ac:dyDescent="0.4">
      <c r="A44" t="s">
        <v>179</v>
      </c>
      <c r="B44">
        <v>44</v>
      </c>
      <c r="C44">
        <v>101.07</v>
      </c>
    </row>
    <row r="45" spans="1:3" x14ac:dyDescent="0.4">
      <c r="A45" t="s">
        <v>180</v>
      </c>
      <c r="B45">
        <v>45</v>
      </c>
      <c r="C45">
        <v>102.91</v>
      </c>
    </row>
    <row r="46" spans="1:3" x14ac:dyDescent="0.4">
      <c r="A46" t="s">
        <v>181</v>
      </c>
      <c r="B46">
        <v>46</v>
      </c>
      <c r="C46">
        <v>106.42</v>
      </c>
    </row>
    <row r="47" spans="1:3" x14ac:dyDescent="0.4">
      <c r="A47" t="s">
        <v>182</v>
      </c>
      <c r="B47">
        <v>47</v>
      </c>
      <c r="C47">
        <v>107.87</v>
      </c>
    </row>
    <row r="48" spans="1:3" x14ac:dyDescent="0.4">
      <c r="A48" t="s">
        <v>183</v>
      </c>
      <c r="B48">
        <v>48</v>
      </c>
      <c r="C48">
        <v>112.41</v>
      </c>
    </row>
    <row r="49" spans="1:3" x14ac:dyDescent="0.4">
      <c r="A49" t="s">
        <v>184</v>
      </c>
      <c r="B49">
        <v>49</v>
      </c>
      <c r="C49">
        <v>114.82</v>
      </c>
    </row>
    <row r="50" spans="1:3" x14ac:dyDescent="0.4">
      <c r="A50" t="s">
        <v>185</v>
      </c>
      <c r="B50">
        <v>50</v>
      </c>
      <c r="C50">
        <v>118.71</v>
      </c>
    </row>
    <row r="51" spans="1:3" x14ac:dyDescent="0.4">
      <c r="A51" t="s">
        <v>186</v>
      </c>
      <c r="B51">
        <v>51</v>
      </c>
      <c r="C51">
        <v>11.76</v>
      </c>
    </row>
    <row r="52" spans="1:3" x14ac:dyDescent="0.4">
      <c r="A52" t="s">
        <v>187</v>
      </c>
      <c r="B52">
        <v>52</v>
      </c>
      <c r="C52">
        <v>127.6</v>
      </c>
    </row>
    <row r="53" spans="1:3" x14ac:dyDescent="0.4">
      <c r="A53" t="s">
        <v>188</v>
      </c>
      <c r="B53">
        <v>53</v>
      </c>
      <c r="C53">
        <v>126.9</v>
      </c>
    </row>
    <row r="54" spans="1:3" x14ac:dyDescent="0.4">
      <c r="A54" t="s">
        <v>191</v>
      </c>
      <c r="B54">
        <v>54</v>
      </c>
      <c r="C54">
        <v>131.29</v>
      </c>
    </row>
    <row r="55" spans="1:3" x14ac:dyDescent="0.4">
      <c r="A55" t="s">
        <v>189</v>
      </c>
      <c r="B55">
        <v>55</v>
      </c>
      <c r="C55">
        <v>132.91</v>
      </c>
    </row>
    <row r="56" spans="1:3" x14ac:dyDescent="0.4">
      <c r="A56" t="s">
        <v>190</v>
      </c>
      <c r="B56">
        <v>56</v>
      </c>
      <c r="C56">
        <v>137.33000000000001</v>
      </c>
    </row>
    <row r="57" spans="1:3" x14ac:dyDescent="0.4">
      <c r="A57" t="s">
        <v>192</v>
      </c>
      <c r="B57">
        <v>57</v>
      </c>
      <c r="C57">
        <v>138.91</v>
      </c>
    </row>
    <row r="58" spans="1:3" x14ac:dyDescent="0.4">
      <c r="A58" t="s">
        <v>193</v>
      </c>
      <c r="B58">
        <v>58</v>
      </c>
      <c r="C58">
        <v>140.12</v>
      </c>
    </row>
    <row r="59" spans="1:3" x14ac:dyDescent="0.4">
      <c r="A59" t="s">
        <v>194</v>
      </c>
      <c r="B59">
        <v>59</v>
      </c>
      <c r="C59">
        <v>140.91</v>
      </c>
    </row>
    <row r="60" spans="1:3" x14ac:dyDescent="0.4">
      <c r="A60" t="s">
        <v>195</v>
      </c>
      <c r="B60">
        <v>60</v>
      </c>
      <c r="C60">
        <v>144.24</v>
      </c>
    </row>
    <row r="61" spans="1:3" x14ac:dyDescent="0.4">
      <c r="A61" t="s">
        <v>196</v>
      </c>
      <c r="B61">
        <v>61</v>
      </c>
      <c r="C61">
        <v>145</v>
      </c>
    </row>
    <row r="62" spans="1:3" x14ac:dyDescent="0.4">
      <c r="A62" t="s">
        <v>197</v>
      </c>
      <c r="B62">
        <v>62</v>
      </c>
      <c r="C62">
        <v>150.36000000000001</v>
      </c>
    </row>
    <row r="63" spans="1:3" x14ac:dyDescent="0.4">
      <c r="A63" t="s">
        <v>198</v>
      </c>
      <c r="B63">
        <v>63</v>
      </c>
      <c r="C63">
        <v>151.96</v>
      </c>
    </row>
    <row r="64" spans="1:3" x14ac:dyDescent="0.4">
      <c r="A64" t="s">
        <v>199</v>
      </c>
      <c r="B64">
        <v>64</v>
      </c>
      <c r="C64">
        <v>157.25</v>
      </c>
    </row>
    <row r="65" spans="1:3" x14ac:dyDescent="0.4">
      <c r="A65" t="s">
        <v>200</v>
      </c>
      <c r="B65">
        <v>65</v>
      </c>
      <c r="C65">
        <v>158.93</v>
      </c>
    </row>
    <row r="66" spans="1:3" x14ac:dyDescent="0.4">
      <c r="A66" t="s">
        <v>201</v>
      </c>
      <c r="B66">
        <v>66</v>
      </c>
      <c r="C66">
        <v>162.5</v>
      </c>
    </row>
    <row r="67" spans="1:3" x14ac:dyDescent="0.4">
      <c r="A67" t="s">
        <v>202</v>
      </c>
      <c r="B67">
        <v>67</v>
      </c>
      <c r="C67">
        <v>164.93</v>
      </c>
    </row>
    <row r="68" spans="1:3" x14ac:dyDescent="0.4">
      <c r="A68" t="s">
        <v>203</v>
      </c>
      <c r="B68">
        <v>68</v>
      </c>
      <c r="C68">
        <v>167.26</v>
      </c>
    </row>
    <row r="69" spans="1:3" x14ac:dyDescent="0.4">
      <c r="A69" t="s">
        <v>204</v>
      </c>
      <c r="B69">
        <v>69</v>
      </c>
      <c r="C69">
        <v>168.93</v>
      </c>
    </row>
    <row r="70" spans="1:3" x14ac:dyDescent="0.4">
      <c r="A70" t="s">
        <v>205</v>
      </c>
      <c r="B70">
        <v>70</v>
      </c>
      <c r="C70">
        <v>173.05</v>
      </c>
    </row>
    <row r="71" spans="1:3" x14ac:dyDescent="0.4">
      <c r="A71" t="s">
        <v>206</v>
      </c>
      <c r="B71">
        <v>71</v>
      </c>
      <c r="C71">
        <v>174.97</v>
      </c>
    </row>
    <row r="72" spans="1:3" x14ac:dyDescent="0.4">
      <c r="A72" t="s">
        <v>207</v>
      </c>
      <c r="B72">
        <v>72</v>
      </c>
      <c r="C72">
        <v>178.49</v>
      </c>
    </row>
    <row r="73" spans="1:3" x14ac:dyDescent="0.4">
      <c r="A73" t="s">
        <v>137</v>
      </c>
      <c r="B73">
        <v>73</v>
      </c>
      <c r="C73">
        <v>180.95</v>
      </c>
    </row>
    <row r="74" spans="1:3" x14ac:dyDescent="0.4">
      <c r="A74" t="s">
        <v>208</v>
      </c>
      <c r="B74">
        <v>74</v>
      </c>
      <c r="C74">
        <v>183.84</v>
      </c>
    </row>
    <row r="75" spans="1:3" x14ac:dyDescent="0.4">
      <c r="A75" t="s">
        <v>209</v>
      </c>
      <c r="B75">
        <v>75</v>
      </c>
      <c r="C75">
        <v>186.21</v>
      </c>
    </row>
    <row r="76" spans="1:3" x14ac:dyDescent="0.4">
      <c r="A76" t="s">
        <v>210</v>
      </c>
      <c r="B76">
        <v>76</v>
      </c>
      <c r="C76">
        <v>190.23</v>
      </c>
    </row>
    <row r="77" spans="1:3" x14ac:dyDescent="0.4">
      <c r="A77" t="s">
        <v>211</v>
      </c>
      <c r="B77">
        <v>77</v>
      </c>
      <c r="C77">
        <v>192.22</v>
      </c>
    </row>
    <row r="78" spans="1:3" x14ac:dyDescent="0.4">
      <c r="A78" t="s">
        <v>134</v>
      </c>
      <c r="B78">
        <v>78</v>
      </c>
      <c r="C78">
        <v>195.08</v>
      </c>
    </row>
    <row r="79" spans="1:3" x14ac:dyDescent="0.4">
      <c r="A79" t="s">
        <v>212</v>
      </c>
      <c r="B79">
        <v>79</v>
      </c>
      <c r="C79">
        <v>196.97</v>
      </c>
    </row>
    <row r="80" spans="1:3" x14ac:dyDescent="0.4">
      <c r="A80" t="s">
        <v>213</v>
      </c>
      <c r="B80">
        <v>80</v>
      </c>
      <c r="C80">
        <v>200.59</v>
      </c>
    </row>
    <row r="81" spans="1:3" x14ac:dyDescent="0.4">
      <c r="A81" t="s">
        <v>214</v>
      </c>
      <c r="B81">
        <v>81</v>
      </c>
      <c r="C81">
        <v>204.38</v>
      </c>
    </row>
    <row r="82" spans="1:3" x14ac:dyDescent="0.4">
      <c r="A82" t="s">
        <v>215</v>
      </c>
      <c r="B82">
        <v>82</v>
      </c>
      <c r="C82">
        <v>207.2</v>
      </c>
    </row>
    <row r="83" spans="1:3" x14ac:dyDescent="0.4">
      <c r="A83" t="s">
        <v>216</v>
      </c>
      <c r="B83">
        <v>83</v>
      </c>
      <c r="C83">
        <v>208.98</v>
      </c>
    </row>
    <row r="84" spans="1:3" x14ac:dyDescent="0.4">
      <c r="A84" t="s">
        <v>217</v>
      </c>
      <c r="B84">
        <v>84</v>
      </c>
      <c r="C84">
        <v>209</v>
      </c>
    </row>
    <row r="85" spans="1:3" x14ac:dyDescent="0.4">
      <c r="A85" t="s">
        <v>218</v>
      </c>
      <c r="B85">
        <v>85</v>
      </c>
      <c r="C85">
        <v>210</v>
      </c>
    </row>
    <row r="86" spans="1:3" x14ac:dyDescent="0.4">
      <c r="A86" t="s">
        <v>219</v>
      </c>
      <c r="B86">
        <v>86</v>
      </c>
      <c r="C86">
        <v>222</v>
      </c>
    </row>
    <row r="87" spans="1:3" x14ac:dyDescent="0.4">
      <c r="A87" t="s">
        <v>220</v>
      </c>
      <c r="B87">
        <v>87</v>
      </c>
      <c r="C87">
        <v>223</v>
      </c>
    </row>
    <row r="88" spans="1:3" x14ac:dyDescent="0.4">
      <c r="A88" t="s">
        <v>221</v>
      </c>
      <c r="B88">
        <v>88</v>
      </c>
      <c r="C88">
        <v>226</v>
      </c>
    </row>
    <row r="89" spans="1:3" x14ac:dyDescent="0.4">
      <c r="A89" t="s">
        <v>222</v>
      </c>
      <c r="B89">
        <v>89</v>
      </c>
      <c r="C89">
        <v>227</v>
      </c>
    </row>
    <row r="90" spans="1:3" x14ac:dyDescent="0.4">
      <c r="A90" t="s">
        <v>223</v>
      </c>
      <c r="B90">
        <v>90</v>
      </c>
      <c r="C90">
        <v>232.04</v>
      </c>
    </row>
    <row r="91" spans="1:3" x14ac:dyDescent="0.4">
      <c r="A91" t="s">
        <v>224</v>
      </c>
      <c r="B91">
        <v>91</v>
      </c>
      <c r="C91">
        <v>231.04</v>
      </c>
    </row>
    <row r="92" spans="1:3" x14ac:dyDescent="0.4">
      <c r="A92" t="s">
        <v>225</v>
      </c>
      <c r="B92">
        <v>92</v>
      </c>
      <c r="C92">
        <v>238.03</v>
      </c>
    </row>
    <row r="93" spans="1:3" x14ac:dyDescent="0.4">
      <c r="A93" t="s">
        <v>226</v>
      </c>
      <c r="B93">
        <v>93</v>
      </c>
      <c r="C93">
        <v>237</v>
      </c>
    </row>
    <row r="94" spans="1:3" x14ac:dyDescent="0.4">
      <c r="A94" t="s">
        <v>227</v>
      </c>
      <c r="B94">
        <v>94</v>
      </c>
      <c r="C94">
        <v>244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C892-05A7-490D-8CC3-7539BBF587B6}">
  <dimension ref="A1:Q95"/>
  <sheetViews>
    <sheetView workbookViewId="0">
      <selection activeCell="F8" sqref="F8"/>
    </sheetView>
  </sheetViews>
  <sheetFormatPr defaultRowHeight="18.75" x14ac:dyDescent="0.4"/>
  <sheetData>
    <row r="1" spans="1:17" x14ac:dyDescent="0.4">
      <c r="D1" t="s">
        <v>335</v>
      </c>
      <c r="E1" t="s">
        <v>336</v>
      </c>
      <c r="F1" t="s">
        <v>337</v>
      </c>
      <c r="G1" t="s">
        <v>347</v>
      </c>
      <c r="H1" t="s">
        <v>348</v>
      </c>
      <c r="I1" t="s">
        <v>338</v>
      </c>
      <c r="J1" t="s">
        <v>339</v>
      </c>
      <c r="K1" t="s">
        <v>340</v>
      </c>
      <c r="L1" t="s">
        <v>344</v>
      </c>
      <c r="M1" t="s">
        <v>345</v>
      </c>
      <c r="N1" t="s">
        <v>341</v>
      </c>
      <c r="O1" t="s">
        <v>342</v>
      </c>
      <c r="P1" t="s">
        <v>346</v>
      </c>
      <c r="Q1" t="s">
        <v>343</v>
      </c>
    </row>
    <row r="2" spans="1:17" x14ac:dyDescent="0.4">
      <c r="A2" t="s">
        <v>144</v>
      </c>
      <c r="B2">
        <v>1</v>
      </c>
      <c r="C2">
        <v>1.008</v>
      </c>
      <c r="D2">
        <v>5.4285519999999998</v>
      </c>
      <c r="E2">
        <v>5.4285519999999998</v>
      </c>
      <c r="F2">
        <v>-1.1160000000000001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145</v>
      </c>
      <c r="B3">
        <v>2</v>
      </c>
      <c r="C3">
        <v>4.0026000000000002</v>
      </c>
    </row>
    <row r="4" spans="1:17" x14ac:dyDescent="0.4">
      <c r="A4" t="s">
        <v>146</v>
      </c>
      <c r="B4">
        <v>3</v>
      </c>
      <c r="C4">
        <v>6.94</v>
      </c>
      <c r="D4">
        <v>4.31989</v>
      </c>
      <c r="E4">
        <v>4.31989</v>
      </c>
      <c r="F4">
        <v>-1.9059999999999999</v>
      </c>
      <c r="G4">
        <v>14</v>
      </c>
      <c r="H4">
        <v>6</v>
      </c>
      <c r="I4">
        <v>16</v>
      </c>
      <c r="J4">
        <v>13</v>
      </c>
      <c r="K4">
        <v>13</v>
      </c>
      <c r="L4">
        <v>16</v>
      </c>
      <c r="M4">
        <v>13</v>
      </c>
      <c r="N4">
        <v>16</v>
      </c>
      <c r="O4">
        <v>9</v>
      </c>
      <c r="P4">
        <v>9</v>
      </c>
      <c r="Q4">
        <v>9</v>
      </c>
    </row>
    <row r="5" spans="1:17" x14ac:dyDescent="0.4">
      <c r="A5" t="s">
        <v>147</v>
      </c>
      <c r="B5">
        <v>4</v>
      </c>
      <c r="C5">
        <v>9.0122</v>
      </c>
    </row>
    <row r="6" spans="1:17" x14ac:dyDescent="0.4">
      <c r="A6" t="s">
        <v>33</v>
      </c>
      <c r="B6">
        <v>5</v>
      </c>
      <c r="C6">
        <v>10.81</v>
      </c>
    </row>
    <row r="7" spans="1:17" x14ac:dyDescent="0.4">
      <c r="A7" t="s">
        <v>142</v>
      </c>
      <c r="B7">
        <v>6</v>
      </c>
      <c r="C7">
        <v>12.010999999999999</v>
      </c>
    </row>
    <row r="8" spans="1:17" x14ac:dyDescent="0.4">
      <c r="A8" t="s">
        <v>148</v>
      </c>
      <c r="B8">
        <v>7</v>
      </c>
      <c r="C8">
        <v>14.007</v>
      </c>
    </row>
    <row r="9" spans="1:17" x14ac:dyDescent="0.4">
      <c r="A9" t="s">
        <v>149</v>
      </c>
      <c r="B9">
        <v>8</v>
      </c>
      <c r="C9">
        <v>15.999000000000001</v>
      </c>
    </row>
    <row r="10" spans="1:17" x14ac:dyDescent="0.4">
      <c r="A10" t="s">
        <v>150</v>
      </c>
      <c r="B10">
        <v>9</v>
      </c>
      <c r="C10">
        <v>18.998000000000001</v>
      </c>
    </row>
    <row r="11" spans="1:17" x14ac:dyDescent="0.4">
      <c r="A11" t="s">
        <v>151</v>
      </c>
      <c r="B11">
        <v>10</v>
      </c>
      <c r="C11">
        <v>20.18</v>
      </c>
      <c r="D11">
        <v>4.3038259999999999</v>
      </c>
      <c r="E11">
        <v>4.3038259999999999</v>
      </c>
      <c r="F11">
        <v>-2.58E-2</v>
      </c>
      <c r="G11">
        <v>2</v>
      </c>
      <c r="H11">
        <v>1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1</v>
      </c>
    </row>
    <row r="12" spans="1:17" x14ac:dyDescent="0.4">
      <c r="A12" t="s">
        <v>152</v>
      </c>
      <c r="B12">
        <v>11</v>
      </c>
      <c r="C12">
        <v>22.99</v>
      </c>
      <c r="D12">
        <v>5.2534640000000001</v>
      </c>
      <c r="E12">
        <v>5.2534640000000001</v>
      </c>
      <c r="F12" s="76">
        <v>-1.3116000000000001</v>
      </c>
      <c r="G12">
        <v>12</v>
      </c>
      <c r="H12">
        <v>3</v>
      </c>
      <c r="I12">
        <v>12</v>
      </c>
      <c r="J12">
        <v>13</v>
      </c>
      <c r="K12">
        <v>13</v>
      </c>
      <c r="L12">
        <v>12</v>
      </c>
      <c r="M12">
        <v>13</v>
      </c>
      <c r="N12">
        <v>12</v>
      </c>
      <c r="O12">
        <v>5</v>
      </c>
      <c r="P12">
        <v>5</v>
      </c>
      <c r="Q12">
        <v>5</v>
      </c>
    </row>
    <row r="13" spans="1:17" x14ac:dyDescent="0.4">
      <c r="A13" t="s">
        <v>153</v>
      </c>
      <c r="B13">
        <v>12</v>
      </c>
      <c r="C13">
        <v>24.305</v>
      </c>
    </row>
    <row r="14" spans="1:17" x14ac:dyDescent="0.4">
      <c r="A14" t="s">
        <v>154</v>
      </c>
      <c r="B14">
        <v>13</v>
      </c>
      <c r="C14">
        <v>26.981999999999999</v>
      </c>
      <c r="D14">
        <v>4.0389299999999997</v>
      </c>
      <c r="E14">
        <v>4.0389299999999997</v>
      </c>
      <c r="F14" s="76">
        <v>-3.7456</v>
      </c>
      <c r="G14">
        <v>83</v>
      </c>
      <c r="H14">
        <v>25</v>
      </c>
      <c r="I14">
        <v>104</v>
      </c>
      <c r="J14">
        <v>73</v>
      </c>
      <c r="K14">
        <v>73</v>
      </c>
      <c r="L14">
        <v>104</v>
      </c>
      <c r="M14">
        <v>73</v>
      </c>
      <c r="N14">
        <v>104</v>
      </c>
      <c r="O14">
        <v>32</v>
      </c>
      <c r="P14">
        <v>32</v>
      </c>
      <c r="Q14">
        <v>32</v>
      </c>
    </row>
    <row r="15" spans="1:17" x14ac:dyDescent="0.4">
      <c r="A15" t="s">
        <v>155</v>
      </c>
      <c r="B15">
        <v>14</v>
      </c>
      <c r="C15">
        <v>28.085000000000001</v>
      </c>
      <c r="D15">
        <v>3.8694839999999999</v>
      </c>
      <c r="E15">
        <v>3.8694839999999999</v>
      </c>
      <c r="F15">
        <v>-4.8937999999999997</v>
      </c>
      <c r="G15">
        <v>83</v>
      </c>
      <c r="H15">
        <v>-9</v>
      </c>
      <c r="I15">
        <v>28</v>
      </c>
      <c r="J15">
        <v>110</v>
      </c>
      <c r="K15">
        <v>110</v>
      </c>
      <c r="L15">
        <v>28</v>
      </c>
      <c r="M15">
        <v>110</v>
      </c>
      <c r="N15">
        <v>28</v>
      </c>
      <c r="O15">
        <v>11</v>
      </c>
      <c r="P15">
        <v>11</v>
      </c>
      <c r="Q15">
        <v>11</v>
      </c>
    </row>
    <row r="16" spans="1:17" x14ac:dyDescent="0.4">
      <c r="A16" t="s">
        <v>156</v>
      </c>
      <c r="B16">
        <v>15</v>
      </c>
      <c r="C16">
        <v>30.974</v>
      </c>
    </row>
    <row r="17" spans="1:17" x14ac:dyDescent="0.4">
      <c r="A17" t="s">
        <v>158</v>
      </c>
      <c r="B17">
        <v>16</v>
      </c>
      <c r="C17">
        <v>32.06</v>
      </c>
      <c r="D17">
        <v>3.9876239999999998</v>
      </c>
      <c r="E17">
        <v>3.9876239999999998</v>
      </c>
      <c r="F17">
        <v>-2.8351999999999999</v>
      </c>
      <c r="G17">
        <v>112</v>
      </c>
      <c r="H17">
        <v>-53</v>
      </c>
      <c r="I17">
        <v>35</v>
      </c>
      <c r="J17">
        <v>150</v>
      </c>
      <c r="K17">
        <v>150</v>
      </c>
      <c r="L17">
        <v>35</v>
      </c>
      <c r="M17">
        <v>150</v>
      </c>
      <c r="N17">
        <v>35</v>
      </c>
      <c r="O17">
        <v>-49</v>
      </c>
      <c r="P17">
        <v>-49</v>
      </c>
      <c r="Q17">
        <v>-49</v>
      </c>
    </row>
    <row r="18" spans="1:17" x14ac:dyDescent="0.4">
      <c r="A18" t="s">
        <v>157</v>
      </c>
      <c r="B18">
        <v>17</v>
      </c>
      <c r="C18">
        <v>35.450000000000003</v>
      </c>
    </row>
    <row r="19" spans="1:17" x14ac:dyDescent="0.4">
      <c r="A19" t="s">
        <v>159</v>
      </c>
      <c r="B19">
        <v>18</v>
      </c>
      <c r="C19">
        <v>39.948</v>
      </c>
      <c r="D19">
        <v>5.6407720000000001</v>
      </c>
      <c r="E19">
        <v>5.6407720000000001</v>
      </c>
      <c r="F19">
        <v>-6.88E-2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</row>
    <row r="20" spans="1:17" x14ac:dyDescent="0.4">
      <c r="A20" t="s">
        <v>160</v>
      </c>
      <c r="B20">
        <v>19</v>
      </c>
      <c r="C20">
        <v>39.097999999999999</v>
      </c>
      <c r="D20">
        <v>6.6557339999999998</v>
      </c>
      <c r="E20">
        <v>6.6557339999999998</v>
      </c>
      <c r="F20">
        <v>-1.0981000000000001</v>
      </c>
      <c r="G20">
        <v>4</v>
      </c>
      <c r="H20">
        <v>1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161</v>
      </c>
      <c r="B21">
        <v>20</v>
      </c>
      <c r="C21">
        <v>40.078000000000003</v>
      </c>
      <c r="D21">
        <v>5.5073699999999999</v>
      </c>
      <c r="E21">
        <v>5.5073699999999999</v>
      </c>
      <c r="F21">
        <v>-1.9984999999999999</v>
      </c>
      <c r="G21">
        <v>17</v>
      </c>
      <c r="H21">
        <v>10</v>
      </c>
      <c r="I21">
        <v>21</v>
      </c>
      <c r="J21">
        <v>15</v>
      </c>
      <c r="K21">
        <v>15</v>
      </c>
      <c r="L21">
        <v>21</v>
      </c>
      <c r="M21">
        <v>15</v>
      </c>
      <c r="N21">
        <v>21</v>
      </c>
      <c r="O21">
        <v>14</v>
      </c>
      <c r="P21">
        <v>14</v>
      </c>
      <c r="Q21">
        <v>14</v>
      </c>
    </row>
    <row r="22" spans="1:17" x14ac:dyDescent="0.4">
      <c r="A22" t="s">
        <v>162</v>
      </c>
      <c r="B22">
        <v>21</v>
      </c>
      <c r="C22">
        <v>44.956000000000003</v>
      </c>
      <c r="D22">
        <v>4.6189520000000002</v>
      </c>
      <c r="E22">
        <v>4.6189520000000002</v>
      </c>
      <c r="F22">
        <v>-6.2832999999999997</v>
      </c>
      <c r="G22">
        <v>51</v>
      </c>
      <c r="H22">
        <v>24</v>
      </c>
      <c r="I22">
        <v>67</v>
      </c>
      <c r="J22">
        <v>43</v>
      </c>
      <c r="K22">
        <v>43</v>
      </c>
      <c r="L22">
        <v>67</v>
      </c>
      <c r="M22">
        <v>43</v>
      </c>
      <c r="N22">
        <v>67</v>
      </c>
      <c r="O22">
        <v>32</v>
      </c>
      <c r="P22">
        <v>32</v>
      </c>
      <c r="Q22">
        <v>32</v>
      </c>
    </row>
    <row r="23" spans="1:17" x14ac:dyDescent="0.4">
      <c r="A23" t="s">
        <v>138</v>
      </c>
      <c r="B23">
        <v>22</v>
      </c>
      <c r="C23">
        <v>47.866999999999997</v>
      </c>
      <c r="D23">
        <v>4.1090660000000003</v>
      </c>
      <c r="E23">
        <v>4.1090660000000003</v>
      </c>
      <c r="F23">
        <v>-7.8334999999999999</v>
      </c>
      <c r="G23">
        <v>107</v>
      </c>
      <c r="H23">
        <v>38</v>
      </c>
      <c r="I23">
        <v>123</v>
      </c>
      <c r="J23">
        <v>99</v>
      </c>
      <c r="K23">
        <v>99</v>
      </c>
      <c r="L23">
        <v>123</v>
      </c>
      <c r="M23">
        <v>99</v>
      </c>
      <c r="N23">
        <v>123</v>
      </c>
      <c r="O23">
        <v>55</v>
      </c>
      <c r="P23">
        <v>55</v>
      </c>
      <c r="Q23">
        <v>55</v>
      </c>
    </row>
    <row r="24" spans="1:17" x14ac:dyDescent="0.4">
      <c r="A24" t="s">
        <v>135</v>
      </c>
      <c r="B24">
        <v>23</v>
      </c>
      <c r="C24">
        <v>50.942</v>
      </c>
      <c r="D24">
        <v>3.8190879999999998</v>
      </c>
      <c r="E24">
        <v>3.8190879999999998</v>
      </c>
      <c r="F24">
        <v>-8.8367000000000004</v>
      </c>
      <c r="G24">
        <v>179</v>
      </c>
      <c r="H24">
        <v>-44</v>
      </c>
      <c r="I24">
        <v>20</v>
      </c>
      <c r="J24">
        <v>259</v>
      </c>
      <c r="K24">
        <v>259</v>
      </c>
      <c r="L24">
        <v>20</v>
      </c>
      <c r="M24">
        <v>259</v>
      </c>
      <c r="N24">
        <v>20</v>
      </c>
      <c r="O24">
        <v>6</v>
      </c>
      <c r="P24">
        <v>6</v>
      </c>
      <c r="Q24">
        <v>6</v>
      </c>
    </row>
    <row r="25" spans="1:17" x14ac:dyDescent="0.4">
      <c r="A25" t="s">
        <v>140</v>
      </c>
      <c r="B25">
        <v>24</v>
      </c>
      <c r="C25">
        <v>51.996000000000002</v>
      </c>
      <c r="D25">
        <v>3.6244160000000001</v>
      </c>
      <c r="E25">
        <v>3.6244160000000001</v>
      </c>
      <c r="F25">
        <v>-9.2486999999999995</v>
      </c>
      <c r="G25">
        <v>241</v>
      </c>
      <c r="H25">
        <v>-90</v>
      </c>
      <c r="I25">
        <v>45</v>
      </c>
      <c r="J25">
        <v>339</v>
      </c>
      <c r="K25">
        <v>339</v>
      </c>
      <c r="L25">
        <v>45</v>
      </c>
      <c r="M25">
        <v>339</v>
      </c>
      <c r="N25">
        <v>45</v>
      </c>
      <c r="O25">
        <v>-53</v>
      </c>
      <c r="P25">
        <v>-53</v>
      </c>
      <c r="Q25">
        <v>-53</v>
      </c>
    </row>
    <row r="26" spans="1:17" x14ac:dyDescent="0.4">
      <c r="A26" t="s">
        <v>163</v>
      </c>
      <c r="B26">
        <v>25</v>
      </c>
      <c r="C26">
        <v>54.938000000000002</v>
      </c>
      <c r="D26">
        <v>3.509512</v>
      </c>
      <c r="E26">
        <v>3.509512</v>
      </c>
      <c r="F26">
        <v>-9.0786999999999995</v>
      </c>
      <c r="G26">
        <v>280</v>
      </c>
      <c r="H26">
        <v>139</v>
      </c>
      <c r="I26">
        <v>393</v>
      </c>
      <c r="J26">
        <v>223</v>
      </c>
      <c r="K26">
        <v>223</v>
      </c>
      <c r="L26">
        <v>393</v>
      </c>
      <c r="M26">
        <v>223</v>
      </c>
      <c r="N26">
        <v>393</v>
      </c>
      <c r="O26">
        <v>174</v>
      </c>
      <c r="P26">
        <v>174</v>
      </c>
      <c r="Q26">
        <v>174</v>
      </c>
    </row>
    <row r="27" spans="1:17" x14ac:dyDescent="0.4">
      <c r="A27" t="s">
        <v>139</v>
      </c>
      <c r="B27">
        <v>26</v>
      </c>
      <c r="C27">
        <v>55.844999999999999</v>
      </c>
      <c r="D27">
        <v>3.6457000000000002</v>
      </c>
      <c r="E27">
        <v>3.6457000000000002</v>
      </c>
      <c r="F27">
        <v>-8.3155999999999999</v>
      </c>
      <c r="G27">
        <v>173</v>
      </c>
      <c r="H27">
        <v>-36</v>
      </c>
      <c r="I27">
        <v>-4</v>
      </c>
      <c r="J27">
        <v>262</v>
      </c>
      <c r="K27">
        <v>262</v>
      </c>
      <c r="L27">
        <v>-4</v>
      </c>
      <c r="M27">
        <v>262</v>
      </c>
      <c r="N27">
        <v>-4</v>
      </c>
      <c r="O27">
        <v>28</v>
      </c>
      <c r="P27">
        <v>28</v>
      </c>
      <c r="Q27">
        <v>28</v>
      </c>
    </row>
    <row r="28" spans="1:17" x14ac:dyDescent="0.4">
      <c r="A28" t="s">
        <v>164</v>
      </c>
      <c r="B28">
        <v>27</v>
      </c>
      <c r="C28">
        <v>58.933</v>
      </c>
      <c r="D28">
        <v>3.5210520000000001</v>
      </c>
      <c r="E28">
        <v>3.5210520000000001</v>
      </c>
      <c r="F28">
        <v>-7.0922000000000001</v>
      </c>
      <c r="G28">
        <v>212</v>
      </c>
      <c r="H28">
        <v>112</v>
      </c>
      <c r="I28">
        <v>289</v>
      </c>
      <c r="J28">
        <v>173</v>
      </c>
      <c r="K28">
        <v>173</v>
      </c>
      <c r="L28">
        <v>289</v>
      </c>
      <c r="M28">
        <v>173</v>
      </c>
      <c r="N28">
        <v>289</v>
      </c>
      <c r="O28">
        <v>148</v>
      </c>
      <c r="P28">
        <v>148</v>
      </c>
      <c r="Q28">
        <v>148</v>
      </c>
    </row>
    <row r="29" spans="1:17" x14ac:dyDescent="0.4">
      <c r="A29" t="s">
        <v>165</v>
      </c>
      <c r="B29">
        <v>28</v>
      </c>
      <c r="C29">
        <v>58.692999999999998</v>
      </c>
      <c r="D29">
        <v>3.505798</v>
      </c>
      <c r="E29">
        <v>3.505798</v>
      </c>
      <c r="F29">
        <v>-5.7797999999999998</v>
      </c>
      <c r="G29">
        <v>198</v>
      </c>
      <c r="H29">
        <v>102</v>
      </c>
      <c r="I29">
        <v>276</v>
      </c>
      <c r="J29">
        <v>159</v>
      </c>
      <c r="K29">
        <v>159</v>
      </c>
      <c r="L29">
        <v>276</v>
      </c>
      <c r="M29">
        <v>159</v>
      </c>
      <c r="N29">
        <v>276</v>
      </c>
      <c r="O29">
        <v>132</v>
      </c>
      <c r="P29">
        <v>132</v>
      </c>
      <c r="Q29">
        <v>132</v>
      </c>
    </row>
    <row r="30" spans="1:17" x14ac:dyDescent="0.4">
      <c r="A30" t="s">
        <v>166</v>
      </c>
      <c r="B30">
        <v>29</v>
      </c>
      <c r="C30">
        <v>63.545999999999999</v>
      </c>
      <c r="D30">
        <v>3.6212620000000002</v>
      </c>
      <c r="E30">
        <v>3.6212620000000002</v>
      </c>
      <c r="F30">
        <v>-4.0991999999999997</v>
      </c>
      <c r="G30">
        <v>145</v>
      </c>
      <c r="H30">
        <v>57</v>
      </c>
      <c r="I30">
        <v>180</v>
      </c>
      <c r="J30">
        <v>127</v>
      </c>
      <c r="K30">
        <v>127</v>
      </c>
      <c r="L30">
        <v>180</v>
      </c>
      <c r="M30">
        <v>127</v>
      </c>
      <c r="N30">
        <v>180</v>
      </c>
      <c r="O30">
        <v>78</v>
      </c>
      <c r="P30">
        <v>78</v>
      </c>
      <c r="Q30">
        <v>78</v>
      </c>
    </row>
    <row r="31" spans="1:17" x14ac:dyDescent="0.4">
      <c r="A31" t="s">
        <v>167</v>
      </c>
      <c r="B31">
        <v>30</v>
      </c>
      <c r="C31">
        <v>65.38</v>
      </c>
    </row>
    <row r="32" spans="1:17" x14ac:dyDescent="0.4">
      <c r="A32" t="s">
        <v>168</v>
      </c>
      <c r="B32">
        <v>31</v>
      </c>
      <c r="C32">
        <v>69.722999999999999</v>
      </c>
    </row>
    <row r="33" spans="1:17" x14ac:dyDescent="0.4">
      <c r="A33" t="s">
        <v>169</v>
      </c>
      <c r="B33">
        <v>32</v>
      </c>
      <c r="C33">
        <v>72.63</v>
      </c>
      <c r="D33">
        <v>4.2838039999999999</v>
      </c>
      <c r="E33">
        <v>4.2838039999999999</v>
      </c>
      <c r="F33">
        <v>-4.2889999999999997</v>
      </c>
      <c r="G33">
        <v>65</v>
      </c>
      <c r="H33">
        <v>11</v>
      </c>
      <c r="I33">
        <v>58</v>
      </c>
      <c r="J33">
        <v>69</v>
      </c>
      <c r="K33">
        <v>69</v>
      </c>
      <c r="L33">
        <v>58</v>
      </c>
      <c r="M33">
        <v>69</v>
      </c>
      <c r="N33">
        <v>58</v>
      </c>
      <c r="O33">
        <v>22</v>
      </c>
      <c r="P33">
        <v>22</v>
      </c>
      <c r="Q33">
        <v>22</v>
      </c>
    </row>
    <row r="34" spans="1:17" x14ac:dyDescent="0.4">
      <c r="A34" t="s">
        <v>170</v>
      </c>
      <c r="B34">
        <v>33</v>
      </c>
      <c r="C34">
        <v>74.921999999999997</v>
      </c>
    </row>
    <row r="35" spans="1:17" x14ac:dyDescent="0.4">
      <c r="A35" t="s">
        <v>171</v>
      </c>
      <c r="B35">
        <v>34</v>
      </c>
      <c r="C35">
        <v>78.971000000000004</v>
      </c>
    </row>
    <row r="36" spans="1:17" x14ac:dyDescent="0.4">
      <c r="A36" t="s">
        <v>172</v>
      </c>
      <c r="B36">
        <v>35</v>
      </c>
      <c r="C36">
        <v>79.903999999999996</v>
      </c>
    </row>
    <row r="37" spans="1:17" x14ac:dyDescent="0.4">
      <c r="A37" t="s">
        <v>173</v>
      </c>
      <c r="B37">
        <v>36</v>
      </c>
      <c r="C37">
        <v>83.798000000000002</v>
      </c>
    </row>
    <row r="38" spans="1:17" x14ac:dyDescent="0.4">
      <c r="A38" t="s">
        <v>174</v>
      </c>
      <c r="B38">
        <v>37</v>
      </c>
      <c r="C38">
        <v>85.468000000000004</v>
      </c>
      <c r="D38">
        <v>7.1372020000000003</v>
      </c>
      <c r="E38">
        <v>7.1372020000000003</v>
      </c>
      <c r="F38">
        <v>-0.96519999999999995</v>
      </c>
      <c r="G38">
        <v>3</v>
      </c>
      <c r="H38">
        <v>0</v>
      </c>
      <c r="I38">
        <v>1</v>
      </c>
      <c r="J38">
        <v>4</v>
      </c>
      <c r="K38">
        <v>4</v>
      </c>
      <c r="L38">
        <v>1</v>
      </c>
      <c r="M38">
        <v>4</v>
      </c>
      <c r="N38">
        <v>1</v>
      </c>
      <c r="O38">
        <v>2</v>
      </c>
      <c r="P38">
        <v>2</v>
      </c>
      <c r="Q38">
        <v>2</v>
      </c>
    </row>
    <row r="39" spans="1:17" x14ac:dyDescent="0.4">
      <c r="A39" t="s">
        <v>175</v>
      </c>
      <c r="B39">
        <v>38</v>
      </c>
      <c r="C39">
        <v>87.62</v>
      </c>
      <c r="D39">
        <v>6.0225299999999997</v>
      </c>
      <c r="E39">
        <v>6.0225299999999997</v>
      </c>
      <c r="F39">
        <v>-1.6831</v>
      </c>
      <c r="G39">
        <v>12</v>
      </c>
      <c r="H39">
        <v>8</v>
      </c>
      <c r="I39">
        <v>15</v>
      </c>
      <c r="J39">
        <v>10</v>
      </c>
      <c r="K39">
        <v>10</v>
      </c>
      <c r="L39">
        <v>15</v>
      </c>
      <c r="M39">
        <v>10</v>
      </c>
      <c r="N39">
        <v>15</v>
      </c>
      <c r="O39">
        <v>12</v>
      </c>
      <c r="P39">
        <v>12</v>
      </c>
      <c r="Q39">
        <v>12</v>
      </c>
    </row>
    <row r="40" spans="1:17" x14ac:dyDescent="0.4">
      <c r="A40" t="s">
        <v>176</v>
      </c>
      <c r="B40">
        <v>39</v>
      </c>
      <c r="C40">
        <v>88.906000000000006</v>
      </c>
      <c r="D40">
        <v>5.0626420000000003</v>
      </c>
      <c r="E40">
        <v>5.0626420000000003</v>
      </c>
      <c r="F40">
        <v>-6.4424999999999999</v>
      </c>
      <c r="G40">
        <v>39</v>
      </c>
      <c r="H40">
        <v>25</v>
      </c>
      <c r="I40">
        <v>58</v>
      </c>
      <c r="J40">
        <v>30</v>
      </c>
      <c r="K40">
        <v>30</v>
      </c>
      <c r="L40">
        <v>58</v>
      </c>
      <c r="M40">
        <v>30</v>
      </c>
      <c r="N40">
        <v>58</v>
      </c>
      <c r="O40">
        <v>32</v>
      </c>
      <c r="P40">
        <v>32</v>
      </c>
      <c r="Q40">
        <v>32</v>
      </c>
    </row>
    <row r="41" spans="1:17" x14ac:dyDescent="0.4">
      <c r="A41" t="s">
        <v>177</v>
      </c>
      <c r="B41">
        <v>40</v>
      </c>
      <c r="C41">
        <v>91.224000000000004</v>
      </c>
      <c r="D41">
        <v>4.5367980000000001</v>
      </c>
      <c r="E41">
        <v>4.5367980000000001</v>
      </c>
      <c r="F41">
        <v>-8.5068999999999999</v>
      </c>
      <c r="G41">
        <v>90</v>
      </c>
      <c r="H41">
        <v>34</v>
      </c>
      <c r="I41">
        <v>113</v>
      </c>
      <c r="J41">
        <v>79</v>
      </c>
      <c r="K41">
        <v>79</v>
      </c>
      <c r="L41">
        <v>113</v>
      </c>
      <c r="M41">
        <v>79</v>
      </c>
      <c r="N41">
        <v>113</v>
      </c>
      <c r="O41">
        <v>44</v>
      </c>
      <c r="P41">
        <v>44</v>
      </c>
      <c r="Q41">
        <v>44</v>
      </c>
    </row>
    <row r="42" spans="1:17" x14ac:dyDescent="0.4">
      <c r="A42" t="s">
        <v>136</v>
      </c>
      <c r="B42">
        <v>41</v>
      </c>
      <c r="C42">
        <v>92.906000000000006</v>
      </c>
      <c r="D42">
        <v>4.231026</v>
      </c>
      <c r="E42">
        <v>4.231026</v>
      </c>
      <c r="F42">
        <v>-9.7811000000000003</v>
      </c>
      <c r="G42">
        <v>167</v>
      </c>
      <c r="H42">
        <v>-79</v>
      </c>
      <c r="I42">
        <v>-32</v>
      </c>
      <c r="J42">
        <v>266</v>
      </c>
      <c r="K42">
        <v>266</v>
      </c>
      <c r="L42">
        <v>-32</v>
      </c>
      <c r="M42">
        <v>266</v>
      </c>
      <c r="N42">
        <v>-32</v>
      </c>
      <c r="O42">
        <v>-32</v>
      </c>
      <c r="P42">
        <v>-32</v>
      </c>
      <c r="Q42">
        <v>-32</v>
      </c>
    </row>
    <row r="43" spans="1:17" x14ac:dyDescent="0.4">
      <c r="A43" t="s">
        <v>141</v>
      </c>
      <c r="B43">
        <v>42</v>
      </c>
      <c r="C43">
        <v>95.95</v>
      </c>
      <c r="D43">
        <v>4.0119860000000003</v>
      </c>
      <c r="E43">
        <v>4.0119860000000003</v>
      </c>
      <c r="F43">
        <v>-10.4193</v>
      </c>
      <c r="G43">
        <v>243</v>
      </c>
      <c r="H43">
        <v>-46</v>
      </c>
      <c r="I43">
        <v>105</v>
      </c>
      <c r="J43">
        <v>312</v>
      </c>
      <c r="K43">
        <v>312</v>
      </c>
      <c r="L43">
        <v>105</v>
      </c>
      <c r="M43">
        <v>312</v>
      </c>
      <c r="N43">
        <v>105</v>
      </c>
      <c r="O43">
        <v>-7</v>
      </c>
      <c r="P43">
        <v>-7</v>
      </c>
      <c r="Q43">
        <v>-7</v>
      </c>
    </row>
    <row r="44" spans="1:17" x14ac:dyDescent="0.4">
      <c r="A44" t="s">
        <v>178</v>
      </c>
      <c r="B44">
        <v>43</v>
      </c>
      <c r="C44">
        <v>98</v>
      </c>
      <c r="D44">
        <v>3.8850380000000002</v>
      </c>
      <c r="E44">
        <v>3.8850380000000002</v>
      </c>
      <c r="F44" s="76">
        <v>-10.293799999999999</v>
      </c>
      <c r="G44">
        <v>376</v>
      </c>
      <c r="H44">
        <v>168</v>
      </c>
      <c r="I44">
        <v>538</v>
      </c>
      <c r="J44">
        <v>296</v>
      </c>
      <c r="K44">
        <v>296</v>
      </c>
      <c r="L44">
        <v>538</v>
      </c>
      <c r="M44">
        <v>296</v>
      </c>
      <c r="N44">
        <v>538</v>
      </c>
      <c r="O44">
        <v>199</v>
      </c>
      <c r="P44">
        <v>199</v>
      </c>
      <c r="Q44">
        <v>199</v>
      </c>
    </row>
    <row r="45" spans="1:17" x14ac:dyDescent="0.4">
      <c r="A45" t="s">
        <v>179</v>
      </c>
      <c r="B45">
        <v>44</v>
      </c>
      <c r="C45">
        <v>101.07</v>
      </c>
      <c r="D45">
        <v>3.825472</v>
      </c>
      <c r="E45">
        <v>3.825472</v>
      </c>
      <c r="F45">
        <v>-9.1651000000000007</v>
      </c>
      <c r="G45">
        <v>309</v>
      </c>
      <c r="H45">
        <v>196</v>
      </c>
      <c r="I45">
        <v>476</v>
      </c>
      <c r="J45">
        <v>226</v>
      </c>
      <c r="K45">
        <v>226</v>
      </c>
      <c r="L45">
        <v>476</v>
      </c>
      <c r="M45">
        <v>226</v>
      </c>
      <c r="N45">
        <v>473</v>
      </c>
      <c r="O45">
        <v>243</v>
      </c>
      <c r="P45">
        <v>243</v>
      </c>
      <c r="Q45">
        <v>243</v>
      </c>
    </row>
    <row r="46" spans="1:17" x14ac:dyDescent="0.4">
      <c r="A46" t="s">
        <v>180</v>
      </c>
      <c r="B46">
        <v>45</v>
      </c>
      <c r="C46">
        <v>102.91</v>
      </c>
      <c r="D46">
        <v>3.8438979999999998</v>
      </c>
      <c r="E46">
        <v>3.8438979999999998</v>
      </c>
      <c r="F46">
        <v>-7.3384999999999998</v>
      </c>
      <c r="G46">
        <v>253</v>
      </c>
      <c r="H46">
        <v>149</v>
      </c>
      <c r="I46">
        <v>397</v>
      </c>
      <c r="J46">
        <v>182</v>
      </c>
      <c r="K46">
        <v>182</v>
      </c>
      <c r="L46">
        <v>397</v>
      </c>
      <c r="M46">
        <v>182</v>
      </c>
      <c r="N46">
        <v>397</v>
      </c>
      <c r="O46">
        <v>177</v>
      </c>
      <c r="P46">
        <v>177</v>
      </c>
      <c r="Q46">
        <v>177</v>
      </c>
    </row>
    <row r="47" spans="1:17" x14ac:dyDescent="0.4">
      <c r="A47" t="s">
        <v>181</v>
      </c>
      <c r="B47">
        <v>46</v>
      </c>
      <c r="C47">
        <v>106.42</v>
      </c>
      <c r="D47">
        <v>3.9570660000000002</v>
      </c>
      <c r="E47">
        <v>3.9570660000000002</v>
      </c>
      <c r="F47">
        <v>-5.1764999999999999</v>
      </c>
      <c r="G47">
        <v>160</v>
      </c>
      <c r="H47">
        <v>50</v>
      </c>
      <c r="I47">
        <v>187</v>
      </c>
      <c r="J47">
        <v>147</v>
      </c>
      <c r="K47">
        <v>147</v>
      </c>
      <c r="L47">
        <v>187</v>
      </c>
      <c r="M47">
        <v>147</v>
      </c>
      <c r="N47">
        <v>187</v>
      </c>
      <c r="O47">
        <v>71</v>
      </c>
      <c r="P47">
        <v>71</v>
      </c>
      <c r="Q47">
        <v>71</v>
      </c>
    </row>
    <row r="48" spans="1:17" x14ac:dyDescent="0.4">
      <c r="A48" t="s">
        <v>182</v>
      </c>
      <c r="B48">
        <v>47</v>
      </c>
      <c r="C48">
        <v>107.87</v>
      </c>
      <c r="D48">
        <v>4.1605480000000004</v>
      </c>
      <c r="E48">
        <v>4.1605480000000004</v>
      </c>
      <c r="F48">
        <v>-2.8289</v>
      </c>
      <c r="G48">
        <v>88</v>
      </c>
      <c r="H48">
        <v>28</v>
      </c>
      <c r="I48">
        <v>100</v>
      </c>
      <c r="J48">
        <v>82</v>
      </c>
      <c r="K48">
        <v>82</v>
      </c>
      <c r="L48">
        <v>100</v>
      </c>
      <c r="M48">
        <v>82</v>
      </c>
      <c r="N48">
        <v>100</v>
      </c>
      <c r="O48">
        <v>41</v>
      </c>
      <c r="P48">
        <v>41</v>
      </c>
      <c r="Q48">
        <v>41</v>
      </c>
    </row>
    <row r="49" spans="1:17" x14ac:dyDescent="0.4">
      <c r="A49" t="s">
        <v>183</v>
      </c>
      <c r="B49">
        <v>48</v>
      </c>
      <c r="C49">
        <v>112.41</v>
      </c>
    </row>
    <row r="50" spans="1:17" x14ac:dyDescent="0.4">
      <c r="A50" t="s">
        <v>184</v>
      </c>
      <c r="B50">
        <v>49</v>
      </c>
      <c r="C50">
        <v>114.82</v>
      </c>
      <c r="D50">
        <v>4.7960539999999998</v>
      </c>
      <c r="E50">
        <v>4.7960539999999998</v>
      </c>
      <c r="F50">
        <v>-2.7149000000000001</v>
      </c>
      <c r="G50">
        <v>34</v>
      </c>
      <c r="H50">
        <v>5</v>
      </c>
      <c r="I50">
        <v>42</v>
      </c>
      <c r="J50">
        <v>23</v>
      </c>
      <c r="K50">
        <v>33</v>
      </c>
      <c r="L50">
        <v>42</v>
      </c>
      <c r="M50">
        <v>33</v>
      </c>
      <c r="N50">
        <v>43</v>
      </c>
      <c r="O50">
        <v>6</v>
      </c>
      <c r="P50">
        <v>6</v>
      </c>
      <c r="Q50">
        <v>3</v>
      </c>
    </row>
    <row r="51" spans="1:17" x14ac:dyDescent="0.4">
      <c r="A51" t="s">
        <v>185</v>
      </c>
      <c r="B51">
        <v>50</v>
      </c>
      <c r="C51">
        <v>118.71</v>
      </c>
      <c r="D51">
        <v>4.8133319999999999</v>
      </c>
      <c r="E51">
        <v>4.8133319999999999</v>
      </c>
      <c r="F51">
        <v>-3.9552999999999998</v>
      </c>
      <c r="G51">
        <v>93</v>
      </c>
      <c r="H51">
        <v>53</v>
      </c>
      <c r="I51">
        <v>178</v>
      </c>
      <c r="J51">
        <v>51</v>
      </c>
      <c r="K51">
        <v>51</v>
      </c>
      <c r="L51">
        <v>178</v>
      </c>
      <c r="M51">
        <v>51</v>
      </c>
      <c r="N51">
        <v>178</v>
      </c>
      <c r="O51">
        <v>46</v>
      </c>
      <c r="P51">
        <v>46</v>
      </c>
      <c r="Q51">
        <v>46</v>
      </c>
    </row>
    <row r="52" spans="1:17" x14ac:dyDescent="0.4">
      <c r="A52" t="s">
        <v>186</v>
      </c>
      <c r="B52">
        <v>51</v>
      </c>
      <c r="C52">
        <v>11.76</v>
      </c>
      <c r="D52">
        <v>4.7909160000000002</v>
      </c>
      <c r="E52">
        <v>4.7909160000000002</v>
      </c>
      <c r="F52">
        <v>-3.8006000000000002</v>
      </c>
      <c r="G52">
        <v>58</v>
      </c>
      <c r="H52">
        <v>-5</v>
      </c>
      <c r="I52">
        <v>34</v>
      </c>
      <c r="J52">
        <v>70</v>
      </c>
      <c r="K52">
        <v>70</v>
      </c>
      <c r="L52">
        <v>34</v>
      </c>
      <c r="M52">
        <v>70</v>
      </c>
      <c r="N52">
        <v>34</v>
      </c>
      <c r="O52">
        <v>4</v>
      </c>
      <c r="P52">
        <v>4</v>
      </c>
      <c r="Q52">
        <v>4</v>
      </c>
    </row>
    <row r="53" spans="1:17" x14ac:dyDescent="0.4">
      <c r="A53" t="s">
        <v>187</v>
      </c>
      <c r="B53">
        <v>52</v>
      </c>
      <c r="C53">
        <v>127.6</v>
      </c>
    </row>
    <row r="54" spans="1:17" x14ac:dyDescent="0.4">
      <c r="A54" t="s">
        <v>188</v>
      </c>
      <c r="B54">
        <v>53</v>
      </c>
      <c r="C54">
        <v>126.9</v>
      </c>
    </row>
    <row r="55" spans="1:17" x14ac:dyDescent="0.4">
      <c r="A55" t="s">
        <v>191</v>
      </c>
      <c r="B55">
        <v>54</v>
      </c>
      <c r="C55">
        <v>131.29</v>
      </c>
    </row>
    <row r="56" spans="1:17" x14ac:dyDescent="0.4">
      <c r="A56" t="s">
        <v>189</v>
      </c>
      <c r="B56">
        <v>55</v>
      </c>
      <c r="C56">
        <v>132.91</v>
      </c>
    </row>
    <row r="57" spans="1:17" x14ac:dyDescent="0.4">
      <c r="A57" t="s">
        <v>190</v>
      </c>
      <c r="B57">
        <v>56</v>
      </c>
      <c r="C57">
        <v>137.33000000000001</v>
      </c>
    </row>
    <row r="58" spans="1:17" x14ac:dyDescent="0.4">
      <c r="A58" t="s">
        <v>192</v>
      </c>
      <c r="B58">
        <v>57</v>
      </c>
      <c r="C58">
        <v>138.91</v>
      </c>
      <c r="D58">
        <v>5.2910339999999998</v>
      </c>
      <c r="E58">
        <v>5.2910339999999998</v>
      </c>
      <c r="F58">
        <v>-4.9352999999999998</v>
      </c>
      <c r="G58">
        <v>23</v>
      </c>
      <c r="H58">
        <v>16</v>
      </c>
      <c r="I58">
        <v>36</v>
      </c>
      <c r="J58">
        <v>17</v>
      </c>
      <c r="K58">
        <v>17</v>
      </c>
      <c r="L58">
        <v>36</v>
      </c>
      <c r="M58">
        <v>17</v>
      </c>
      <c r="N58">
        <v>36</v>
      </c>
      <c r="O58">
        <v>20</v>
      </c>
      <c r="P58">
        <v>20</v>
      </c>
      <c r="Q58">
        <v>20</v>
      </c>
    </row>
    <row r="59" spans="1:17" x14ac:dyDescent="0.4">
      <c r="A59" t="s">
        <v>193</v>
      </c>
      <c r="B59">
        <v>58</v>
      </c>
      <c r="C59">
        <v>140.12</v>
      </c>
      <c r="D59">
        <v>4.7204360000000003</v>
      </c>
      <c r="E59">
        <v>4.7204360000000003</v>
      </c>
      <c r="F59">
        <v>-5.9314999999999998</v>
      </c>
      <c r="G59">
        <v>37</v>
      </c>
      <c r="H59">
        <v>40</v>
      </c>
      <c r="I59">
        <v>66</v>
      </c>
      <c r="J59">
        <v>23</v>
      </c>
      <c r="K59">
        <v>23</v>
      </c>
      <c r="L59">
        <v>66</v>
      </c>
      <c r="M59">
        <v>23</v>
      </c>
      <c r="N59">
        <v>66</v>
      </c>
      <c r="O59">
        <v>52</v>
      </c>
      <c r="P59">
        <v>52</v>
      </c>
      <c r="Q59">
        <v>52</v>
      </c>
    </row>
    <row r="60" spans="1:17" x14ac:dyDescent="0.4">
      <c r="A60" t="s">
        <v>194</v>
      </c>
      <c r="B60">
        <v>59</v>
      </c>
      <c r="C60">
        <v>140.91</v>
      </c>
      <c r="D60">
        <v>5.2685040000000001</v>
      </c>
      <c r="E60">
        <v>5.2685040000000001</v>
      </c>
      <c r="F60">
        <v>-4.7728999999999999</v>
      </c>
      <c r="G60">
        <v>32</v>
      </c>
      <c r="H60">
        <v>19</v>
      </c>
      <c r="I60">
        <v>46</v>
      </c>
      <c r="J60">
        <v>25</v>
      </c>
      <c r="K60">
        <v>25</v>
      </c>
      <c r="L60">
        <v>46</v>
      </c>
      <c r="M60">
        <v>25</v>
      </c>
      <c r="N60">
        <v>46</v>
      </c>
      <c r="O60">
        <v>24</v>
      </c>
      <c r="P60">
        <v>24</v>
      </c>
      <c r="Q60">
        <v>24</v>
      </c>
    </row>
    <row r="61" spans="1:17" x14ac:dyDescent="0.4">
      <c r="A61" t="s">
        <v>195</v>
      </c>
      <c r="B61">
        <v>60</v>
      </c>
      <c r="C61">
        <v>144.24</v>
      </c>
      <c r="D61">
        <v>5.2158480000000003</v>
      </c>
      <c r="E61">
        <v>5.2158480000000003</v>
      </c>
      <c r="F61">
        <v>-4.7591000000000001</v>
      </c>
      <c r="G61">
        <v>34</v>
      </c>
      <c r="H61">
        <v>21</v>
      </c>
      <c r="I61">
        <v>51</v>
      </c>
      <c r="J61">
        <v>25</v>
      </c>
      <c r="K61">
        <v>25</v>
      </c>
      <c r="L61">
        <v>51</v>
      </c>
      <c r="M61">
        <v>25</v>
      </c>
      <c r="N61">
        <v>51</v>
      </c>
      <c r="O61">
        <v>26</v>
      </c>
      <c r="P61">
        <v>26</v>
      </c>
      <c r="Q61">
        <v>26</v>
      </c>
    </row>
    <row r="62" spans="1:17" x14ac:dyDescent="0.4">
      <c r="A62" t="s">
        <v>196</v>
      </c>
      <c r="B62">
        <v>61</v>
      </c>
      <c r="C62">
        <v>145</v>
      </c>
    </row>
    <row r="63" spans="1:17" x14ac:dyDescent="0.4">
      <c r="A63" t="s">
        <v>197</v>
      </c>
      <c r="B63">
        <v>62</v>
      </c>
      <c r="C63">
        <v>150.36000000000001</v>
      </c>
      <c r="D63">
        <v>5.1556959999999998</v>
      </c>
      <c r="E63">
        <v>5.1556959999999998</v>
      </c>
      <c r="F63">
        <v>-4.7081</v>
      </c>
      <c r="G63">
        <v>37</v>
      </c>
      <c r="H63">
        <v>24</v>
      </c>
      <c r="I63">
        <v>57</v>
      </c>
      <c r="J63">
        <v>27</v>
      </c>
      <c r="K63">
        <v>27</v>
      </c>
      <c r="L63">
        <v>56</v>
      </c>
      <c r="M63">
        <v>28</v>
      </c>
      <c r="N63">
        <v>56</v>
      </c>
      <c r="O63">
        <v>31</v>
      </c>
      <c r="P63">
        <v>31</v>
      </c>
      <c r="Q63">
        <v>31</v>
      </c>
    </row>
    <row r="64" spans="1:17" x14ac:dyDescent="0.4">
      <c r="A64" t="s">
        <v>198</v>
      </c>
      <c r="B64">
        <v>63</v>
      </c>
      <c r="C64">
        <v>151.96</v>
      </c>
    </row>
    <row r="65" spans="1:17" x14ac:dyDescent="0.4">
      <c r="A65" t="s">
        <v>199</v>
      </c>
      <c r="B65">
        <v>64</v>
      </c>
      <c r="C65">
        <v>157.25</v>
      </c>
    </row>
    <row r="66" spans="1:17" x14ac:dyDescent="0.4">
      <c r="A66" t="s">
        <v>200</v>
      </c>
      <c r="B66">
        <v>65</v>
      </c>
      <c r="C66">
        <v>158.93</v>
      </c>
      <c r="D66">
        <v>5.0358580000000002</v>
      </c>
      <c r="E66">
        <v>5.0358580000000002</v>
      </c>
      <c r="F66">
        <v>-4.6154999999999999</v>
      </c>
      <c r="G66">
        <v>41</v>
      </c>
      <c r="H66">
        <v>27</v>
      </c>
      <c r="I66">
        <v>62</v>
      </c>
      <c r="J66">
        <v>30</v>
      </c>
      <c r="K66">
        <v>30</v>
      </c>
      <c r="L66">
        <v>62</v>
      </c>
      <c r="M66">
        <v>30</v>
      </c>
      <c r="N66">
        <v>62</v>
      </c>
      <c r="O66">
        <v>34</v>
      </c>
      <c r="P66">
        <v>34</v>
      </c>
      <c r="Q66">
        <v>34</v>
      </c>
    </row>
    <row r="67" spans="1:17" x14ac:dyDescent="0.4">
      <c r="A67" t="s">
        <v>201</v>
      </c>
      <c r="B67">
        <v>66</v>
      </c>
      <c r="C67">
        <v>162.5</v>
      </c>
      <c r="D67">
        <v>5.0117380000000002</v>
      </c>
      <c r="E67">
        <v>5.0117380000000002</v>
      </c>
      <c r="F67">
        <v>-4.5854999999999997</v>
      </c>
      <c r="G67">
        <v>41</v>
      </c>
      <c r="H67">
        <v>28</v>
      </c>
      <c r="I67">
        <v>63</v>
      </c>
      <c r="J67">
        <v>30</v>
      </c>
      <c r="K67">
        <v>30</v>
      </c>
      <c r="L67">
        <v>63</v>
      </c>
      <c r="M67">
        <v>30</v>
      </c>
      <c r="N67">
        <v>63</v>
      </c>
      <c r="O67">
        <v>35</v>
      </c>
      <c r="P67">
        <v>35</v>
      </c>
      <c r="Q67">
        <v>35</v>
      </c>
    </row>
    <row r="68" spans="1:17" x14ac:dyDescent="0.4">
      <c r="A68" t="s">
        <v>202</v>
      </c>
      <c r="B68">
        <v>67</v>
      </c>
      <c r="C68">
        <v>164.93</v>
      </c>
    </row>
    <row r="69" spans="1:17" x14ac:dyDescent="0.4">
      <c r="A69" t="s">
        <v>203</v>
      </c>
      <c r="B69">
        <v>68</v>
      </c>
      <c r="C69">
        <v>167.26</v>
      </c>
      <c r="D69">
        <v>4.9592619999999998</v>
      </c>
      <c r="E69">
        <v>4.9592619999999998</v>
      </c>
      <c r="F69">
        <v>-4.5407999999999999</v>
      </c>
      <c r="G69">
        <v>42</v>
      </c>
      <c r="H69">
        <v>28</v>
      </c>
      <c r="I69">
        <v>66</v>
      </c>
      <c r="J69">
        <v>31</v>
      </c>
      <c r="K69">
        <v>31</v>
      </c>
      <c r="L69">
        <v>66</v>
      </c>
      <c r="M69">
        <v>31</v>
      </c>
      <c r="N69">
        <v>66</v>
      </c>
      <c r="O69">
        <v>35</v>
      </c>
      <c r="P69">
        <v>35</v>
      </c>
      <c r="Q69">
        <v>35</v>
      </c>
    </row>
    <row r="70" spans="1:17" x14ac:dyDescent="0.4">
      <c r="A70" t="s">
        <v>204</v>
      </c>
      <c r="B70">
        <v>69</v>
      </c>
      <c r="C70">
        <v>168.93</v>
      </c>
    </row>
    <row r="71" spans="1:17" x14ac:dyDescent="0.4">
      <c r="A71" t="s">
        <v>205</v>
      </c>
      <c r="B71">
        <v>70</v>
      </c>
      <c r="C71">
        <v>173.05</v>
      </c>
      <c r="D71">
        <v>5.4492500000000001</v>
      </c>
      <c r="E71">
        <v>5.4492500000000001</v>
      </c>
      <c r="F71">
        <v>-1.5367999999999999</v>
      </c>
      <c r="G71">
        <v>15</v>
      </c>
      <c r="H71">
        <v>12</v>
      </c>
      <c r="I71">
        <v>20</v>
      </c>
      <c r="J71">
        <v>13</v>
      </c>
      <c r="K71">
        <v>13</v>
      </c>
      <c r="L71">
        <v>20</v>
      </c>
      <c r="M71">
        <v>13</v>
      </c>
      <c r="N71">
        <v>20</v>
      </c>
      <c r="O71">
        <v>18</v>
      </c>
      <c r="P71">
        <v>18</v>
      </c>
      <c r="Q71">
        <v>18</v>
      </c>
    </row>
    <row r="72" spans="1:17" x14ac:dyDescent="0.4">
      <c r="A72" t="s">
        <v>206</v>
      </c>
      <c r="B72">
        <v>71</v>
      </c>
      <c r="C72">
        <v>174.97</v>
      </c>
    </row>
    <row r="73" spans="1:17" x14ac:dyDescent="0.4">
      <c r="A73" t="s">
        <v>207</v>
      </c>
      <c r="B73">
        <v>72</v>
      </c>
      <c r="C73">
        <v>178.49</v>
      </c>
      <c r="D73">
        <v>4.4814699999999998</v>
      </c>
      <c r="E73">
        <v>4.4814699999999998</v>
      </c>
      <c r="F73">
        <v>-9.8841000000000001</v>
      </c>
      <c r="G73">
        <v>101</v>
      </c>
      <c r="H73">
        <v>48</v>
      </c>
      <c r="I73">
        <v>138</v>
      </c>
      <c r="J73">
        <v>83</v>
      </c>
      <c r="K73">
        <v>83</v>
      </c>
      <c r="L73">
        <v>138</v>
      </c>
      <c r="M73">
        <v>83</v>
      </c>
      <c r="N73">
        <v>138</v>
      </c>
      <c r="O73">
        <v>63</v>
      </c>
      <c r="P73">
        <v>63</v>
      </c>
      <c r="Q73">
        <v>63</v>
      </c>
    </row>
    <row r="74" spans="1:17" x14ac:dyDescent="0.4">
      <c r="A74" t="s">
        <v>137</v>
      </c>
      <c r="B74">
        <v>73</v>
      </c>
      <c r="C74">
        <v>180.95</v>
      </c>
      <c r="D74">
        <v>4.2268679999999996</v>
      </c>
      <c r="E74">
        <v>4.2268679999999996</v>
      </c>
      <c r="F74">
        <v>-11.6129</v>
      </c>
      <c r="G74">
        <v>194</v>
      </c>
      <c r="H74">
        <v>10</v>
      </c>
      <c r="I74">
        <v>132</v>
      </c>
      <c r="J74">
        <v>225</v>
      </c>
      <c r="K74">
        <v>225</v>
      </c>
      <c r="L74">
        <v>132</v>
      </c>
      <c r="M74">
        <v>225</v>
      </c>
      <c r="N74">
        <v>132</v>
      </c>
      <c r="O74">
        <v>47</v>
      </c>
      <c r="P74">
        <v>47</v>
      </c>
      <c r="Q74">
        <v>47</v>
      </c>
    </row>
    <row r="75" spans="1:17" x14ac:dyDescent="0.4">
      <c r="A75" t="s">
        <v>208</v>
      </c>
      <c r="B75">
        <v>74</v>
      </c>
      <c r="C75">
        <v>183.84</v>
      </c>
      <c r="D75">
        <v>4.0432620000000004</v>
      </c>
      <c r="E75">
        <v>4.0432620000000004</v>
      </c>
      <c r="F75">
        <v>-12.486700000000001</v>
      </c>
      <c r="G75">
        <v>283</v>
      </c>
      <c r="H75">
        <v>-108</v>
      </c>
      <c r="I75">
        <v>70</v>
      </c>
      <c r="J75">
        <v>389</v>
      </c>
      <c r="K75">
        <v>389</v>
      </c>
      <c r="L75">
        <v>70</v>
      </c>
      <c r="M75">
        <v>389</v>
      </c>
      <c r="N75">
        <v>70</v>
      </c>
      <c r="O75">
        <v>-74</v>
      </c>
      <c r="P75">
        <v>-74</v>
      </c>
      <c r="Q75">
        <v>-74</v>
      </c>
    </row>
    <row r="76" spans="1:17" x14ac:dyDescent="0.4">
      <c r="A76" t="s">
        <v>209</v>
      </c>
      <c r="B76">
        <v>75</v>
      </c>
      <c r="C76">
        <v>186.21</v>
      </c>
      <c r="D76">
        <v>3.9249520000000002</v>
      </c>
      <c r="E76">
        <v>3.9249520000000002</v>
      </c>
      <c r="F76">
        <v>-12.3818</v>
      </c>
      <c r="G76">
        <v>363</v>
      </c>
      <c r="H76">
        <v>190</v>
      </c>
      <c r="I76">
        <v>560</v>
      </c>
      <c r="J76">
        <v>265</v>
      </c>
      <c r="K76">
        <v>265</v>
      </c>
      <c r="L76">
        <v>560</v>
      </c>
      <c r="M76">
        <v>265</v>
      </c>
      <c r="N76">
        <v>560</v>
      </c>
      <c r="O76">
        <v>218</v>
      </c>
      <c r="P76">
        <v>218</v>
      </c>
      <c r="Q76">
        <v>218</v>
      </c>
    </row>
    <row r="77" spans="1:17" x14ac:dyDescent="0.4">
      <c r="A77" t="s">
        <v>210</v>
      </c>
      <c r="B77">
        <v>76</v>
      </c>
      <c r="C77">
        <v>190.23</v>
      </c>
      <c r="D77">
        <v>3.8634520000000001</v>
      </c>
      <c r="E77">
        <v>3.8634520000000001</v>
      </c>
      <c r="F77">
        <v>-11.093999999999999</v>
      </c>
      <c r="G77">
        <v>408</v>
      </c>
      <c r="H77">
        <v>256</v>
      </c>
      <c r="I77">
        <v>579</v>
      </c>
      <c r="J77">
        <v>323</v>
      </c>
      <c r="K77">
        <v>323</v>
      </c>
      <c r="L77">
        <v>579</v>
      </c>
      <c r="M77">
        <v>323</v>
      </c>
      <c r="N77">
        <v>579</v>
      </c>
      <c r="O77">
        <v>342</v>
      </c>
      <c r="P77">
        <v>342</v>
      </c>
      <c r="Q77">
        <v>342</v>
      </c>
    </row>
    <row r="78" spans="1:17" x14ac:dyDescent="0.4">
      <c r="A78" t="s">
        <v>211</v>
      </c>
      <c r="B78">
        <v>77</v>
      </c>
      <c r="C78">
        <v>192.22</v>
      </c>
      <c r="D78">
        <v>3.8757280000000001</v>
      </c>
      <c r="E78">
        <v>3.8757280000000001</v>
      </c>
      <c r="F78">
        <v>-8.8384</v>
      </c>
      <c r="G78">
        <v>346</v>
      </c>
      <c r="H78">
        <v>220</v>
      </c>
      <c r="I78">
        <v>576</v>
      </c>
      <c r="J78">
        <v>231</v>
      </c>
      <c r="K78">
        <v>231</v>
      </c>
      <c r="L78">
        <v>576</v>
      </c>
      <c r="M78">
        <v>231</v>
      </c>
      <c r="N78">
        <v>576</v>
      </c>
      <c r="O78">
        <v>252</v>
      </c>
      <c r="P78">
        <v>252</v>
      </c>
      <c r="Q78">
        <v>252</v>
      </c>
    </row>
    <row r="79" spans="1:17" x14ac:dyDescent="0.4">
      <c r="A79" t="s">
        <v>134</v>
      </c>
      <c r="B79">
        <v>78</v>
      </c>
      <c r="C79">
        <v>195.08</v>
      </c>
      <c r="D79">
        <v>3.9767700000000001</v>
      </c>
      <c r="E79">
        <v>3.9767700000000001</v>
      </c>
      <c r="F79" s="76">
        <v>-6.0709</v>
      </c>
      <c r="G79">
        <v>247</v>
      </c>
      <c r="H79">
        <v>49</v>
      </c>
      <c r="I79">
        <v>303</v>
      </c>
      <c r="J79">
        <v>220</v>
      </c>
      <c r="K79">
        <v>220</v>
      </c>
      <c r="L79">
        <v>303</v>
      </c>
      <c r="M79">
        <v>220</v>
      </c>
      <c r="N79">
        <v>303</v>
      </c>
      <c r="O79">
        <v>54</v>
      </c>
      <c r="P79">
        <v>54</v>
      </c>
      <c r="Q79">
        <v>54</v>
      </c>
    </row>
    <row r="80" spans="1:17" x14ac:dyDescent="0.4">
      <c r="A80" t="s">
        <v>212</v>
      </c>
      <c r="B80">
        <v>79</v>
      </c>
      <c r="C80">
        <v>196.97</v>
      </c>
      <c r="D80">
        <v>4.1712879999999997</v>
      </c>
      <c r="E80">
        <v>4.1712879999999997</v>
      </c>
      <c r="F80">
        <v>-3.2738999999999998</v>
      </c>
      <c r="G80">
        <v>137</v>
      </c>
      <c r="H80">
        <v>18</v>
      </c>
      <c r="I80">
        <v>144</v>
      </c>
      <c r="J80">
        <v>134</v>
      </c>
      <c r="K80">
        <v>134</v>
      </c>
      <c r="L80">
        <v>144</v>
      </c>
      <c r="M80">
        <v>134</v>
      </c>
      <c r="N80">
        <v>144</v>
      </c>
      <c r="O80">
        <v>29</v>
      </c>
      <c r="P80">
        <v>29</v>
      </c>
      <c r="Q80">
        <v>29</v>
      </c>
    </row>
    <row r="81" spans="1:17" x14ac:dyDescent="0.4">
      <c r="A81" t="s">
        <v>213</v>
      </c>
      <c r="B81">
        <v>80</v>
      </c>
      <c r="C81">
        <v>200.59</v>
      </c>
    </row>
    <row r="82" spans="1:17" x14ac:dyDescent="0.4">
      <c r="A82" t="s">
        <v>214</v>
      </c>
      <c r="B82">
        <v>81</v>
      </c>
      <c r="C82">
        <v>204.38</v>
      </c>
      <c r="D82">
        <v>4.9931999999999999</v>
      </c>
      <c r="E82">
        <v>4.9931999999999999</v>
      </c>
      <c r="F82">
        <v>-2.3519999999999999</v>
      </c>
      <c r="G82">
        <v>25</v>
      </c>
      <c r="H82">
        <v>5</v>
      </c>
      <c r="I82">
        <v>41</v>
      </c>
      <c r="J82">
        <v>14</v>
      </c>
      <c r="K82">
        <v>23</v>
      </c>
      <c r="L82">
        <v>41</v>
      </c>
      <c r="M82">
        <v>23</v>
      </c>
      <c r="N82">
        <v>18</v>
      </c>
      <c r="O82">
        <v>7</v>
      </c>
      <c r="P82">
        <v>7</v>
      </c>
      <c r="Q82">
        <v>0</v>
      </c>
    </row>
    <row r="83" spans="1:17" x14ac:dyDescent="0.4">
      <c r="A83" t="s">
        <v>215</v>
      </c>
      <c r="B83">
        <v>82</v>
      </c>
      <c r="C83">
        <v>207.2</v>
      </c>
      <c r="D83">
        <v>5.0505339999999999</v>
      </c>
      <c r="E83">
        <v>5.0505339999999999</v>
      </c>
      <c r="F83">
        <v>-3.7126000000000001</v>
      </c>
      <c r="G83">
        <v>37</v>
      </c>
      <c r="H83">
        <v>14</v>
      </c>
      <c r="I83">
        <v>47</v>
      </c>
      <c r="J83">
        <v>32</v>
      </c>
      <c r="K83">
        <v>32</v>
      </c>
      <c r="L83">
        <v>47</v>
      </c>
      <c r="M83">
        <v>32</v>
      </c>
      <c r="N83">
        <v>47</v>
      </c>
      <c r="O83">
        <v>18</v>
      </c>
      <c r="P83">
        <v>18</v>
      </c>
      <c r="Q83">
        <v>18</v>
      </c>
    </row>
    <row r="84" spans="1:17" x14ac:dyDescent="0.4">
      <c r="A84" t="s">
        <v>216</v>
      </c>
      <c r="B84">
        <v>83</v>
      </c>
      <c r="C84">
        <v>208.98</v>
      </c>
    </row>
    <row r="85" spans="1:17" x14ac:dyDescent="0.4">
      <c r="A85" t="s">
        <v>217</v>
      </c>
      <c r="B85">
        <v>84</v>
      </c>
      <c r="C85">
        <v>209</v>
      </c>
    </row>
    <row r="86" spans="1:17" x14ac:dyDescent="0.4">
      <c r="A86" t="s">
        <v>218</v>
      </c>
      <c r="B86">
        <v>85</v>
      </c>
      <c r="C86">
        <v>210</v>
      </c>
    </row>
    <row r="87" spans="1:17" x14ac:dyDescent="0.4">
      <c r="A87" t="s">
        <v>219</v>
      </c>
      <c r="B87">
        <v>86</v>
      </c>
      <c r="C87">
        <v>222</v>
      </c>
    </row>
    <row r="88" spans="1:17" x14ac:dyDescent="0.4">
      <c r="A88" t="s">
        <v>220</v>
      </c>
      <c r="B88">
        <v>87</v>
      </c>
      <c r="C88">
        <v>223</v>
      </c>
    </row>
    <row r="89" spans="1:17" x14ac:dyDescent="0.4">
      <c r="A89" t="s">
        <v>221</v>
      </c>
      <c r="B89">
        <v>88</v>
      </c>
      <c r="C89">
        <v>226</v>
      </c>
    </row>
    <row r="90" spans="1:17" x14ac:dyDescent="0.4">
      <c r="A90" t="s">
        <v>222</v>
      </c>
      <c r="B90">
        <v>89</v>
      </c>
      <c r="C90">
        <v>227</v>
      </c>
      <c r="D90">
        <v>5.6622560000000002</v>
      </c>
      <c r="E90">
        <v>5.6622560000000002</v>
      </c>
      <c r="F90">
        <v>-4.1007999999999996</v>
      </c>
      <c r="G90">
        <v>24</v>
      </c>
      <c r="H90">
        <v>15</v>
      </c>
      <c r="I90">
        <v>34</v>
      </c>
      <c r="J90">
        <v>18</v>
      </c>
      <c r="K90">
        <v>18</v>
      </c>
      <c r="L90">
        <v>34</v>
      </c>
      <c r="M90">
        <v>18</v>
      </c>
      <c r="N90">
        <v>34</v>
      </c>
      <c r="O90">
        <v>19</v>
      </c>
      <c r="P90">
        <v>19</v>
      </c>
      <c r="Q90">
        <v>19</v>
      </c>
    </row>
    <row r="91" spans="1:17" x14ac:dyDescent="0.4">
      <c r="A91" t="s">
        <v>223</v>
      </c>
      <c r="B91">
        <v>90</v>
      </c>
      <c r="C91">
        <v>232.04</v>
      </c>
      <c r="D91">
        <v>5.0412179999999998</v>
      </c>
      <c r="E91">
        <v>5.0412179999999998</v>
      </c>
      <c r="F91">
        <v>-7.4138999999999999</v>
      </c>
      <c r="G91">
        <v>56</v>
      </c>
      <c r="H91">
        <v>45</v>
      </c>
      <c r="I91">
        <v>121</v>
      </c>
      <c r="J91">
        <v>5</v>
      </c>
      <c r="K91">
        <v>40</v>
      </c>
      <c r="L91">
        <v>121</v>
      </c>
      <c r="M91">
        <v>40</v>
      </c>
      <c r="N91">
        <v>93</v>
      </c>
      <c r="O91">
        <v>58</v>
      </c>
      <c r="P91">
        <v>58</v>
      </c>
      <c r="Q91">
        <v>25</v>
      </c>
    </row>
    <row r="92" spans="1:17" x14ac:dyDescent="0.4">
      <c r="A92" t="s">
        <v>224</v>
      </c>
      <c r="B92">
        <v>91</v>
      </c>
      <c r="C92">
        <v>231.04</v>
      </c>
      <c r="D92">
        <v>4.6545319999999997</v>
      </c>
      <c r="E92">
        <v>4.6545319999999997</v>
      </c>
      <c r="F92">
        <v>-9.5146999999999995</v>
      </c>
      <c r="G92">
        <v>95</v>
      </c>
      <c r="H92">
        <v>58</v>
      </c>
      <c r="I92">
        <v>117</v>
      </c>
      <c r="J92">
        <v>85</v>
      </c>
      <c r="K92">
        <v>85</v>
      </c>
      <c r="L92">
        <v>117</v>
      </c>
      <c r="M92">
        <v>85</v>
      </c>
      <c r="N92">
        <v>117</v>
      </c>
      <c r="O92">
        <v>85</v>
      </c>
      <c r="P92">
        <v>85</v>
      </c>
      <c r="Q92">
        <v>85</v>
      </c>
    </row>
    <row r="93" spans="1:17" x14ac:dyDescent="0.4">
      <c r="A93" t="s">
        <v>225</v>
      </c>
      <c r="B93">
        <v>92</v>
      </c>
      <c r="C93">
        <v>238.03</v>
      </c>
      <c r="D93">
        <v>4.4321140000000003</v>
      </c>
      <c r="E93">
        <v>4.4321140000000003</v>
      </c>
      <c r="F93">
        <v>-10.919</v>
      </c>
      <c r="G93">
        <v>105</v>
      </c>
      <c r="H93">
        <v>-4</v>
      </c>
      <c r="I93">
        <v>39</v>
      </c>
      <c r="J93">
        <v>138</v>
      </c>
      <c r="K93">
        <v>138</v>
      </c>
      <c r="L93">
        <v>39</v>
      </c>
      <c r="M93">
        <v>138</v>
      </c>
      <c r="N93">
        <v>39</v>
      </c>
      <c r="O93">
        <v>27</v>
      </c>
      <c r="P93">
        <v>27</v>
      </c>
      <c r="Q93">
        <v>27</v>
      </c>
    </row>
    <row r="94" spans="1:17" x14ac:dyDescent="0.4">
      <c r="A94" t="s">
        <v>226</v>
      </c>
      <c r="B94">
        <v>93</v>
      </c>
      <c r="C94">
        <v>237</v>
      </c>
    </row>
    <row r="95" spans="1:17" x14ac:dyDescent="0.4">
      <c r="A95" t="s">
        <v>227</v>
      </c>
      <c r="B95">
        <v>94</v>
      </c>
      <c r="C95">
        <v>244</v>
      </c>
      <c r="D95">
        <v>4.7884760000000002</v>
      </c>
      <c r="E95">
        <v>4.7884760000000002</v>
      </c>
      <c r="F95">
        <v>-13.990600000000001</v>
      </c>
      <c r="G95">
        <v>152</v>
      </c>
      <c r="H95">
        <v>-43</v>
      </c>
      <c r="I95">
        <v>38</v>
      </c>
      <c r="J95">
        <v>209</v>
      </c>
      <c r="K95">
        <v>209</v>
      </c>
      <c r="L95">
        <v>38</v>
      </c>
      <c r="M95">
        <v>209</v>
      </c>
      <c r="N95">
        <v>38</v>
      </c>
      <c r="O95">
        <v>-15</v>
      </c>
      <c r="P95">
        <v>-15</v>
      </c>
      <c r="Q95">
        <v>-15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A405-E3B6-468A-A903-238199E642B4}">
  <dimension ref="A1:Q95"/>
  <sheetViews>
    <sheetView workbookViewId="0">
      <selection activeCell="F9" sqref="F9"/>
    </sheetView>
  </sheetViews>
  <sheetFormatPr defaultRowHeight="18.75" x14ac:dyDescent="0.4"/>
  <sheetData>
    <row r="1" spans="1:17" x14ac:dyDescent="0.4">
      <c r="D1" t="s">
        <v>335</v>
      </c>
      <c r="E1" t="s">
        <v>336</v>
      </c>
      <c r="F1" t="s">
        <v>337</v>
      </c>
      <c r="G1" t="s">
        <v>347</v>
      </c>
      <c r="H1" t="s">
        <v>348</v>
      </c>
      <c r="I1" t="s">
        <v>338</v>
      </c>
      <c r="J1" t="s">
        <v>339</v>
      </c>
      <c r="K1" t="s">
        <v>340</v>
      </c>
      <c r="L1" t="s">
        <v>344</v>
      </c>
      <c r="M1" t="s">
        <v>345</v>
      </c>
      <c r="N1" t="s">
        <v>341</v>
      </c>
      <c r="O1" t="s">
        <v>342</v>
      </c>
      <c r="P1" t="s">
        <v>346</v>
      </c>
      <c r="Q1" t="s">
        <v>343</v>
      </c>
    </row>
    <row r="2" spans="1:17" x14ac:dyDescent="0.4">
      <c r="A2" t="s">
        <v>144</v>
      </c>
      <c r="B2">
        <v>1</v>
      </c>
      <c r="C2">
        <v>1.008</v>
      </c>
      <c r="D2">
        <v>5.21</v>
      </c>
      <c r="E2">
        <v>5.21</v>
      </c>
      <c r="F2">
        <v>-1.1214999999999999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145</v>
      </c>
      <c r="B3">
        <v>2</v>
      </c>
      <c r="C3">
        <v>4.0026000000000002</v>
      </c>
    </row>
    <row r="4" spans="1:17" x14ac:dyDescent="0.4">
      <c r="A4" t="s">
        <v>146</v>
      </c>
      <c r="B4">
        <v>3</v>
      </c>
      <c r="C4">
        <v>6.94</v>
      </c>
      <c r="D4">
        <v>3.4268179999999999</v>
      </c>
      <c r="E4">
        <v>3.4268179999999999</v>
      </c>
      <c r="F4">
        <v>-1.9037999999999999</v>
      </c>
      <c r="G4">
        <v>14</v>
      </c>
      <c r="H4">
        <v>7</v>
      </c>
      <c r="I4">
        <v>15</v>
      </c>
      <c r="J4">
        <v>13</v>
      </c>
      <c r="K4">
        <v>13</v>
      </c>
      <c r="L4">
        <v>15</v>
      </c>
      <c r="M4">
        <v>13</v>
      </c>
      <c r="N4">
        <v>15</v>
      </c>
      <c r="O4">
        <v>11</v>
      </c>
      <c r="P4">
        <v>11</v>
      </c>
      <c r="Q4">
        <v>11</v>
      </c>
    </row>
    <row r="5" spans="1:17" x14ac:dyDescent="0.4">
      <c r="A5" t="s">
        <v>147</v>
      </c>
      <c r="B5">
        <v>4</v>
      </c>
      <c r="C5">
        <v>9.0122</v>
      </c>
      <c r="D5">
        <v>2.5002260000000001</v>
      </c>
      <c r="E5">
        <v>2.5002260000000001</v>
      </c>
      <c r="F5">
        <v>-3.6436999999999999</v>
      </c>
      <c r="G5">
        <v>124</v>
      </c>
      <c r="H5">
        <v>122</v>
      </c>
      <c r="I5">
        <v>153</v>
      </c>
      <c r="J5">
        <v>109</v>
      </c>
      <c r="K5">
        <v>109</v>
      </c>
      <c r="L5">
        <v>153</v>
      </c>
      <c r="M5">
        <v>109</v>
      </c>
      <c r="N5">
        <v>153</v>
      </c>
      <c r="O5">
        <v>188</v>
      </c>
      <c r="P5">
        <v>188</v>
      </c>
      <c r="Q5">
        <v>188</v>
      </c>
    </row>
    <row r="6" spans="1:17" x14ac:dyDescent="0.4">
      <c r="A6" t="s">
        <v>33</v>
      </c>
      <c r="B6">
        <v>5</v>
      </c>
      <c r="C6">
        <v>10.81</v>
      </c>
    </row>
    <row r="7" spans="1:17" x14ac:dyDescent="0.4">
      <c r="A7" t="s">
        <v>142</v>
      </c>
      <c r="B7">
        <v>6</v>
      </c>
      <c r="C7">
        <v>12.010999999999999</v>
      </c>
    </row>
    <row r="8" spans="1:17" x14ac:dyDescent="0.4">
      <c r="A8" t="s">
        <v>148</v>
      </c>
      <c r="B8">
        <v>7</v>
      </c>
      <c r="C8">
        <v>14.007</v>
      </c>
    </row>
    <row r="9" spans="1:17" x14ac:dyDescent="0.4">
      <c r="A9" t="s">
        <v>149</v>
      </c>
      <c r="B9">
        <v>8</v>
      </c>
      <c r="C9">
        <v>15.999000000000001</v>
      </c>
    </row>
    <row r="10" spans="1:17" x14ac:dyDescent="0.4">
      <c r="A10" t="s">
        <v>150</v>
      </c>
      <c r="B10">
        <v>9</v>
      </c>
      <c r="C10">
        <v>18.998000000000001</v>
      </c>
    </row>
    <row r="11" spans="1:17" x14ac:dyDescent="0.4">
      <c r="A11" t="s">
        <v>151</v>
      </c>
      <c r="B11">
        <v>10</v>
      </c>
      <c r="C11">
        <v>20.18</v>
      </c>
    </row>
    <row r="12" spans="1:17" x14ac:dyDescent="0.4">
      <c r="A12" t="s">
        <v>152</v>
      </c>
      <c r="B12">
        <v>11</v>
      </c>
      <c r="C12">
        <v>22.99</v>
      </c>
      <c r="D12">
        <v>4.1726219999999996</v>
      </c>
      <c r="E12">
        <v>4.1726219999999996</v>
      </c>
      <c r="F12">
        <v>-1.3097000000000001</v>
      </c>
      <c r="G12">
        <v>8</v>
      </c>
      <c r="H12">
        <v>4</v>
      </c>
      <c r="I12">
        <v>9</v>
      </c>
      <c r="J12">
        <v>7</v>
      </c>
      <c r="K12">
        <v>7</v>
      </c>
      <c r="L12">
        <v>9</v>
      </c>
      <c r="M12">
        <v>7</v>
      </c>
      <c r="N12">
        <v>9</v>
      </c>
      <c r="O12">
        <v>7</v>
      </c>
      <c r="P12">
        <v>7</v>
      </c>
      <c r="Q12">
        <v>7</v>
      </c>
    </row>
    <row r="13" spans="1:17" x14ac:dyDescent="0.4">
      <c r="A13" t="s">
        <v>153</v>
      </c>
      <c r="B13">
        <v>12</v>
      </c>
      <c r="C13">
        <v>24.305</v>
      </c>
      <c r="D13">
        <v>3.5792899999999999</v>
      </c>
      <c r="E13">
        <v>3.5792899999999999</v>
      </c>
      <c r="F13">
        <v>-1.5745</v>
      </c>
      <c r="G13">
        <v>36</v>
      </c>
      <c r="H13">
        <v>17</v>
      </c>
      <c r="I13">
        <v>30</v>
      </c>
      <c r="J13">
        <v>39</v>
      </c>
      <c r="K13">
        <v>39</v>
      </c>
      <c r="L13">
        <v>30</v>
      </c>
      <c r="M13">
        <v>39</v>
      </c>
      <c r="N13">
        <v>30</v>
      </c>
      <c r="O13">
        <v>32</v>
      </c>
      <c r="P13">
        <v>32</v>
      </c>
      <c r="Q13">
        <v>32</v>
      </c>
    </row>
    <row r="14" spans="1:17" x14ac:dyDescent="0.4">
      <c r="A14" t="s">
        <v>154</v>
      </c>
      <c r="B14">
        <v>13</v>
      </c>
      <c r="C14">
        <v>26.981999999999999</v>
      </c>
      <c r="D14">
        <v>3.2204999999999999</v>
      </c>
      <c r="E14">
        <v>3.2204999999999999</v>
      </c>
      <c r="F14">
        <v>-3.6530999999999998</v>
      </c>
      <c r="G14">
        <v>69</v>
      </c>
      <c r="H14">
        <v>15</v>
      </c>
      <c r="I14">
        <v>36</v>
      </c>
      <c r="J14">
        <v>86</v>
      </c>
      <c r="K14">
        <v>86</v>
      </c>
      <c r="L14">
        <v>36</v>
      </c>
      <c r="M14">
        <v>86</v>
      </c>
      <c r="N14">
        <v>36</v>
      </c>
      <c r="O14">
        <v>42</v>
      </c>
      <c r="P14">
        <v>42</v>
      </c>
      <c r="Q14">
        <v>42</v>
      </c>
    </row>
    <row r="15" spans="1:17" x14ac:dyDescent="0.4">
      <c r="A15" t="s">
        <v>155</v>
      </c>
      <c r="B15">
        <v>14</v>
      </c>
      <c r="C15">
        <v>28.085000000000001</v>
      </c>
      <c r="D15">
        <v>3.0916679999999999</v>
      </c>
      <c r="E15">
        <v>3.0916679999999999</v>
      </c>
      <c r="F15">
        <v>-4.8997999999999999</v>
      </c>
      <c r="G15">
        <v>94</v>
      </c>
      <c r="H15">
        <v>1</v>
      </c>
      <c r="I15">
        <v>47</v>
      </c>
      <c r="J15">
        <v>117</v>
      </c>
      <c r="K15">
        <v>117</v>
      </c>
      <c r="L15">
        <v>47</v>
      </c>
      <c r="M15">
        <v>117</v>
      </c>
      <c r="N15">
        <v>47</v>
      </c>
      <c r="O15">
        <v>25</v>
      </c>
      <c r="P15">
        <v>25</v>
      </c>
      <c r="Q15">
        <v>25</v>
      </c>
    </row>
    <row r="16" spans="1:17" x14ac:dyDescent="0.4">
      <c r="A16" t="s">
        <v>156</v>
      </c>
      <c r="B16">
        <v>15</v>
      </c>
      <c r="C16">
        <v>30.974</v>
      </c>
    </row>
    <row r="17" spans="1:17" x14ac:dyDescent="0.4">
      <c r="A17" t="s">
        <v>158</v>
      </c>
      <c r="B17">
        <v>16</v>
      </c>
      <c r="C17">
        <v>32.06</v>
      </c>
    </row>
    <row r="18" spans="1:17" x14ac:dyDescent="0.4">
      <c r="A18" t="s">
        <v>157</v>
      </c>
      <c r="B18">
        <v>17</v>
      </c>
      <c r="C18">
        <v>35.450000000000003</v>
      </c>
    </row>
    <row r="19" spans="1:17" x14ac:dyDescent="0.4">
      <c r="A19" t="s">
        <v>159</v>
      </c>
      <c r="B19">
        <v>18</v>
      </c>
      <c r="C19">
        <v>39.948</v>
      </c>
    </row>
    <row r="20" spans="1:17" x14ac:dyDescent="0.4">
      <c r="A20" t="s">
        <v>160</v>
      </c>
      <c r="B20">
        <v>19</v>
      </c>
      <c r="C20">
        <v>39.097999999999999</v>
      </c>
      <c r="D20">
        <v>5.2621196699999997</v>
      </c>
      <c r="E20">
        <v>5.2621196699999997</v>
      </c>
      <c r="F20">
        <v>-1.081</v>
      </c>
      <c r="G20">
        <v>4</v>
      </c>
      <c r="H20">
        <v>2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161</v>
      </c>
      <c r="B21">
        <v>20</v>
      </c>
      <c r="C21">
        <v>40.078000000000003</v>
      </c>
      <c r="D21">
        <v>4.3855019999999998</v>
      </c>
      <c r="E21">
        <v>4.3855019999999998</v>
      </c>
      <c r="F21">
        <v>-1.982</v>
      </c>
      <c r="G21">
        <v>15</v>
      </c>
      <c r="H21">
        <v>5</v>
      </c>
      <c r="I21">
        <v>6</v>
      </c>
      <c r="J21">
        <v>20</v>
      </c>
      <c r="K21">
        <v>20</v>
      </c>
      <c r="L21">
        <v>6</v>
      </c>
      <c r="M21">
        <v>20</v>
      </c>
      <c r="N21">
        <v>6</v>
      </c>
      <c r="O21">
        <v>13</v>
      </c>
      <c r="P21">
        <v>13</v>
      </c>
      <c r="Q21">
        <v>13</v>
      </c>
    </row>
    <row r="22" spans="1:17" x14ac:dyDescent="0.4">
      <c r="A22" t="s">
        <v>162</v>
      </c>
      <c r="B22">
        <v>21</v>
      </c>
      <c r="C22">
        <v>44.956000000000003</v>
      </c>
      <c r="D22">
        <v>3.677384</v>
      </c>
      <c r="E22">
        <v>3.677384</v>
      </c>
      <c r="F22">
        <v>-6.2286999999999999</v>
      </c>
      <c r="G22">
        <v>53</v>
      </c>
      <c r="H22">
        <v>17</v>
      </c>
      <c r="I22">
        <v>46</v>
      </c>
      <c r="J22">
        <v>50</v>
      </c>
      <c r="K22">
        <v>66</v>
      </c>
      <c r="L22">
        <v>52</v>
      </c>
      <c r="M22">
        <v>50</v>
      </c>
      <c r="N22">
        <v>46</v>
      </c>
      <c r="O22">
        <v>29</v>
      </c>
      <c r="P22">
        <v>29</v>
      </c>
      <c r="Q22">
        <v>29</v>
      </c>
    </row>
    <row r="23" spans="1:17" x14ac:dyDescent="0.4">
      <c r="A23" t="s">
        <v>138</v>
      </c>
      <c r="B23">
        <v>22</v>
      </c>
      <c r="C23">
        <v>47.866999999999997</v>
      </c>
      <c r="D23">
        <v>3.2515000000000001</v>
      </c>
      <c r="E23">
        <v>3.2515000000000001</v>
      </c>
      <c r="F23">
        <v>-7.7835000000000001</v>
      </c>
      <c r="G23">
        <v>105</v>
      </c>
      <c r="H23">
        <v>13</v>
      </c>
      <c r="I23">
        <v>70</v>
      </c>
      <c r="J23">
        <v>123</v>
      </c>
      <c r="K23">
        <v>123</v>
      </c>
      <c r="L23">
        <v>70</v>
      </c>
      <c r="M23">
        <v>123</v>
      </c>
      <c r="N23">
        <v>70</v>
      </c>
      <c r="O23">
        <v>39</v>
      </c>
      <c r="P23">
        <v>39</v>
      </c>
      <c r="Q23">
        <v>39</v>
      </c>
    </row>
    <row r="24" spans="1:17" x14ac:dyDescent="0.4">
      <c r="A24" t="s">
        <v>135</v>
      </c>
      <c r="B24">
        <v>23</v>
      </c>
      <c r="C24">
        <v>50.942</v>
      </c>
      <c r="D24">
        <v>2.9925440000000001</v>
      </c>
      <c r="E24">
        <v>2.9925440000000001</v>
      </c>
      <c r="F24">
        <v>-9.0823999999999998</v>
      </c>
      <c r="G24">
        <v>179</v>
      </c>
      <c r="H24">
        <v>38</v>
      </c>
      <c r="I24">
        <v>276</v>
      </c>
      <c r="J24">
        <v>131</v>
      </c>
      <c r="K24">
        <v>131</v>
      </c>
      <c r="L24">
        <v>276</v>
      </c>
      <c r="M24">
        <v>131</v>
      </c>
      <c r="N24">
        <v>276</v>
      </c>
      <c r="O24">
        <v>16</v>
      </c>
      <c r="P24">
        <v>16</v>
      </c>
      <c r="Q24">
        <v>16</v>
      </c>
    </row>
    <row r="25" spans="1:17" x14ac:dyDescent="0.4">
      <c r="A25" t="s">
        <v>140</v>
      </c>
      <c r="B25">
        <v>24</v>
      </c>
      <c r="C25">
        <v>51.996000000000002</v>
      </c>
      <c r="D25">
        <v>2.8740252599999998</v>
      </c>
      <c r="E25">
        <v>2.8740252599999998</v>
      </c>
      <c r="F25">
        <v>-9.6530000000000005</v>
      </c>
      <c r="G25">
        <v>259</v>
      </c>
      <c r="H25">
        <v>133</v>
      </c>
      <c r="I25">
        <v>499</v>
      </c>
      <c r="J25">
        <v>139</v>
      </c>
      <c r="K25">
        <v>139</v>
      </c>
      <c r="L25">
        <v>499</v>
      </c>
      <c r="M25">
        <v>139</v>
      </c>
      <c r="N25">
        <v>499</v>
      </c>
      <c r="O25">
        <v>102</v>
      </c>
      <c r="P25">
        <v>102</v>
      </c>
      <c r="Q25">
        <v>102</v>
      </c>
    </row>
    <row r="26" spans="1:17" x14ac:dyDescent="0.4">
      <c r="A26" t="s">
        <v>163</v>
      </c>
      <c r="B26">
        <v>25</v>
      </c>
      <c r="C26">
        <v>54.938000000000002</v>
      </c>
    </row>
    <row r="27" spans="1:17" x14ac:dyDescent="0.4">
      <c r="A27" t="s">
        <v>139</v>
      </c>
      <c r="B27">
        <v>26</v>
      </c>
      <c r="C27">
        <v>55.844999999999999</v>
      </c>
      <c r="D27">
        <v>2.8400516800000002</v>
      </c>
      <c r="E27">
        <v>2.8400516800000002</v>
      </c>
      <c r="F27" s="76">
        <v>-8.4693000000000005</v>
      </c>
      <c r="G27">
        <v>182</v>
      </c>
      <c r="H27">
        <v>78</v>
      </c>
      <c r="I27">
        <v>247</v>
      </c>
      <c r="J27">
        <v>150</v>
      </c>
      <c r="K27">
        <v>150</v>
      </c>
      <c r="L27">
        <v>247</v>
      </c>
      <c r="M27">
        <v>150</v>
      </c>
      <c r="N27">
        <v>247</v>
      </c>
      <c r="O27">
        <v>97</v>
      </c>
      <c r="P27">
        <v>97</v>
      </c>
      <c r="Q27">
        <v>97</v>
      </c>
    </row>
    <row r="28" spans="1:17" x14ac:dyDescent="0.4">
      <c r="A28" t="s">
        <v>164</v>
      </c>
      <c r="B28">
        <v>27</v>
      </c>
      <c r="C28">
        <v>58.933</v>
      </c>
    </row>
    <row r="29" spans="1:17" x14ac:dyDescent="0.4">
      <c r="A29" t="s">
        <v>165</v>
      </c>
      <c r="B29">
        <v>28</v>
      </c>
      <c r="C29">
        <v>58.692999999999998</v>
      </c>
      <c r="D29">
        <v>2.7902119999999999</v>
      </c>
      <c r="E29">
        <v>2.7902119999999999</v>
      </c>
      <c r="F29">
        <v>-5.6845999999999997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166</v>
      </c>
      <c r="B30">
        <v>29</v>
      </c>
      <c r="C30">
        <v>63.545999999999999</v>
      </c>
      <c r="D30">
        <v>2.8726539999999998</v>
      </c>
      <c r="E30">
        <v>2.8726539999999998</v>
      </c>
      <c r="F30">
        <v>-4.0621999999999998</v>
      </c>
      <c r="G30">
        <v>146</v>
      </c>
      <c r="H30">
        <v>56</v>
      </c>
      <c r="I30">
        <v>137</v>
      </c>
      <c r="J30">
        <v>150</v>
      </c>
      <c r="K30">
        <v>150</v>
      </c>
      <c r="L30">
        <v>137</v>
      </c>
      <c r="M30">
        <v>150</v>
      </c>
      <c r="N30">
        <v>137</v>
      </c>
      <c r="O30">
        <v>98</v>
      </c>
      <c r="P30">
        <v>98</v>
      </c>
      <c r="Q30">
        <v>98</v>
      </c>
    </row>
    <row r="31" spans="1:17" x14ac:dyDescent="0.4">
      <c r="A31" t="s">
        <v>167</v>
      </c>
      <c r="B31">
        <v>30</v>
      </c>
      <c r="C31">
        <v>65.38</v>
      </c>
    </row>
    <row r="32" spans="1:17" x14ac:dyDescent="0.4">
      <c r="A32" t="s">
        <v>168</v>
      </c>
      <c r="B32">
        <v>31</v>
      </c>
      <c r="C32">
        <v>69.722999999999999</v>
      </c>
    </row>
    <row r="33" spans="1:17" x14ac:dyDescent="0.4">
      <c r="A33" t="s">
        <v>169</v>
      </c>
      <c r="B33">
        <v>32</v>
      </c>
      <c r="C33">
        <v>72.63</v>
      </c>
      <c r="D33">
        <v>3.39201</v>
      </c>
      <c r="E33">
        <v>3.39201</v>
      </c>
      <c r="F33">
        <v>-4.2771999999999997</v>
      </c>
      <c r="G33">
        <v>58</v>
      </c>
      <c r="H33">
        <v>-6</v>
      </c>
      <c r="I33">
        <v>11</v>
      </c>
      <c r="J33">
        <v>82</v>
      </c>
      <c r="K33">
        <v>82</v>
      </c>
      <c r="L33">
        <v>11</v>
      </c>
      <c r="M33">
        <v>82</v>
      </c>
      <c r="N33">
        <v>11</v>
      </c>
      <c r="O33">
        <v>14</v>
      </c>
      <c r="P33">
        <v>14</v>
      </c>
      <c r="Q33">
        <v>14</v>
      </c>
    </row>
    <row r="34" spans="1:17" x14ac:dyDescent="0.4">
      <c r="A34" t="s">
        <v>170</v>
      </c>
      <c r="B34">
        <v>33</v>
      </c>
      <c r="C34">
        <v>74.921999999999997</v>
      </c>
    </row>
    <row r="35" spans="1:17" x14ac:dyDescent="0.4">
      <c r="A35" t="s">
        <v>171</v>
      </c>
      <c r="B35">
        <v>34</v>
      </c>
      <c r="C35">
        <v>78.971000000000004</v>
      </c>
      <c r="D35">
        <v>3.4477500000000001</v>
      </c>
      <c r="E35">
        <v>3.4477500000000001</v>
      </c>
      <c r="F35">
        <v>-2.8936000000000002</v>
      </c>
      <c r="G35">
        <v>74</v>
      </c>
      <c r="H35">
        <v>-16</v>
      </c>
      <c r="I35">
        <v>104</v>
      </c>
      <c r="J35">
        <v>59</v>
      </c>
      <c r="K35">
        <v>59</v>
      </c>
      <c r="L35">
        <v>104</v>
      </c>
      <c r="M35">
        <v>59</v>
      </c>
      <c r="N35">
        <v>104</v>
      </c>
      <c r="O35">
        <v>-41</v>
      </c>
      <c r="P35">
        <v>-41</v>
      </c>
      <c r="Q35">
        <v>-41</v>
      </c>
    </row>
    <row r="36" spans="1:17" x14ac:dyDescent="0.4">
      <c r="A36" t="s">
        <v>172</v>
      </c>
      <c r="B36">
        <v>35</v>
      </c>
      <c r="C36">
        <v>79.903999999999996</v>
      </c>
      <c r="D36">
        <v>3.7608000000000001</v>
      </c>
      <c r="E36">
        <v>3.7608000000000001</v>
      </c>
      <c r="F36">
        <v>-1.0074000000000001</v>
      </c>
      <c r="G36">
        <v>21</v>
      </c>
      <c r="H36">
        <v>-41</v>
      </c>
      <c r="I36">
        <v>23</v>
      </c>
      <c r="J36">
        <v>20</v>
      </c>
      <c r="K36">
        <v>20</v>
      </c>
      <c r="L36">
        <v>23</v>
      </c>
      <c r="M36">
        <v>20</v>
      </c>
      <c r="N36">
        <v>23</v>
      </c>
      <c r="O36">
        <v>-70</v>
      </c>
      <c r="P36">
        <v>-70</v>
      </c>
      <c r="Q36">
        <v>-70</v>
      </c>
    </row>
    <row r="37" spans="1:17" x14ac:dyDescent="0.4">
      <c r="A37" t="s">
        <v>173</v>
      </c>
      <c r="B37">
        <v>36</v>
      </c>
      <c r="C37">
        <v>83.798000000000002</v>
      </c>
    </row>
    <row r="38" spans="1:17" x14ac:dyDescent="0.4">
      <c r="A38" t="s">
        <v>174</v>
      </c>
      <c r="B38">
        <v>37</v>
      </c>
      <c r="C38">
        <v>85.468000000000004</v>
      </c>
      <c r="D38">
        <v>5.6441559999999997</v>
      </c>
      <c r="E38">
        <v>5.6441559999999997</v>
      </c>
      <c r="F38">
        <v>-0.97130000000000005</v>
      </c>
      <c r="G38">
        <v>3</v>
      </c>
      <c r="H38">
        <v>1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2</v>
      </c>
      <c r="P38">
        <v>2</v>
      </c>
      <c r="Q38">
        <v>2</v>
      </c>
    </row>
    <row r="39" spans="1:17" x14ac:dyDescent="0.4">
      <c r="A39" t="s">
        <v>175</v>
      </c>
      <c r="B39">
        <v>38</v>
      </c>
      <c r="C39">
        <v>87.62</v>
      </c>
      <c r="D39">
        <v>4.7535499999999997</v>
      </c>
      <c r="E39">
        <v>4.7535499999999997</v>
      </c>
      <c r="F39">
        <v>-1.6763999999999999</v>
      </c>
      <c r="G39">
        <v>12</v>
      </c>
      <c r="H39">
        <v>9</v>
      </c>
      <c r="I39">
        <v>14</v>
      </c>
      <c r="J39">
        <v>11</v>
      </c>
      <c r="K39">
        <v>11</v>
      </c>
      <c r="L39">
        <v>14</v>
      </c>
      <c r="M39">
        <v>11</v>
      </c>
      <c r="N39">
        <v>14</v>
      </c>
      <c r="O39">
        <v>14</v>
      </c>
      <c r="P39">
        <v>14</v>
      </c>
      <c r="Q39">
        <v>14</v>
      </c>
    </row>
    <row r="40" spans="1:17" x14ac:dyDescent="0.4">
      <c r="A40" t="s">
        <v>176</v>
      </c>
      <c r="B40">
        <v>39</v>
      </c>
      <c r="C40">
        <v>88.906000000000006</v>
      </c>
    </row>
    <row r="41" spans="1:17" x14ac:dyDescent="0.4">
      <c r="A41" t="s">
        <v>177</v>
      </c>
      <c r="B41">
        <v>40</v>
      </c>
      <c r="C41">
        <v>91.224000000000004</v>
      </c>
      <c r="D41">
        <v>3.5832739999999998</v>
      </c>
      <c r="E41">
        <v>3.5832739999999998</v>
      </c>
      <c r="F41">
        <v>-8.4731000000000005</v>
      </c>
      <c r="G41">
        <v>89</v>
      </c>
      <c r="H41">
        <v>17</v>
      </c>
      <c r="I41">
        <v>86</v>
      </c>
      <c r="J41">
        <v>90</v>
      </c>
      <c r="K41">
        <v>90</v>
      </c>
      <c r="L41">
        <v>86</v>
      </c>
      <c r="M41">
        <v>90</v>
      </c>
      <c r="N41">
        <v>86</v>
      </c>
      <c r="O41">
        <v>30</v>
      </c>
      <c r="P41">
        <v>30</v>
      </c>
      <c r="Q41">
        <v>30</v>
      </c>
    </row>
    <row r="42" spans="1:17" x14ac:dyDescent="0.4">
      <c r="A42" t="s">
        <v>136</v>
      </c>
      <c r="B42">
        <v>41</v>
      </c>
      <c r="C42">
        <v>92.906000000000006</v>
      </c>
      <c r="D42">
        <v>3.3205200000000001</v>
      </c>
      <c r="E42">
        <v>3.3205200000000001</v>
      </c>
      <c r="F42">
        <v>-10.1013</v>
      </c>
      <c r="G42">
        <v>174</v>
      </c>
      <c r="H42">
        <v>24</v>
      </c>
      <c r="I42">
        <v>233</v>
      </c>
      <c r="J42">
        <v>145</v>
      </c>
      <c r="K42">
        <v>145</v>
      </c>
      <c r="L42">
        <v>233</v>
      </c>
      <c r="M42">
        <v>145</v>
      </c>
      <c r="N42">
        <v>233</v>
      </c>
      <c r="O42">
        <v>11</v>
      </c>
      <c r="P42">
        <v>11</v>
      </c>
      <c r="Q42">
        <v>11</v>
      </c>
    </row>
    <row r="43" spans="1:17" x14ac:dyDescent="0.4">
      <c r="A43" t="s">
        <v>141</v>
      </c>
      <c r="B43">
        <v>42</v>
      </c>
      <c r="C43">
        <v>95.95</v>
      </c>
      <c r="D43">
        <v>3.167618</v>
      </c>
      <c r="E43">
        <v>3.167618</v>
      </c>
      <c r="F43">
        <v>-10.845599999999999</v>
      </c>
      <c r="G43">
        <v>262</v>
      </c>
      <c r="H43">
        <v>127</v>
      </c>
      <c r="I43">
        <v>472</v>
      </c>
      <c r="J43">
        <v>158</v>
      </c>
      <c r="K43">
        <v>158</v>
      </c>
      <c r="L43">
        <v>472</v>
      </c>
      <c r="M43">
        <v>158</v>
      </c>
      <c r="N43">
        <v>472</v>
      </c>
      <c r="O43">
        <v>106</v>
      </c>
      <c r="P43">
        <v>106</v>
      </c>
      <c r="Q43">
        <v>106</v>
      </c>
    </row>
    <row r="44" spans="1:17" x14ac:dyDescent="0.4">
      <c r="A44" t="s">
        <v>178</v>
      </c>
      <c r="B44">
        <v>43</v>
      </c>
      <c r="C44">
        <v>98</v>
      </c>
    </row>
    <row r="45" spans="1:17" x14ac:dyDescent="0.4">
      <c r="A45" t="s">
        <v>179</v>
      </c>
      <c r="B45">
        <v>44</v>
      </c>
      <c r="C45">
        <v>101.07</v>
      </c>
    </row>
    <row r="46" spans="1:17" x14ac:dyDescent="0.4">
      <c r="A46" t="s">
        <v>180</v>
      </c>
      <c r="B46">
        <v>45</v>
      </c>
      <c r="C46">
        <v>102.91</v>
      </c>
    </row>
    <row r="47" spans="1:17" x14ac:dyDescent="0.4">
      <c r="A47" t="s">
        <v>181</v>
      </c>
      <c r="B47">
        <v>46</v>
      </c>
      <c r="C47">
        <v>106.42</v>
      </c>
    </row>
    <row r="48" spans="1:17" x14ac:dyDescent="0.4">
      <c r="A48" t="s">
        <v>182</v>
      </c>
      <c r="B48">
        <v>47</v>
      </c>
      <c r="C48">
        <v>107.87</v>
      </c>
    </row>
    <row r="49" spans="1:17" x14ac:dyDescent="0.4">
      <c r="A49" t="s">
        <v>183</v>
      </c>
      <c r="B49">
        <v>48</v>
      </c>
      <c r="C49">
        <v>112.41</v>
      </c>
    </row>
    <row r="50" spans="1:17" x14ac:dyDescent="0.4">
      <c r="A50" t="s">
        <v>184</v>
      </c>
      <c r="B50">
        <v>49</v>
      </c>
      <c r="C50">
        <v>114.82</v>
      </c>
    </row>
    <row r="51" spans="1:17" x14ac:dyDescent="0.4">
      <c r="A51" t="s">
        <v>185</v>
      </c>
      <c r="B51">
        <v>50</v>
      </c>
      <c r="C51">
        <v>118.71</v>
      </c>
      <c r="D51">
        <v>3.809374</v>
      </c>
      <c r="E51">
        <v>3.809374</v>
      </c>
      <c r="F51">
        <v>-3.9352999999999998</v>
      </c>
      <c r="G51">
        <v>44</v>
      </c>
      <c r="H51">
        <v>-2</v>
      </c>
      <c r="I51">
        <v>3</v>
      </c>
      <c r="J51">
        <v>64</v>
      </c>
      <c r="K51">
        <v>64</v>
      </c>
      <c r="L51">
        <v>3</v>
      </c>
      <c r="M51">
        <v>64</v>
      </c>
      <c r="N51">
        <v>3</v>
      </c>
      <c r="O51">
        <v>16</v>
      </c>
      <c r="P51">
        <v>16</v>
      </c>
      <c r="Q51">
        <v>16</v>
      </c>
    </row>
    <row r="52" spans="1:17" x14ac:dyDescent="0.4">
      <c r="A52" t="s">
        <v>186</v>
      </c>
      <c r="B52">
        <v>51</v>
      </c>
      <c r="C52">
        <v>11.76</v>
      </c>
      <c r="D52">
        <v>3.7853219999999999</v>
      </c>
      <c r="E52">
        <v>3.7853219999999999</v>
      </c>
      <c r="F52">
        <v>-3.8904999999999998</v>
      </c>
      <c r="G52">
        <v>65</v>
      </c>
      <c r="H52">
        <v>18</v>
      </c>
      <c r="I52">
        <v>84</v>
      </c>
      <c r="J52">
        <v>56</v>
      </c>
      <c r="K52">
        <v>56</v>
      </c>
      <c r="L52">
        <v>84</v>
      </c>
      <c r="M52">
        <v>56</v>
      </c>
      <c r="N52">
        <v>84</v>
      </c>
      <c r="O52">
        <v>20</v>
      </c>
      <c r="P52">
        <v>20</v>
      </c>
      <c r="Q52">
        <v>20</v>
      </c>
    </row>
    <row r="53" spans="1:17" x14ac:dyDescent="0.4">
      <c r="A53" t="s">
        <v>187</v>
      </c>
      <c r="B53">
        <v>52</v>
      </c>
      <c r="C53">
        <v>127.6</v>
      </c>
    </row>
    <row r="54" spans="1:17" x14ac:dyDescent="0.4">
      <c r="A54" t="s">
        <v>188</v>
      </c>
      <c r="B54">
        <v>53</v>
      </c>
      <c r="C54">
        <v>126.9</v>
      </c>
      <c r="D54">
        <v>4.1445080000000001</v>
      </c>
      <c r="E54">
        <v>4.1445080000000001</v>
      </c>
      <c r="F54">
        <v>-1.0550999999999999</v>
      </c>
      <c r="G54">
        <v>26</v>
      </c>
      <c r="H54">
        <v>-31</v>
      </c>
      <c r="I54">
        <v>27</v>
      </c>
      <c r="J54">
        <v>26</v>
      </c>
      <c r="K54">
        <v>26</v>
      </c>
      <c r="L54">
        <v>27</v>
      </c>
      <c r="M54">
        <v>26</v>
      </c>
      <c r="N54">
        <v>27</v>
      </c>
      <c r="O54">
        <v>-53</v>
      </c>
      <c r="P54">
        <v>-53</v>
      </c>
      <c r="Q54">
        <v>-53</v>
      </c>
    </row>
    <row r="55" spans="1:17" x14ac:dyDescent="0.4">
      <c r="A55" t="s">
        <v>191</v>
      </c>
      <c r="B55">
        <v>54</v>
      </c>
      <c r="C55">
        <v>131.29</v>
      </c>
    </row>
    <row r="56" spans="1:17" x14ac:dyDescent="0.4">
      <c r="A56" t="s">
        <v>189</v>
      </c>
      <c r="B56">
        <v>55</v>
      </c>
      <c r="C56">
        <v>132.91</v>
      </c>
      <c r="D56">
        <v>6.1100399999999997</v>
      </c>
      <c r="E56">
        <v>6.1100399999999997</v>
      </c>
      <c r="F56">
        <v>-0.85660000000000003</v>
      </c>
      <c r="G56">
        <v>2</v>
      </c>
      <c r="H56">
        <v>1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1</v>
      </c>
      <c r="P56">
        <v>1</v>
      </c>
      <c r="Q56">
        <v>1</v>
      </c>
    </row>
    <row r="57" spans="1:17" x14ac:dyDescent="0.4">
      <c r="A57" t="s">
        <v>190</v>
      </c>
      <c r="B57">
        <v>56</v>
      </c>
      <c r="C57">
        <v>137.33000000000001</v>
      </c>
      <c r="D57">
        <v>5.0303000000000004</v>
      </c>
      <c r="E57">
        <v>5.0303000000000004</v>
      </c>
      <c r="F57">
        <v>-1.919</v>
      </c>
      <c r="G57">
        <v>9</v>
      </c>
      <c r="H57">
        <v>7</v>
      </c>
      <c r="I57">
        <v>12</v>
      </c>
      <c r="J57">
        <v>7</v>
      </c>
      <c r="K57">
        <v>7</v>
      </c>
      <c r="L57">
        <v>12</v>
      </c>
      <c r="M57">
        <v>7</v>
      </c>
      <c r="N57">
        <v>12</v>
      </c>
      <c r="O57">
        <v>10</v>
      </c>
      <c r="P57">
        <v>10</v>
      </c>
      <c r="Q57">
        <v>10</v>
      </c>
    </row>
    <row r="58" spans="1:17" x14ac:dyDescent="0.4">
      <c r="A58" t="s">
        <v>192</v>
      </c>
      <c r="B58">
        <v>57</v>
      </c>
      <c r="C58">
        <v>138.91</v>
      </c>
    </row>
    <row r="59" spans="1:17" x14ac:dyDescent="0.4">
      <c r="A59" t="s">
        <v>193</v>
      </c>
      <c r="B59">
        <v>58</v>
      </c>
      <c r="C59">
        <v>140.12</v>
      </c>
    </row>
    <row r="60" spans="1:17" x14ac:dyDescent="0.4">
      <c r="A60" t="s">
        <v>194</v>
      </c>
      <c r="B60">
        <v>59</v>
      </c>
      <c r="C60">
        <v>140.91</v>
      </c>
    </row>
    <row r="61" spans="1:17" x14ac:dyDescent="0.4">
      <c r="A61" t="s">
        <v>195</v>
      </c>
      <c r="B61">
        <v>60</v>
      </c>
      <c r="C61">
        <v>144.24</v>
      </c>
      <c r="D61">
        <v>4.1333339999999996</v>
      </c>
      <c r="E61">
        <v>4.1333339999999996</v>
      </c>
      <c r="F61">
        <v>-4.6281999999999996</v>
      </c>
      <c r="G61">
        <v>33</v>
      </c>
      <c r="H61">
        <v>-4</v>
      </c>
      <c r="I61">
        <v>0</v>
      </c>
      <c r="J61">
        <v>50</v>
      </c>
      <c r="K61">
        <v>50</v>
      </c>
      <c r="L61">
        <v>0</v>
      </c>
      <c r="M61">
        <v>50</v>
      </c>
      <c r="N61">
        <v>0</v>
      </c>
      <c r="O61">
        <v>10</v>
      </c>
      <c r="P61">
        <v>10</v>
      </c>
      <c r="Q61">
        <v>10</v>
      </c>
    </row>
    <row r="62" spans="1:17" x14ac:dyDescent="0.4">
      <c r="A62" t="s">
        <v>196</v>
      </c>
      <c r="B62">
        <v>61</v>
      </c>
      <c r="C62">
        <v>145</v>
      </c>
    </row>
    <row r="63" spans="1:17" x14ac:dyDescent="0.4">
      <c r="A63" t="s">
        <v>197</v>
      </c>
      <c r="B63">
        <v>62</v>
      </c>
      <c r="C63">
        <v>150.36000000000001</v>
      </c>
    </row>
    <row r="64" spans="1:17" x14ac:dyDescent="0.4">
      <c r="A64" t="s">
        <v>198</v>
      </c>
      <c r="B64">
        <v>63</v>
      </c>
      <c r="C64">
        <v>151.96</v>
      </c>
    </row>
    <row r="65" spans="1:17" x14ac:dyDescent="0.4">
      <c r="A65" t="s">
        <v>199</v>
      </c>
      <c r="B65">
        <v>64</v>
      </c>
      <c r="C65">
        <v>157.25</v>
      </c>
      <c r="D65">
        <v>4.0368639999999996</v>
      </c>
      <c r="E65">
        <v>4.0368639999999996</v>
      </c>
      <c r="F65">
        <v>-13.9885</v>
      </c>
      <c r="G65">
        <v>105</v>
      </c>
      <c r="H65">
        <v>12</v>
      </c>
      <c r="I65">
        <v>93</v>
      </c>
      <c r="J65">
        <v>112</v>
      </c>
      <c r="K65">
        <v>112</v>
      </c>
      <c r="L65">
        <v>93</v>
      </c>
      <c r="M65">
        <v>112</v>
      </c>
      <c r="N65">
        <v>93</v>
      </c>
      <c r="O65">
        <v>26</v>
      </c>
      <c r="P65">
        <v>26</v>
      </c>
      <c r="Q65">
        <v>26</v>
      </c>
    </row>
    <row r="66" spans="1:17" x14ac:dyDescent="0.4">
      <c r="A66" t="s">
        <v>200</v>
      </c>
      <c r="B66">
        <v>65</v>
      </c>
      <c r="C66">
        <v>158.93</v>
      </c>
    </row>
    <row r="67" spans="1:17" x14ac:dyDescent="0.4">
      <c r="A67" t="s">
        <v>201</v>
      </c>
      <c r="B67">
        <v>66</v>
      </c>
      <c r="C67">
        <v>162.5</v>
      </c>
    </row>
    <row r="68" spans="1:17" x14ac:dyDescent="0.4">
      <c r="A68" t="s">
        <v>202</v>
      </c>
      <c r="B68">
        <v>67</v>
      </c>
      <c r="C68">
        <v>164.93</v>
      </c>
    </row>
    <row r="69" spans="1:17" x14ac:dyDescent="0.4">
      <c r="A69" t="s">
        <v>203</v>
      </c>
      <c r="B69">
        <v>68</v>
      </c>
      <c r="C69">
        <v>167.26</v>
      </c>
      <c r="D69">
        <v>3.962326</v>
      </c>
      <c r="E69">
        <v>3.962326</v>
      </c>
      <c r="F69">
        <v>-4.4248000000000003</v>
      </c>
      <c r="G69">
        <v>40</v>
      </c>
      <c r="H69">
        <v>10</v>
      </c>
      <c r="I69">
        <v>23</v>
      </c>
      <c r="J69">
        <v>48</v>
      </c>
      <c r="K69">
        <v>48</v>
      </c>
      <c r="L69">
        <v>23</v>
      </c>
      <c r="M69">
        <v>48</v>
      </c>
      <c r="N69">
        <v>23</v>
      </c>
      <c r="O69">
        <v>24</v>
      </c>
      <c r="P69">
        <v>24</v>
      </c>
      <c r="Q69">
        <v>24</v>
      </c>
    </row>
    <row r="70" spans="1:17" x14ac:dyDescent="0.4">
      <c r="A70" t="s">
        <v>204</v>
      </c>
      <c r="B70">
        <v>69</v>
      </c>
      <c r="C70">
        <v>168.93</v>
      </c>
    </row>
    <row r="71" spans="1:17" x14ac:dyDescent="0.4">
      <c r="A71" t="s">
        <v>205</v>
      </c>
      <c r="B71">
        <v>70</v>
      </c>
      <c r="C71">
        <v>173.05</v>
      </c>
      <c r="D71">
        <v>4.3029659999999996</v>
      </c>
      <c r="E71">
        <v>4.3029659999999996</v>
      </c>
      <c r="F71">
        <v>-1.5224</v>
      </c>
      <c r="G71">
        <v>15</v>
      </c>
      <c r="H71">
        <v>14</v>
      </c>
      <c r="I71">
        <v>18</v>
      </c>
      <c r="J71">
        <v>14</v>
      </c>
      <c r="K71">
        <v>14</v>
      </c>
      <c r="L71">
        <v>18</v>
      </c>
      <c r="M71">
        <v>14</v>
      </c>
      <c r="N71">
        <v>18</v>
      </c>
      <c r="O71">
        <v>22</v>
      </c>
      <c r="P71">
        <v>22</v>
      </c>
      <c r="Q71">
        <v>22</v>
      </c>
    </row>
    <row r="72" spans="1:17" x14ac:dyDescent="0.4">
      <c r="A72" t="s">
        <v>206</v>
      </c>
      <c r="B72">
        <v>71</v>
      </c>
      <c r="C72">
        <v>174.97</v>
      </c>
    </row>
    <row r="73" spans="1:17" x14ac:dyDescent="0.4">
      <c r="A73" t="s">
        <v>207</v>
      </c>
      <c r="B73">
        <v>72</v>
      </c>
      <c r="C73">
        <v>178.49</v>
      </c>
    </row>
    <row r="74" spans="1:17" x14ac:dyDescent="0.4">
      <c r="A74" t="s">
        <v>137</v>
      </c>
      <c r="B74">
        <v>73</v>
      </c>
      <c r="C74">
        <v>180.95</v>
      </c>
      <c r="D74">
        <v>3.3222879999999999</v>
      </c>
      <c r="E74">
        <v>3.3222879999999999</v>
      </c>
      <c r="F74">
        <v>-11.857799999999999</v>
      </c>
      <c r="G74">
        <v>194</v>
      </c>
      <c r="H74">
        <v>63</v>
      </c>
      <c r="I74">
        <v>265</v>
      </c>
      <c r="J74">
        <v>158</v>
      </c>
      <c r="K74">
        <v>158</v>
      </c>
      <c r="L74">
        <v>265</v>
      </c>
      <c r="M74">
        <v>158</v>
      </c>
      <c r="N74">
        <v>265</v>
      </c>
      <c r="O74">
        <v>69</v>
      </c>
      <c r="P74">
        <v>69</v>
      </c>
      <c r="Q74">
        <v>69</v>
      </c>
    </row>
    <row r="75" spans="1:17" x14ac:dyDescent="0.4">
      <c r="A75" t="s">
        <v>208</v>
      </c>
      <c r="B75">
        <v>74</v>
      </c>
      <c r="C75">
        <v>183.84</v>
      </c>
      <c r="D75">
        <v>3.187414</v>
      </c>
      <c r="E75">
        <v>3.187414</v>
      </c>
      <c r="F75">
        <v>-12.9581</v>
      </c>
      <c r="G75">
        <v>304</v>
      </c>
      <c r="H75">
        <v>147</v>
      </c>
      <c r="I75">
        <v>510</v>
      </c>
      <c r="J75">
        <v>201</v>
      </c>
      <c r="K75">
        <v>201</v>
      </c>
      <c r="L75">
        <v>510</v>
      </c>
      <c r="M75">
        <v>201</v>
      </c>
      <c r="N75">
        <v>510</v>
      </c>
      <c r="O75">
        <v>143</v>
      </c>
      <c r="P75">
        <v>143</v>
      </c>
      <c r="Q75">
        <v>143</v>
      </c>
    </row>
    <row r="76" spans="1:17" x14ac:dyDescent="0.4">
      <c r="A76" t="s">
        <v>209</v>
      </c>
      <c r="B76">
        <v>75</v>
      </c>
      <c r="C76">
        <v>186.21</v>
      </c>
    </row>
    <row r="77" spans="1:17" x14ac:dyDescent="0.4">
      <c r="A77" t="s">
        <v>210</v>
      </c>
      <c r="B77">
        <v>76</v>
      </c>
      <c r="C77">
        <v>190.23</v>
      </c>
    </row>
    <row r="78" spans="1:17" x14ac:dyDescent="0.4">
      <c r="A78" t="s">
        <v>211</v>
      </c>
      <c r="B78">
        <v>77</v>
      </c>
      <c r="C78">
        <v>192.22</v>
      </c>
    </row>
    <row r="79" spans="1:17" x14ac:dyDescent="0.4">
      <c r="A79" t="s">
        <v>134</v>
      </c>
      <c r="B79">
        <v>78</v>
      </c>
      <c r="C79">
        <v>195.08</v>
      </c>
    </row>
    <row r="80" spans="1:17" x14ac:dyDescent="0.4">
      <c r="A80" t="s">
        <v>212</v>
      </c>
      <c r="B80">
        <v>79</v>
      </c>
      <c r="C80">
        <v>196.97</v>
      </c>
    </row>
    <row r="81" spans="1:17" x14ac:dyDescent="0.4">
      <c r="A81" t="s">
        <v>213</v>
      </c>
      <c r="B81">
        <v>80</v>
      </c>
      <c r="C81">
        <v>200.59</v>
      </c>
    </row>
    <row r="82" spans="1:17" x14ac:dyDescent="0.4">
      <c r="A82" t="s">
        <v>214</v>
      </c>
      <c r="B82">
        <v>81</v>
      </c>
      <c r="C82">
        <v>204.38</v>
      </c>
      <c r="D82">
        <v>3.9635400000000001</v>
      </c>
      <c r="E82">
        <v>3.9635400000000001</v>
      </c>
      <c r="F82">
        <v>-2.3616999999999999</v>
      </c>
      <c r="G82">
        <v>27</v>
      </c>
      <c r="H82">
        <v>5</v>
      </c>
      <c r="I82">
        <v>26</v>
      </c>
      <c r="J82">
        <v>27</v>
      </c>
      <c r="K82">
        <v>27</v>
      </c>
      <c r="L82">
        <v>26</v>
      </c>
      <c r="M82">
        <v>27</v>
      </c>
      <c r="N82">
        <v>26</v>
      </c>
      <c r="O82">
        <v>9</v>
      </c>
      <c r="P82">
        <v>9</v>
      </c>
      <c r="Q82">
        <v>9</v>
      </c>
    </row>
    <row r="83" spans="1:17" x14ac:dyDescent="0.4">
      <c r="A83" t="s">
        <v>215</v>
      </c>
      <c r="B83">
        <v>82</v>
      </c>
      <c r="C83">
        <v>207.2</v>
      </c>
      <c r="D83">
        <v>4.0044180000000003</v>
      </c>
      <c r="E83">
        <v>4.0044180000000003</v>
      </c>
      <c r="F83">
        <v>-3.665</v>
      </c>
      <c r="G83">
        <v>38</v>
      </c>
      <c r="H83">
        <v>4</v>
      </c>
      <c r="I83">
        <v>16</v>
      </c>
      <c r="J83">
        <v>49</v>
      </c>
      <c r="K83">
        <v>49</v>
      </c>
      <c r="L83">
        <v>16</v>
      </c>
      <c r="M83">
        <v>49</v>
      </c>
      <c r="N83">
        <v>16</v>
      </c>
      <c r="O83">
        <v>18</v>
      </c>
      <c r="P83">
        <v>18</v>
      </c>
      <c r="Q83">
        <v>18</v>
      </c>
    </row>
    <row r="84" spans="1:17" x14ac:dyDescent="0.4">
      <c r="A84" t="s">
        <v>216</v>
      </c>
      <c r="B84">
        <v>83</v>
      </c>
      <c r="C84">
        <v>208.98</v>
      </c>
      <c r="D84">
        <v>3.9876960000000001</v>
      </c>
      <c r="E84">
        <v>3.9876960000000001</v>
      </c>
      <c r="F84">
        <v>-3.7507000000000001</v>
      </c>
      <c r="G84">
        <v>53</v>
      </c>
      <c r="H84">
        <v>16</v>
      </c>
      <c r="I84">
        <v>61</v>
      </c>
      <c r="J84">
        <v>50</v>
      </c>
      <c r="K84">
        <v>50</v>
      </c>
      <c r="L84">
        <v>61</v>
      </c>
      <c r="M84">
        <v>50</v>
      </c>
      <c r="N84">
        <v>61</v>
      </c>
      <c r="O84">
        <v>23</v>
      </c>
      <c r="P84">
        <v>23</v>
      </c>
      <c r="Q84">
        <v>23</v>
      </c>
    </row>
    <row r="85" spans="1:17" x14ac:dyDescent="0.4">
      <c r="A85" t="s">
        <v>217</v>
      </c>
      <c r="B85">
        <v>84</v>
      </c>
      <c r="C85">
        <v>209</v>
      </c>
    </row>
    <row r="86" spans="1:17" x14ac:dyDescent="0.4">
      <c r="A86" t="s">
        <v>218</v>
      </c>
      <c r="B86">
        <v>85</v>
      </c>
      <c r="C86">
        <v>210</v>
      </c>
    </row>
    <row r="87" spans="1:17" x14ac:dyDescent="0.4">
      <c r="A87" t="s">
        <v>219</v>
      </c>
      <c r="B87">
        <v>86</v>
      </c>
      <c r="C87">
        <v>222</v>
      </c>
    </row>
    <row r="88" spans="1:17" x14ac:dyDescent="0.4">
      <c r="A88" t="s">
        <v>220</v>
      </c>
      <c r="B88">
        <v>87</v>
      </c>
      <c r="C88">
        <v>223</v>
      </c>
    </row>
    <row r="89" spans="1:17" x14ac:dyDescent="0.4">
      <c r="A89" t="s">
        <v>221</v>
      </c>
      <c r="B89">
        <v>88</v>
      </c>
      <c r="C89">
        <v>226</v>
      </c>
    </row>
    <row r="90" spans="1:17" x14ac:dyDescent="0.4">
      <c r="A90" t="s">
        <v>222</v>
      </c>
      <c r="B90">
        <v>89</v>
      </c>
      <c r="C90">
        <v>227</v>
      </c>
    </row>
    <row r="91" spans="1:17" x14ac:dyDescent="0.4">
      <c r="A91" t="s">
        <v>223</v>
      </c>
      <c r="B91">
        <v>90</v>
      </c>
      <c r="C91">
        <v>232.04</v>
      </c>
      <c r="D91">
        <v>4.0110939999999999</v>
      </c>
      <c r="E91">
        <v>4.0110939999999999</v>
      </c>
      <c r="F91">
        <v>-7.2526999999999999</v>
      </c>
      <c r="G91">
        <v>62</v>
      </c>
      <c r="H91">
        <v>9</v>
      </c>
      <c r="I91">
        <v>22</v>
      </c>
      <c r="J91">
        <v>83</v>
      </c>
      <c r="K91">
        <v>83</v>
      </c>
      <c r="L91">
        <v>22</v>
      </c>
      <c r="M91">
        <v>83</v>
      </c>
      <c r="N91">
        <v>22</v>
      </c>
      <c r="O91">
        <v>35</v>
      </c>
      <c r="P91">
        <v>35</v>
      </c>
      <c r="Q91">
        <v>35</v>
      </c>
    </row>
    <row r="92" spans="1:17" x14ac:dyDescent="0.4">
      <c r="A92" t="s">
        <v>224</v>
      </c>
      <c r="B92">
        <v>91</v>
      </c>
      <c r="C92">
        <v>231.04</v>
      </c>
    </row>
    <row r="93" spans="1:17" x14ac:dyDescent="0.4">
      <c r="A93" t="s">
        <v>225</v>
      </c>
      <c r="B93">
        <v>92</v>
      </c>
      <c r="C93">
        <v>238.03</v>
      </c>
      <c r="D93">
        <v>3.4328720000000001</v>
      </c>
      <c r="E93">
        <v>3.4328720000000001</v>
      </c>
      <c r="F93">
        <v>-11.02</v>
      </c>
      <c r="G93">
        <v>133</v>
      </c>
      <c r="H93">
        <v>-10</v>
      </c>
      <c r="I93">
        <v>23</v>
      </c>
      <c r="J93">
        <v>188</v>
      </c>
      <c r="K93">
        <v>188</v>
      </c>
      <c r="L93">
        <v>23</v>
      </c>
      <c r="M93">
        <v>188</v>
      </c>
      <c r="N93">
        <v>23</v>
      </c>
      <c r="O93">
        <v>39</v>
      </c>
      <c r="P93">
        <v>39</v>
      </c>
      <c r="Q93">
        <v>39</v>
      </c>
    </row>
    <row r="94" spans="1:17" x14ac:dyDescent="0.4">
      <c r="A94" t="s">
        <v>226</v>
      </c>
      <c r="B94">
        <v>93</v>
      </c>
      <c r="C94">
        <v>237</v>
      </c>
      <c r="D94">
        <v>3.2869000000000002</v>
      </c>
      <c r="E94">
        <v>3.2869000000000002</v>
      </c>
      <c r="F94">
        <v>-12.500299999999999</v>
      </c>
      <c r="G94">
        <v>198</v>
      </c>
      <c r="H94">
        <v>645</v>
      </c>
      <c r="I94">
        <v>174</v>
      </c>
      <c r="J94">
        <v>211</v>
      </c>
      <c r="K94">
        <v>211</v>
      </c>
      <c r="L94">
        <v>174</v>
      </c>
      <c r="M94">
        <v>211</v>
      </c>
      <c r="N94">
        <v>174</v>
      </c>
      <c r="O94">
        <v>1088</v>
      </c>
      <c r="P94">
        <v>1088</v>
      </c>
      <c r="Q94">
        <v>1088</v>
      </c>
    </row>
    <row r="95" spans="1:17" x14ac:dyDescent="0.4">
      <c r="A95" t="s">
        <v>227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4064-0682-40DA-8716-B48B2C3F2698}">
  <dimension ref="A1:Q95"/>
  <sheetViews>
    <sheetView workbookViewId="0">
      <selection activeCell="D95" sqref="D95"/>
    </sheetView>
  </sheetViews>
  <sheetFormatPr defaultRowHeight="18.75" x14ac:dyDescent="0.4"/>
  <sheetData>
    <row r="1" spans="1:17" x14ac:dyDescent="0.4">
      <c r="D1" t="s">
        <v>335</v>
      </c>
      <c r="E1" t="s">
        <v>336</v>
      </c>
      <c r="F1" t="s">
        <v>337</v>
      </c>
      <c r="G1" t="s">
        <v>347</v>
      </c>
      <c r="H1" t="s">
        <v>348</v>
      </c>
      <c r="I1" t="s">
        <v>338</v>
      </c>
      <c r="J1" t="s">
        <v>339</v>
      </c>
      <c r="K1" t="s">
        <v>340</v>
      </c>
      <c r="L1" t="s">
        <v>344</v>
      </c>
      <c r="M1" t="s">
        <v>345</v>
      </c>
      <c r="N1" t="s">
        <v>341</v>
      </c>
      <c r="O1" t="s">
        <v>342</v>
      </c>
      <c r="P1" t="s">
        <v>346</v>
      </c>
      <c r="Q1" t="s">
        <v>343</v>
      </c>
    </row>
    <row r="2" spans="1:17" x14ac:dyDescent="0.4">
      <c r="A2" t="s">
        <v>144</v>
      </c>
      <c r="B2">
        <v>1</v>
      </c>
      <c r="C2">
        <v>1.008</v>
      </c>
      <c r="D2">
        <v>5.1311976399999999</v>
      </c>
      <c r="E2">
        <v>3.8118919999999998</v>
      </c>
      <c r="F2">
        <v>-1.1121000000000001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  <c r="Q2">
        <v>0</v>
      </c>
    </row>
    <row r="3" spans="1:17" x14ac:dyDescent="0.4">
      <c r="A3" t="s">
        <v>145</v>
      </c>
      <c r="B3">
        <v>2</v>
      </c>
      <c r="C3">
        <v>4.0026000000000002</v>
      </c>
    </row>
    <row r="4" spans="1:17" x14ac:dyDescent="0.4">
      <c r="A4" t="s">
        <v>146</v>
      </c>
      <c r="B4">
        <v>3</v>
      </c>
      <c r="C4">
        <v>6.94</v>
      </c>
      <c r="D4">
        <v>3.07753839</v>
      </c>
      <c r="E4">
        <v>4.9229469999999997</v>
      </c>
      <c r="F4">
        <v>-1.9064000000000001</v>
      </c>
      <c r="G4">
        <v>14</v>
      </c>
      <c r="H4">
        <v>6</v>
      </c>
      <c r="I4">
        <v>22</v>
      </c>
      <c r="J4">
        <v>11</v>
      </c>
      <c r="K4">
        <v>8</v>
      </c>
      <c r="L4">
        <v>22</v>
      </c>
      <c r="M4">
        <v>8</v>
      </c>
      <c r="N4">
        <v>26</v>
      </c>
      <c r="O4">
        <v>6</v>
      </c>
      <c r="P4">
        <v>6</v>
      </c>
      <c r="Q4">
        <v>6</v>
      </c>
    </row>
    <row r="5" spans="1:17" x14ac:dyDescent="0.4">
      <c r="A5" t="s">
        <v>147</v>
      </c>
      <c r="B5">
        <v>4</v>
      </c>
      <c r="C5">
        <v>9.0122</v>
      </c>
      <c r="D5">
        <v>2.25982569</v>
      </c>
      <c r="E5">
        <v>3.5698780000000001</v>
      </c>
      <c r="F5">
        <v>-3.7393999999999998</v>
      </c>
      <c r="G5">
        <v>122</v>
      </c>
      <c r="H5">
        <v>161</v>
      </c>
      <c r="I5">
        <v>322</v>
      </c>
      <c r="J5">
        <v>21</v>
      </c>
      <c r="K5">
        <v>8</v>
      </c>
      <c r="L5">
        <v>322</v>
      </c>
      <c r="M5">
        <v>8</v>
      </c>
      <c r="N5">
        <v>378</v>
      </c>
      <c r="O5">
        <v>162</v>
      </c>
      <c r="P5">
        <v>162</v>
      </c>
      <c r="Q5">
        <v>162</v>
      </c>
    </row>
    <row r="6" spans="1:17" x14ac:dyDescent="0.4">
      <c r="A6" t="s">
        <v>33</v>
      </c>
      <c r="B6">
        <v>5</v>
      </c>
      <c r="C6">
        <v>10.81</v>
      </c>
    </row>
    <row r="7" spans="1:17" x14ac:dyDescent="0.4">
      <c r="A7" t="s">
        <v>142</v>
      </c>
      <c r="B7">
        <v>6</v>
      </c>
      <c r="C7">
        <v>12.010999999999999</v>
      </c>
    </row>
    <row r="8" spans="1:17" x14ac:dyDescent="0.4">
      <c r="A8" t="s">
        <v>148</v>
      </c>
      <c r="B8">
        <v>7</v>
      </c>
      <c r="C8">
        <v>14.007</v>
      </c>
    </row>
    <row r="9" spans="1:17" x14ac:dyDescent="0.4">
      <c r="A9" t="s">
        <v>149</v>
      </c>
      <c r="B9">
        <v>8</v>
      </c>
      <c r="C9">
        <v>15.999000000000001</v>
      </c>
    </row>
    <row r="10" spans="1:17" x14ac:dyDescent="0.4">
      <c r="A10" t="s">
        <v>150</v>
      </c>
      <c r="B10">
        <v>9</v>
      </c>
      <c r="C10">
        <v>18.998000000000001</v>
      </c>
    </row>
    <row r="11" spans="1:17" x14ac:dyDescent="0.4">
      <c r="A11" t="s">
        <v>151</v>
      </c>
      <c r="B11">
        <v>10</v>
      </c>
      <c r="C11">
        <v>20.18</v>
      </c>
    </row>
    <row r="12" spans="1:17" x14ac:dyDescent="0.4">
      <c r="A12" t="s">
        <v>152</v>
      </c>
      <c r="B12">
        <v>11</v>
      </c>
      <c r="C12">
        <v>22.99</v>
      </c>
      <c r="D12">
        <v>3.7594177900000001</v>
      </c>
      <c r="E12">
        <v>6.0649769999999998</v>
      </c>
      <c r="F12">
        <v>-1.3122</v>
      </c>
      <c r="G12">
        <v>9</v>
      </c>
      <c r="H12">
        <v>4</v>
      </c>
      <c r="I12">
        <v>14</v>
      </c>
      <c r="J12">
        <v>7</v>
      </c>
      <c r="K12">
        <v>5</v>
      </c>
      <c r="L12">
        <v>14</v>
      </c>
      <c r="M12">
        <v>5</v>
      </c>
      <c r="N12">
        <v>18</v>
      </c>
      <c r="O12">
        <v>3</v>
      </c>
      <c r="P12">
        <v>3</v>
      </c>
      <c r="Q12">
        <v>3</v>
      </c>
    </row>
    <row r="13" spans="1:17" x14ac:dyDescent="0.4">
      <c r="A13" t="s">
        <v>153</v>
      </c>
      <c r="B13">
        <v>12</v>
      </c>
      <c r="C13">
        <v>24.305</v>
      </c>
      <c r="D13">
        <v>3.2030277300000001</v>
      </c>
      <c r="E13">
        <v>5.1266910000000001</v>
      </c>
      <c r="F13">
        <v>-1.5908</v>
      </c>
      <c r="G13">
        <v>37</v>
      </c>
      <c r="H13">
        <v>18</v>
      </c>
      <c r="I13">
        <v>58</v>
      </c>
      <c r="J13">
        <v>30</v>
      </c>
      <c r="K13">
        <v>22</v>
      </c>
      <c r="L13">
        <v>58</v>
      </c>
      <c r="M13">
        <v>22</v>
      </c>
      <c r="N13">
        <v>66</v>
      </c>
      <c r="O13">
        <v>20</v>
      </c>
      <c r="P13">
        <v>20</v>
      </c>
      <c r="Q13">
        <v>20</v>
      </c>
    </row>
    <row r="14" spans="1:17" x14ac:dyDescent="0.4">
      <c r="A14" t="s">
        <v>154</v>
      </c>
      <c r="B14">
        <v>13</v>
      </c>
      <c r="C14">
        <v>26.981999999999999</v>
      </c>
    </row>
    <row r="15" spans="1:17" x14ac:dyDescent="0.4">
      <c r="A15" t="s">
        <v>155</v>
      </c>
      <c r="B15">
        <v>14</v>
      </c>
      <c r="C15">
        <v>28.085000000000001</v>
      </c>
      <c r="D15">
        <v>2.6394217800000002</v>
      </c>
      <c r="E15">
        <v>4.7641039999999997</v>
      </c>
      <c r="F15">
        <v>-4.9123999999999999</v>
      </c>
      <c r="G15">
        <v>86</v>
      </c>
      <c r="H15">
        <v>38</v>
      </c>
      <c r="I15">
        <v>117</v>
      </c>
      <c r="J15">
        <v>64</v>
      </c>
      <c r="K15">
        <v>77</v>
      </c>
      <c r="L15">
        <v>117</v>
      </c>
      <c r="M15">
        <v>77</v>
      </c>
      <c r="N15">
        <v>101</v>
      </c>
      <c r="O15">
        <v>62</v>
      </c>
      <c r="P15">
        <v>62</v>
      </c>
      <c r="Q15">
        <v>62</v>
      </c>
    </row>
    <row r="16" spans="1:17" x14ac:dyDescent="0.4">
      <c r="A16" t="s">
        <v>156</v>
      </c>
      <c r="B16">
        <v>15</v>
      </c>
      <c r="C16">
        <v>30.974</v>
      </c>
    </row>
    <row r="17" spans="1:17" x14ac:dyDescent="0.4">
      <c r="A17" t="s">
        <v>158</v>
      </c>
      <c r="B17">
        <v>16</v>
      </c>
      <c r="C17">
        <v>32.06</v>
      </c>
    </row>
    <row r="18" spans="1:17" x14ac:dyDescent="0.4">
      <c r="A18" t="s">
        <v>157</v>
      </c>
      <c r="B18">
        <v>17</v>
      </c>
      <c r="C18">
        <v>35.450000000000003</v>
      </c>
    </row>
    <row r="19" spans="1:17" x14ac:dyDescent="0.4">
      <c r="A19" t="s">
        <v>159</v>
      </c>
      <c r="B19">
        <v>18</v>
      </c>
      <c r="C19">
        <v>39.948</v>
      </c>
    </row>
    <row r="20" spans="1:17" x14ac:dyDescent="0.4">
      <c r="A20" t="s">
        <v>160</v>
      </c>
      <c r="B20">
        <v>19</v>
      </c>
      <c r="C20">
        <v>39.097999999999999</v>
      </c>
    </row>
    <row r="21" spans="1:17" x14ac:dyDescent="0.4">
      <c r="A21" t="s">
        <v>161</v>
      </c>
      <c r="B21">
        <v>20</v>
      </c>
      <c r="C21">
        <v>40.078000000000003</v>
      </c>
      <c r="D21">
        <v>3.8966120100000001</v>
      </c>
      <c r="E21">
        <v>6.4513220000000002</v>
      </c>
      <c r="F21">
        <v>-1.9995000000000001</v>
      </c>
      <c r="G21">
        <v>18</v>
      </c>
      <c r="H21">
        <v>10</v>
      </c>
      <c r="I21">
        <v>31</v>
      </c>
      <c r="J21">
        <v>13</v>
      </c>
      <c r="K21">
        <v>7</v>
      </c>
      <c r="L21">
        <v>31</v>
      </c>
      <c r="M21">
        <v>7</v>
      </c>
      <c r="N21">
        <v>41</v>
      </c>
      <c r="O21">
        <v>8</v>
      </c>
      <c r="P21">
        <v>8</v>
      </c>
      <c r="Q21">
        <v>8</v>
      </c>
    </row>
    <row r="22" spans="1:17" x14ac:dyDescent="0.4">
      <c r="A22" t="s">
        <v>162</v>
      </c>
      <c r="B22">
        <v>21</v>
      </c>
      <c r="C22">
        <v>44.956000000000003</v>
      </c>
      <c r="D22">
        <v>3.31865583</v>
      </c>
      <c r="E22">
        <v>5.1780400000000002</v>
      </c>
      <c r="F22">
        <v>-6.3324999999999996</v>
      </c>
      <c r="G22">
        <v>52</v>
      </c>
      <c r="H22">
        <v>30</v>
      </c>
      <c r="I22">
        <v>98</v>
      </c>
      <c r="J22">
        <v>34</v>
      </c>
      <c r="K22">
        <v>30</v>
      </c>
      <c r="L22">
        <v>98</v>
      </c>
      <c r="M22">
        <v>30</v>
      </c>
      <c r="N22">
        <v>89</v>
      </c>
      <c r="O22">
        <v>28</v>
      </c>
      <c r="P22">
        <v>28</v>
      </c>
      <c r="Q22">
        <v>32</v>
      </c>
    </row>
    <row r="23" spans="1:17" x14ac:dyDescent="0.4">
      <c r="A23" t="s">
        <v>138</v>
      </c>
      <c r="B23">
        <v>22</v>
      </c>
      <c r="C23">
        <v>47.866999999999997</v>
      </c>
      <c r="D23">
        <v>2.9338137999999998</v>
      </c>
      <c r="E23">
        <v>4.6570090000000004</v>
      </c>
      <c r="F23">
        <v>-7.8910999999999998</v>
      </c>
      <c r="G23">
        <v>113</v>
      </c>
      <c r="H23">
        <v>47</v>
      </c>
      <c r="I23">
        <v>177</v>
      </c>
      <c r="J23">
        <v>83</v>
      </c>
      <c r="K23">
        <v>76</v>
      </c>
      <c r="L23">
        <v>177</v>
      </c>
      <c r="M23">
        <v>76</v>
      </c>
      <c r="N23">
        <v>191</v>
      </c>
      <c r="O23">
        <v>42</v>
      </c>
      <c r="P23">
        <v>42</v>
      </c>
      <c r="Q23">
        <v>47</v>
      </c>
    </row>
    <row r="24" spans="1:17" x14ac:dyDescent="0.4">
      <c r="A24" t="s">
        <v>135</v>
      </c>
      <c r="B24">
        <v>23</v>
      </c>
      <c r="C24">
        <v>50.942</v>
      </c>
    </row>
    <row r="25" spans="1:17" x14ac:dyDescent="0.4">
      <c r="A25" t="s">
        <v>140</v>
      </c>
      <c r="B25">
        <v>24</v>
      </c>
      <c r="C25">
        <v>51.996000000000002</v>
      </c>
    </row>
    <row r="26" spans="1:17" x14ac:dyDescent="0.4">
      <c r="A26" t="s">
        <v>163</v>
      </c>
      <c r="B26">
        <v>25</v>
      </c>
      <c r="C26">
        <v>54.938000000000002</v>
      </c>
    </row>
    <row r="27" spans="1:17" x14ac:dyDescent="0.4">
      <c r="A27" t="s">
        <v>139</v>
      </c>
      <c r="B27">
        <v>26</v>
      </c>
      <c r="C27">
        <v>55.844999999999999</v>
      </c>
      <c r="D27">
        <v>2.4657558499999999</v>
      </c>
      <c r="E27">
        <v>3.9001920000000001</v>
      </c>
      <c r="F27">
        <v>-8.3720999999999997</v>
      </c>
      <c r="G27">
        <v>295</v>
      </c>
      <c r="H27">
        <v>186</v>
      </c>
      <c r="I27">
        <v>538</v>
      </c>
      <c r="J27">
        <v>170</v>
      </c>
      <c r="K27">
        <v>153</v>
      </c>
      <c r="L27">
        <v>538</v>
      </c>
      <c r="M27">
        <v>153</v>
      </c>
      <c r="N27">
        <v>622</v>
      </c>
      <c r="O27">
        <v>168</v>
      </c>
      <c r="P27">
        <v>168</v>
      </c>
      <c r="Q27">
        <v>184</v>
      </c>
    </row>
    <row r="28" spans="1:17" x14ac:dyDescent="0.4">
      <c r="A28" t="s">
        <v>164</v>
      </c>
      <c r="B28">
        <v>27</v>
      </c>
      <c r="C28">
        <v>58.933</v>
      </c>
      <c r="D28">
        <v>2.5007837999999998</v>
      </c>
      <c r="E28">
        <v>4.0333310000000004</v>
      </c>
      <c r="F28">
        <v>-7.1082999999999998</v>
      </c>
      <c r="G28">
        <v>212</v>
      </c>
      <c r="H28">
        <v>106</v>
      </c>
      <c r="I28">
        <v>358</v>
      </c>
      <c r="J28">
        <v>165</v>
      </c>
      <c r="K28">
        <v>114</v>
      </c>
      <c r="L28">
        <v>358</v>
      </c>
      <c r="M28">
        <v>114</v>
      </c>
      <c r="N28">
        <v>409</v>
      </c>
      <c r="O28">
        <v>95</v>
      </c>
      <c r="P28">
        <v>95</v>
      </c>
      <c r="Q28">
        <v>95</v>
      </c>
    </row>
    <row r="29" spans="1:17" x14ac:dyDescent="0.4">
      <c r="A29" t="s">
        <v>165</v>
      </c>
      <c r="B29">
        <v>28</v>
      </c>
      <c r="C29">
        <v>58.692999999999998</v>
      </c>
      <c r="D29">
        <v>2.4742781699999998</v>
      </c>
      <c r="E29">
        <v>4.0701809999999998</v>
      </c>
      <c r="F29">
        <v>-5.7539999999999996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166</v>
      </c>
      <c r="B30">
        <v>29</v>
      </c>
      <c r="C30">
        <v>63.545999999999999</v>
      </c>
    </row>
    <row r="31" spans="1:17" x14ac:dyDescent="0.4">
      <c r="A31" t="s">
        <v>167</v>
      </c>
      <c r="B31">
        <v>30</v>
      </c>
      <c r="C31">
        <v>65.38</v>
      </c>
      <c r="D31">
        <v>2.62673047</v>
      </c>
      <c r="E31">
        <v>5.2072339999999997</v>
      </c>
      <c r="F31">
        <v>-1.2595000000000001</v>
      </c>
      <c r="G31">
        <v>75</v>
      </c>
      <c r="H31">
        <v>41</v>
      </c>
      <c r="I31">
        <v>163</v>
      </c>
      <c r="J31">
        <v>45</v>
      </c>
      <c r="K31">
        <v>48</v>
      </c>
      <c r="L31">
        <v>163</v>
      </c>
      <c r="M31">
        <v>48</v>
      </c>
      <c r="N31">
        <v>61</v>
      </c>
      <c r="O31">
        <v>32</v>
      </c>
      <c r="P31">
        <v>32</v>
      </c>
      <c r="Q31">
        <v>59</v>
      </c>
    </row>
    <row r="32" spans="1:17" x14ac:dyDescent="0.4">
      <c r="A32" t="s">
        <v>168</v>
      </c>
      <c r="B32">
        <v>31</v>
      </c>
      <c r="C32">
        <v>69.722999999999999</v>
      </c>
    </row>
    <row r="33" spans="1:17" x14ac:dyDescent="0.4">
      <c r="A33" t="s">
        <v>169</v>
      </c>
      <c r="B33">
        <v>32</v>
      </c>
      <c r="C33">
        <v>72.63</v>
      </c>
      <c r="D33">
        <v>2.9911238400000002</v>
      </c>
      <c r="E33">
        <v>5.0033859999999999</v>
      </c>
      <c r="F33">
        <v>-4.2916999999999996</v>
      </c>
      <c r="G33">
        <v>49</v>
      </c>
      <c r="H33">
        <v>16</v>
      </c>
      <c r="I33">
        <v>73</v>
      </c>
      <c r="J33">
        <v>48</v>
      </c>
      <c r="K33">
        <v>30</v>
      </c>
      <c r="L33">
        <v>74</v>
      </c>
      <c r="M33">
        <v>30</v>
      </c>
      <c r="N33">
        <v>83</v>
      </c>
      <c r="O33">
        <v>12</v>
      </c>
      <c r="P33">
        <v>12</v>
      </c>
      <c r="Q33">
        <v>13</v>
      </c>
    </row>
    <row r="34" spans="1:17" x14ac:dyDescent="0.4">
      <c r="A34" t="s">
        <v>170</v>
      </c>
      <c r="B34">
        <v>33</v>
      </c>
      <c r="C34">
        <v>74.921999999999997</v>
      </c>
    </row>
    <row r="35" spans="1:17" x14ac:dyDescent="0.4">
      <c r="A35" t="s">
        <v>171</v>
      </c>
      <c r="B35">
        <v>34</v>
      </c>
      <c r="C35">
        <v>78.971000000000004</v>
      </c>
    </row>
    <row r="36" spans="1:17" x14ac:dyDescent="0.4">
      <c r="A36" t="s">
        <v>172</v>
      </c>
      <c r="B36">
        <v>35</v>
      </c>
      <c r="C36">
        <v>79.903999999999996</v>
      </c>
    </row>
    <row r="37" spans="1:17" x14ac:dyDescent="0.4">
      <c r="A37" t="s">
        <v>173</v>
      </c>
      <c r="B37">
        <v>36</v>
      </c>
      <c r="C37">
        <v>83.798000000000002</v>
      </c>
    </row>
    <row r="38" spans="1:17" x14ac:dyDescent="0.4">
      <c r="A38" t="s">
        <v>174</v>
      </c>
      <c r="B38">
        <v>37</v>
      </c>
      <c r="C38">
        <v>85.468000000000004</v>
      </c>
    </row>
    <row r="39" spans="1:17" x14ac:dyDescent="0.4">
      <c r="A39" t="s">
        <v>175</v>
      </c>
      <c r="B39">
        <v>38</v>
      </c>
      <c r="C39">
        <v>87.62</v>
      </c>
      <c r="D39">
        <v>4.2513880000000004</v>
      </c>
      <c r="E39">
        <v>7.0556489999999998</v>
      </c>
      <c r="F39">
        <v>-1.6839</v>
      </c>
      <c r="G39">
        <v>11</v>
      </c>
      <c r="H39">
        <v>7</v>
      </c>
      <c r="I39">
        <v>20</v>
      </c>
      <c r="J39">
        <v>9</v>
      </c>
      <c r="K39">
        <v>5</v>
      </c>
      <c r="L39">
        <v>20</v>
      </c>
      <c r="M39">
        <v>5</v>
      </c>
      <c r="N39">
        <v>26</v>
      </c>
      <c r="O39">
        <v>5</v>
      </c>
      <c r="P39">
        <v>5</v>
      </c>
      <c r="Q39">
        <v>5</v>
      </c>
    </row>
    <row r="40" spans="1:17" x14ac:dyDescent="0.4">
      <c r="A40" t="s">
        <v>176</v>
      </c>
      <c r="B40">
        <v>39</v>
      </c>
      <c r="C40">
        <v>88.906000000000006</v>
      </c>
      <c r="D40">
        <v>3.65898776</v>
      </c>
      <c r="E40">
        <v>5.6659649999999999</v>
      </c>
      <c r="F40">
        <v>-6.4629000000000003</v>
      </c>
      <c r="G40">
        <v>41</v>
      </c>
      <c r="H40">
        <v>26</v>
      </c>
      <c r="I40">
        <v>77</v>
      </c>
      <c r="J40">
        <v>26</v>
      </c>
      <c r="K40">
        <v>21</v>
      </c>
      <c r="L40">
        <v>77</v>
      </c>
      <c r="M40">
        <v>21</v>
      </c>
      <c r="N40">
        <v>81</v>
      </c>
      <c r="O40">
        <v>25</v>
      </c>
      <c r="P40">
        <v>25</v>
      </c>
      <c r="Q40">
        <v>25</v>
      </c>
    </row>
    <row r="41" spans="1:17" x14ac:dyDescent="0.4">
      <c r="A41" t="s">
        <v>177</v>
      </c>
      <c r="B41">
        <v>40</v>
      </c>
      <c r="C41">
        <v>91.224000000000004</v>
      </c>
      <c r="D41">
        <v>3.23923191</v>
      </c>
      <c r="E41">
        <v>5.1722200000000003</v>
      </c>
      <c r="F41">
        <v>-8.5477000000000007</v>
      </c>
      <c r="G41">
        <v>94</v>
      </c>
      <c r="H41">
        <v>35</v>
      </c>
      <c r="I41">
        <v>144</v>
      </c>
      <c r="J41">
        <v>65</v>
      </c>
      <c r="K41">
        <v>67</v>
      </c>
      <c r="L41">
        <v>144</v>
      </c>
      <c r="M41">
        <v>67</v>
      </c>
      <c r="N41">
        <v>162</v>
      </c>
      <c r="O41">
        <v>26</v>
      </c>
      <c r="P41">
        <v>26</v>
      </c>
      <c r="Q41">
        <v>40</v>
      </c>
    </row>
    <row r="42" spans="1:17" x14ac:dyDescent="0.4">
      <c r="A42" t="s">
        <v>136</v>
      </c>
      <c r="B42">
        <v>41</v>
      </c>
      <c r="C42">
        <v>92.906000000000006</v>
      </c>
    </row>
    <row r="43" spans="1:17" x14ac:dyDescent="0.4">
      <c r="A43" t="s">
        <v>141</v>
      </c>
      <c r="B43">
        <v>42</v>
      </c>
      <c r="C43">
        <v>95.95</v>
      </c>
    </row>
    <row r="44" spans="1:17" x14ac:dyDescent="0.4">
      <c r="A44" t="s">
        <v>178</v>
      </c>
      <c r="B44">
        <v>43</v>
      </c>
      <c r="C44">
        <v>98</v>
      </c>
      <c r="D44">
        <v>2.76071635</v>
      </c>
      <c r="E44">
        <v>4.4213399999999998</v>
      </c>
      <c r="F44">
        <v>-10.3606</v>
      </c>
      <c r="G44">
        <v>300</v>
      </c>
      <c r="H44">
        <v>144</v>
      </c>
      <c r="I44">
        <v>497</v>
      </c>
      <c r="J44">
        <v>222</v>
      </c>
      <c r="K44">
        <v>174</v>
      </c>
      <c r="L44">
        <v>497</v>
      </c>
      <c r="M44">
        <v>174</v>
      </c>
      <c r="N44">
        <v>566</v>
      </c>
      <c r="O44">
        <v>126</v>
      </c>
      <c r="P44">
        <v>126</v>
      </c>
      <c r="Q44">
        <v>137</v>
      </c>
    </row>
    <row r="45" spans="1:17" x14ac:dyDescent="0.4">
      <c r="A45" t="s">
        <v>179</v>
      </c>
      <c r="B45">
        <v>44</v>
      </c>
      <c r="C45">
        <v>101.07</v>
      </c>
      <c r="D45">
        <v>2.73293008</v>
      </c>
      <c r="E45">
        <v>4.313923</v>
      </c>
      <c r="F45">
        <v>-9.2744</v>
      </c>
      <c r="G45">
        <v>308</v>
      </c>
      <c r="H45">
        <v>193</v>
      </c>
      <c r="I45">
        <v>559</v>
      </c>
      <c r="J45">
        <v>178</v>
      </c>
      <c r="K45">
        <v>166</v>
      </c>
      <c r="L45">
        <v>559</v>
      </c>
      <c r="M45">
        <v>166</v>
      </c>
      <c r="N45">
        <v>635</v>
      </c>
      <c r="O45">
        <v>181</v>
      </c>
      <c r="P45">
        <v>181</v>
      </c>
      <c r="Q45">
        <v>190</v>
      </c>
    </row>
    <row r="46" spans="1:17" x14ac:dyDescent="0.4">
      <c r="A46" t="s">
        <v>180</v>
      </c>
      <c r="B46">
        <v>45</v>
      </c>
      <c r="C46">
        <v>102.91</v>
      </c>
    </row>
    <row r="47" spans="1:17" x14ac:dyDescent="0.4">
      <c r="A47" t="s">
        <v>181</v>
      </c>
      <c r="B47">
        <v>46</v>
      </c>
      <c r="C47">
        <v>106.42</v>
      </c>
    </row>
    <row r="48" spans="1:17" x14ac:dyDescent="0.4">
      <c r="A48" t="s">
        <v>182</v>
      </c>
      <c r="B48">
        <v>47</v>
      </c>
      <c r="C48">
        <v>107.87</v>
      </c>
      <c r="D48">
        <v>2.95264792</v>
      </c>
      <c r="E48">
        <v>4.7983209999999996</v>
      </c>
      <c r="F48">
        <v>-2.8250000000000002</v>
      </c>
      <c r="G48">
        <v>88</v>
      </c>
      <c r="H48">
        <v>29</v>
      </c>
      <c r="I48">
        <v>126</v>
      </c>
      <c r="J48">
        <v>74</v>
      </c>
      <c r="K48">
        <v>60</v>
      </c>
      <c r="L48">
        <v>126</v>
      </c>
      <c r="M48">
        <v>60</v>
      </c>
      <c r="N48">
        <v>147</v>
      </c>
      <c r="O48">
        <v>24</v>
      </c>
      <c r="P48">
        <v>24</v>
      </c>
      <c r="Q48">
        <v>26</v>
      </c>
    </row>
    <row r="49" spans="1:17" x14ac:dyDescent="0.4">
      <c r="A49" t="s">
        <v>183</v>
      </c>
      <c r="B49">
        <v>48</v>
      </c>
      <c r="C49">
        <v>112.41</v>
      </c>
      <c r="D49">
        <v>3.0078459799999999</v>
      </c>
      <c r="E49">
        <v>5.9419630000000003</v>
      </c>
      <c r="F49">
        <v>-0.90620000000000001</v>
      </c>
      <c r="G49">
        <v>45</v>
      </c>
      <c r="H49">
        <v>18</v>
      </c>
      <c r="I49">
        <v>87</v>
      </c>
      <c r="J49">
        <v>39</v>
      </c>
      <c r="K49">
        <v>28</v>
      </c>
      <c r="L49">
        <v>87</v>
      </c>
      <c r="M49">
        <v>28</v>
      </c>
      <c r="N49">
        <v>43</v>
      </c>
      <c r="O49">
        <v>11</v>
      </c>
      <c r="P49">
        <v>11</v>
      </c>
      <c r="Q49">
        <v>24</v>
      </c>
    </row>
    <row r="50" spans="1:17" x14ac:dyDescent="0.4">
      <c r="A50" t="s">
        <v>184</v>
      </c>
      <c r="B50">
        <v>49</v>
      </c>
      <c r="C50">
        <v>114.82</v>
      </c>
      <c r="D50">
        <v>3.4225177699999998</v>
      </c>
      <c r="E50">
        <v>5.5760160000000001</v>
      </c>
      <c r="F50">
        <v>-2.7040000000000002</v>
      </c>
      <c r="G50">
        <v>117</v>
      </c>
      <c r="H50">
        <v>1</v>
      </c>
      <c r="I50">
        <v>144</v>
      </c>
      <c r="J50">
        <v>170</v>
      </c>
      <c r="K50">
        <v>71</v>
      </c>
      <c r="L50">
        <v>144</v>
      </c>
      <c r="M50">
        <v>71</v>
      </c>
      <c r="N50">
        <v>144</v>
      </c>
      <c r="O50">
        <v>-12</v>
      </c>
      <c r="P50">
        <v>-12</v>
      </c>
      <c r="Q50">
        <v>-12</v>
      </c>
    </row>
    <row r="51" spans="1:17" x14ac:dyDescent="0.4">
      <c r="A51" t="s">
        <v>185</v>
      </c>
      <c r="B51">
        <v>50</v>
      </c>
      <c r="C51">
        <v>118.71</v>
      </c>
    </row>
    <row r="52" spans="1:17" x14ac:dyDescent="0.4">
      <c r="A52" t="s">
        <v>186</v>
      </c>
      <c r="B52">
        <v>51</v>
      </c>
      <c r="C52">
        <v>11.76</v>
      </c>
      <c r="D52">
        <v>3.3941097899999999</v>
      </c>
      <c r="E52">
        <v>5.4946760000000001</v>
      </c>
      <c r="F52">
        <v>-3.8386999999999998</v>
      </c>
      <c r="G52">
        <v>60</v>
      </c>
      <c r="H52">
        <v>4</v>
      </c>
      <c r="I52">
        <v>64</v>
      </c>
      <c r="J52">
        <v>68</v>
      </c>
      <c r="K52">
        <v>51</v>
      </c>
      <c r="L52">
        <v>64</v>
      </c>
      <c r="M52">
        <v>51</v>
      </c>
      <c r="N52">
        <v>73</v>
      </c>
      <c r="O52">
        <v>5</v>
      </c>
      <c r="P52">
        <v>5</v>
      </c>
      <c r="Q52">
        <v>-2</v>
      </c>
    </row>
    <row r="53" spans="1:17" x14ac:dyDescent="0.4">
      <c r="A53" t="s">
        <v>187</v>
      </c>
      <c r="B53">
        <v>52</v>
      </c>
      <c r="C53">
        <v>127.6</v>
      </c>
    </row>
    <row r="54" spans="1:17" x14ac:dyDescent="0.4">
      <c r="A54" t="s">
        <v>188</v>
      </c>
      <c r="B54">
        <v>53</v>
      </c>
      <c r="C54">
        <v>126.9</v>
      </c>
    </row>
    <row r="55" spans="1:17" x14ac:dyDescent="0.4">
      <c r="A55" t="s">
        <v>191</v>
      </c>
      <c r="B55">
        <v>54</v>
      </c>
      <c r="C55">
        <v>131.29</v>
      </c>
    </row>
    <row r="56" spans="1:17" x14ac:dyDescent="0.4">
      <c r="A56" t="s">
        <v>189</v>
      </c>
      <c r="B56">
        <v>55</v>
      </c>
      <c r="C56">
        <v>132.91</v>
      </c>
      <c r="D56">
        <v>5.5123161300000003</v>
      </c>
      <c r="E56">
        <v>8.8941330000000001</v>
      </c>
      <c r="F56">
        <v>-0.86029999999999995</v>
      </c>
      <c r="G56">
        <v>2</v>
      </c>
      <c r="H56">
        <v>1</v>
      </c>
      <c r="I56">
        <v>3</v>
      </c>
      <c r="J56">
        <v>2</v>
      </c>
      <c r="K56">
        <v>1</v>
      </c>
      <c r="L56">
        <v>3</v>
      </c>
      <c r="M56">
        <v>1</v>
      </c>
      <c r="N56">
        <v>3</v>
      </c>
      <c r="O56">
        <v>1</v>
      </c>
      <c r="P56">
        <v>1</v>
      </c>
      <c r="Q56">
        <v>1</v>
      </c>
    </row>
    <row r="57" spans="1:17" x14ac:dyDescent="0.4">
      <c r="A57" t="s">
        <v>190</v>
      </c>
      <c r="B57">
        <v>56</v>
      </c>
      <c r="C57">
        <v>137.33000000000001</v>
      </c>
      <c r="D57">
        <v>4.4785575700000004</v>
      </c>
      <c r="E57">
        <v>7.3520200000000004</v>
      </c>
      <c r="F57">
        <v>-1.903</v>
      </c>
      <c r="G57">
        <v>8</v>
      </c>
      <c r="H57">
        <v>5</v>
      </c>
      <c r="I57">
        <v>14</v>
      </c>
      <c r="J57">
        <v>10</v>
      </c>
      <c r="K57">
        <v>1</v>
      </c>
      <c r="L57">
        <v>14</v>
      </c>
      <c r="M57">
        <v>1</v>
      </c>
      <c r="N57">
        <v>21</v>
      </c>
      <c r="O57">
        <v>5</v>
      </c>
      <c r="P57">
        <v>5</v>
      </c>
      <c r="Q57">
        <v>2</v>
      </c>
    </row>
    <row r="58" spans="1:17" x14ac:dyDescent="0.4">
      <c r="A58" t="s">
        <v>192</v>
      </c>
      <c r="B58">
        <v>57</v>
      </c>
      <c r="C58">
        <v>138.91</v>
      </c>
    </row>
    <row r="59" spans="1:17" x14ac:dyDescent="0.4">
      <c r="A59" t="s">
        <v>193</v>
      </c>
      <c r="B59">
        <v>58</v>
      </c>
      <c r="C59">
        <v>140.12</v>
      </c>
    </row>
    <row r="60" spans="1:17" x14ac:dyDescent="0.4">
      <c r="A60" t="s">
        <v>194</v>
      </c>
      <c r="B60">
        <v>59</v>
      </c>
      <c r="C60">
        <v>140.91</v>
      </c>
    </row>
    <row r="61" spans="1:17" x14ac:dyDescent="0.4">
      <c r="A61" t="s">
        <v>195</v>
      </c>
      <c r="B61">
        <v>60</v>
      </c>
      <c r="C61">
        <v>144.24</v>
      </c>
    </row>
    <row r="62" spans="1:17" x14ac:dyDescent="0.4">
      <c r="A62" t="s">
        <v>196</v>
      </c>
      <c r="B62">
        <v>61</v>
      </c>
      <c r="C62">
        <v>145</v>
      </c>
    </row>
    <row r="63" spans="1:17" x14ac:dyDescent="0.4">
      <c r="A63" t="s">
        <v>197</v>
      </c>
      <c r="B63">
        <v>62</v>
      </c>
      <c r="C63">
        <v>150.36000000000001</v>
      </c>
      <c r="D63">
        <v>3.68171026</v>
      </c>
      <c r="E63">
        <v>5.850009</v>
      </c>
      <c r="F63">
        <v>-4.6965000000000003</v>
      </c>
      <c r="G63">
        <v>35</v>
      </c>
      <c r="H63">
        <v>18</v>
      </c>
      <c r="I63">
        <v>60</v>
      </c>
      <c r="J63">
        <v>16</v>
      </c>
      <c r="K63">
        <v>25</v>
      </c>
      <c r="L63">
        <v>60</v>
      </c>
      <c r="M63">
        <v>25</v>
      </c>
      <c r="N63">
        <v>64</v>
      </c>
      <c r="O63">
        <v>16</v>
      </c>
      <c r="P63">
        <v>16</v>
      </c>
      <c r="Q63">
        <v>22</v>
      </c>
    </row>
    <row r="64" spans="1:17" x14ac:dyDescent="0.4">
      <c r="A64" t="s">
        <v>198</v>
      </c>
      <c r="B64">
        <v>63</v>
      </c>
      <c r="C64">
        <v>151.96</v>
      </c>
      <c r="D64">
        <v>4.050656</v>
      </c>
      <c r="E64">
        <v>6.5137859999999996</v>
      </c>
      <c r="F64">
        <v>-10.246499999999999</v>
      </c>
      <c r="G64">
        <v>13</v>
      </c>
      <c r="H64">
        <v>10</v>
      </c>
      <c r="I64">
        <v>27</v>
      </c>
      <c r="J64">
        <v>9</v>
      </c>
      <c r="K64">
        <v>4</v>
      </c>
      <c r="L64">
        <v>27</v>
      </c>
      <c r="M64">
        <v>4</v>
      </c>
      <c r="N64">
        <v>30</v>
      </c>
      <c r="O64">
        <v>10</v>
      </c>
      <c r="P64">
        <v>10</v>
      </c>
      <c r="Q64">
        <v>9</v>
      </c>
    </row>
    <row r="65" spans="1:17" x14ac:dyDescent="0.4">
      <c r="A65" t="s">
        <v>199</v>
      </c>
      <c r="B65">
        <v>64</v>
      </c>
      <c r="C65">
        <v>157.25</v>
      </c>
      <c r="D65">
        <v>3.6139337199999999</v>
      </c>
      <c r="E65">
        <v>5.7700740000000001</v>
      </c>
      <c r="F65">
        <v>-14.0761</v>
      </c>
      <c r="G65">
        <v>37</v>
      </c>
      <c r="H65">
        <v>24</v>
      </c>
      <c r="I65">
        <v>67</v>
      </c>
      <c r="J65">
        <v>22</v>
      </c>
      <c r="K65">
        <v>20</v>
      </c>
      <c r="L65">
        <v>67</v>
      </c>
      <c r="M65">
        <v>20</v>
      </c>
      <c r="N65">
        <v>80</v>
      </c>
      <c r="O65">
        <v>23</v>
      </c>
      <c r="P65">
        <v>23</v>
      </c>
      <c r="Q65">
        <v>23</v>
      </c>
    </row>
    <row r="66" spans="1:17" x14ac:dyDescent="0.4">
      <c r="A66" t="s">
        <v>200</v>
      </c>
      <c r="B66">
        <v>65</v>
      </c>
      <c r="C66">
        <v>158.93</v>
      </c>
      <c r="D66">
        <v>3.6403839900000001</v>
      </c>
      <c r="E66">
        <v>5.6635850000000003</v>
      </c>
      <c r="F66">
        <v>-4.6154999999999999</v>
      </c>
      <c r="G66">
        <v>39</v>
      </c>
      <c r="H66">
        <v>23</v>
      </c>
      <c r="I66">
        <v>67</v>
      </c>
      <c r="J66">
        <v>21</v>
      </c>
      <c r="K66">
        <v>22</v>
      </c>
      <c r="L66">
        <v>67</v>
      </c>
      <c r="M66">
        <v>22</v>
      </c>
      <c r="N66">
        <v>81</v>
      </c>
      <c r="O66">
        <v>22</v>
      </c>
      <c r="P66">
        <v>22</v>
      </c>
      <c r="Q66">
        <v>23</v>
      </c>
    </row>
    <row r="67" spans="1:17" x14ac:dyDescent="0.4">
      <c r="A67" t="s">
        <v>201</v>
      </c>
      <c r="B67">
        <v>66</v>
      </c>
      <c r="C67">
        <v>162.5</v>
      </c>
      <c r="D67">
        <v>3.62670366</v>
      </c>
      <c r="E67">
        <v>5.6163720000000001</v>
      </c>
      <c r="F67">
        <v>-4.5872999999999999</v>
      </c>
      <c r="G67">
        <v>39</v>
      </c>
      <c r="H67">
        <v>24</v>
      </c>
      <c r="I67">
        <v>67</v>
      </c>
      <c r="J67">
        <v>17</v>
      </c>
      <c r="K67">
        <v>26</v>
      </c>
      <c r="L67">
        <v>67</v>
      </c>
      <c r="M67">
        <v>26</v>
      </c>
      <c r="N67">
        <v>82</v>
      </c>
      <c r="O67">
        <v>24</v>
      </c>
      <c r="P67">
        <v>24</v>
      </c>
      <c r="Q67">
        <v>25</v>
      </c>
    </row>
    <row r="68" spans="1:17" x14ac:dyDescent="0.4">
      <c r="A68" t="s">
        <v>202</v>
      </c>
      <c r="B68">
        <v>67</v>
      </c>
      <c r="C68">
        <v>164.93</v>
      </c>
      <c r="D68">
        <v>3.6087537200000002</v>
      </c>
      <c r="E68">
        <v>5.577528</v>
      </c>
      <c r="F68">
        <v>-4.5682999999999998</v>
      </c>
      <c r="G68">
        <v>43</v>
      </c>
      <c r="H68">
        <v>28</v>
      </c>
      <c r="I68">
        <v>80</v>
      </c>
      <c r="J68">
        <v>23</v>
      </c>
      <c r="K68">
        <v>24</v>
      </c>
      <c r="L68">
        <v>80</v>
      </c>
      <c r="M68">
        <v>24</v>
      </c>
      <c r="N68">
        <v>87</v>
      </c>
      <c r="O68">
        <v>27</v>
      </c>
      <c r="P68">
        <v>27</v>
      </c>
      <c r="Q68">
        <v>28</v>
      </c>
    </row>
    <row r="69" spans="1:17" x14ac:dyDescent="0.4">
      <c r="A69" t="s">
        <v>203</v>
      </c>
      <c r="B69">
        <v>68</v>
      </c>
      <c r="C69">
        <v>167.26</v>
      </c>
      <c r="D69">
        <v>3.5873042599999998</v>
      </c>
      <c r="E69">
        <v>5.5456830000000004</v>
      </c>
      <c r="F69">
        <v>-4.5574000000000003</v>
      </c>
      <c r="G69">
        <v>44</v>
      </c>
      <c r="H69">
        <v>30</v>
      </c>
      <c r="I69">
        <v>85</v>
      </c>
      <c r="J69">
        <v>26</v>
      </c>
      <c r="K69">
        <v>23</v>
      </c>
      <c r="L69">
        <v>85</v>
      </c>
      <c r="M69">
        <v>23</v>
      </c>
      <c r="N69">
        <v>89</v>
      </c>
      <c r="O69">
        <v>28</v>
      </c>
      <c r="P69">
        <v>28</v>
      </c>
      <c r="Q69">
        <v>30</v>
      </c>
    </row>
    <row r="70" spans="1:17" x14ac:dyDescent="0.4">
      <c r="A70" t="s">
        <v>204</v>
      </c>
      <c r="B70">
        <v>69</v>
      </c>
      <c r="C70">
        <v>168.93</v>
      </c>
      <c r="D70">
        <v>3.5626455899999998</v>
      </c>
      <c r="E70">
        <v>5.5131550000000002</v>
      </c>
      <c r="F70">
        <v>-4.4722</v>
      </c>
      <c r="G70">
        <v>46</v>
      </c>
      <c r="H70">
        <v>31</v>
      </c>
      <c r="I70">
        <v>89</v>
      </c>
      <c r="J70">
        <v>27</v>
      </c>
      <c r="K70">
        <v>22</v>
      </c>
      <c r="L70">
        <v>89</v>
      </c>
      <c r="M70">
        <v>22</v>
      </c>
      <c r="N70">
        <v>92</v>
      </c>
      <c r="O70">
        <v>29</v>
      </c>
      <c r="P70">
        <v>29</v>
      </c>
      <c r="Q70">
        <v>31</v>
      </c>
    </row>
    <row r="71" spans="1:17" x14ac:dyDescent="0.4">
      <c r="A71" t="s">
        <v>205</v>
      </c>
      <c r="B71">
        <v>70</v>
      </c>
      <c r="C71">
        <v>173.05</v>
      </c>
      <c r="D71">
        <v>3.8528719900000001</v>
      </c>
      <c r="E71">
        <v>6.3770470000000001</v>
      </c>
      <c r="F71">
        <v>-1.5259</v>
      </c>
      <c r="G71">
        <v>15</v>
      </c>
      <c r="H71">
        <v>10</v>
      </c>
      <c r="I71">
        <v>29</v>
      </c>
      <c r="J71">
        <v>11</v>
      </c>
      <c r="K71">
        <v>7</v>
      </c>
      <c r="L71">
        <v>29</v>
      </c>
      <c r="M71">
        <v>7</v>
      </c>
      <c r="N71">
        <v>29</v>
      </c>
      <c r="O71">
        <v>10</v>
      </c>
      <c r="P71">
        <v>10</v>
      </c>
      <c r="Q71">
        <v>9</v>
      </c>
    </row>
    <row r="72" spans="1:17" x14ac:dyDescent="0.4">
      <c r="A72" t="s">
        <v>206</v>
      </c>
      <c r="B72">
        <v>71</v>
      </c>
      <c r="C72">
        <v>174.97</v>
      </c>
    </row>
    <row r="73" spans="1:17" x14ac:dyDescent="0.4">
      <c r="A73" t="s">
        <v>207</v>
      </c>
      <c r="B73">
        <v>72</v>
      </c>
      <c r="C73">
        <v>178.49</v>
      </c>
      <c r="D73">
        <v>3.1984859399999999</v>
      </c>
      <c r="E73">
        <v>5.0751850000000003</v>
      </c>
      <c r="F73">
        <v>-9.9572000000000003</v>
      </c>
      <c r="G73">
        <v>108</v>
      </c>
      <c r="H73">
        <v>56</v>
      </c>
      <c r="I73">
        <v>184</v>
      </c>
      <c r="J73">
        <v>70</v>
      </c>
      <c r="K73">
        <v>68</v>
      </c>
      <c r="L73">
        <v>184</v>
      </c>
      <c r="M73">
        <v>68</v>
      </c>
      <c r="N73">
        <v>194</v>
      </c>
      <c r="O73">
        <v>52</v>
      </c>
      <c r="P73">
        <v>52</v>
      </c>
      <c r="Q73">
        <v>57</v>
      </c>
    </row>
    <row r="74" spans="1:17" x14ac:dyDescent="0.4">
      <c r="A74" t="s">
        <v>137</v>
      </c>
      <c r="B74">
        <v>73</v>
      </c>
      <c r="C74">
        <v>180.95</v>
      </c>
    </row>
    <row r="75" spans="1:17" x14ac:dyDescent="0.4">
      <c r="A75" t="s">
        <v>208</v>
      </c>
      <c r="B75">
        <v>74</v>
      </c>
      <c r="C75">
        <v>183.84</v>
      </c>
    </row>
    <row r="76" spans="1:17" x14ac:dyDescent="0.4">
      <c r="A76" t="s">
        <v>209</v>
      </c>
      <c r="B76">
        <v>75</v>
      </c>
      <c r="C76">
        <v>186.21</v>
      </c>
      <c r="D76">
        <v>2.7810500199999999</v>
      </c>
      <c r="E76">
        <v>4.4971360000000002</v>
      </c>
      <c r="F76">
        <v>-12.4445</v>
      </c>
      <c r="G76">
        <v>365</v>
      </c>
      <c r="H76">
        <v>175</v>
      </c>
      <c r="I76">
        <v>607</v>
      </c>
      <c r="J76">
        <v>273</v>
      </c>
      <c r="K76">
        <v>214</v>
      </c>
      <c r="L76">
        <v>607</v>
      </c>
      <c r="M76">
        <v>214</v>
      </c>
      <c r="N76">
        <v>670</v>
      </c>
      <c r="O76">
        <v>156</v>
      </c>
      <c r="P76">
        <v>156</v>
      </c>
      <c r="Q76">
        <v>167</v>
      </c>
    </row>
    <row r="77" spans="1:17" x14ac:dyDescent="0.4">
      <c r="A77" t="s">
        <v>210</v>
      </c>
      <c r="B77">
        <v>76</v>
      </c>
      <c r="C77">
        <v>190.23</v>
      </c>
      <c r="D77">
        <v>2.7585156</v>
      </c>
      <c r="E77">
        <v>4.3567989999999996</v>
      </c>
      <c r="F77">
        <v>-11.2273</v>
      </c>
      <c r="G77">
        <v>402</v>
      </c>
      <c r="H77">
        <v>259</v>
      </c>
      <c r="I77">
        <v>730</v>
      </c>
      <c r="J77">
        <v>226</v>
      </c>
      <c r="K77">
        <v>220</v>
      </c>
      <c r="L77">
        <v>730</v>
      </c>
      <c r="M77">
        <v>220</v>
      </c>
      <c r="N77">
        <v>824</v>
      </c>
      <c r="O77">
        <v>252</v>
      </c>
      <c r="P77">
        <v>252</v>
      </c>
      <c r="Q77">
        <v>252</v>
      </c>
    </row>
    <row r="78" spans="1:17" x14ac:dyDescent="0.4">
      <c r="A78" t="s">
        <v>211</v>
      </c>
      <c r="B78">
        <v>77</v>
      </c>
      <c r="C78">
        <v>192.22</v>
      </c>
    </row>
    <row r="79" spans="1:17" x14ac:dyDescent="0.4">
      <c r="A79" t="s">
        <v>134</v>
      </c>
      <c r="B79">
        <v>78</v>
      </c>
      <c r="C79">
        <v>195.08</v>
      </c>
    </row>
    <row r="80" spans="1:17" x14ac:dyDescent="0.4">
      <c r="A80" t="s">
        <v>212</v>
      </c>
      <c r="B80">
        <v>79</v>
      </c>
      <c r="C80">
        <v>196.97</v>
      </c>
    </row>
    <row r="81" spans="1:17" x14ac:dyDescent="0.4">
      <c r="A81" t="s">
        <v>213</v>
      </c>
      <c r="B81">
        <v>80</v>
      </c>
      <c r="C81">
        <v>200.59</v>
      </c>
    </row>
    <row r="82" spans="1:17" x14ac:dyDescent="0.4">
      <c r="A82" t="s">
        <v>214</v>
      </c>
      <c r="B82">
        <v>81</v>
      </c>
      <c r="C82">
        <v>204.38</v>
      </c>
      <c r="D82">
        <v>3.54892429</v>
      </c>
      <c r="E82">
        <v>5.7384139999999997</v>
      </c>
      <c r="F82">
        <v>-2.3586999999999998</v>
      </c>
      <c r="G82">
        <v>27</v>
      </c>
      <c r="H82">
        <v>7</v>
      </c>
      <c r="I82">
        <v>32</v>
      </c>
      <c r="J82">
        <v>21</v>
      </c>
      <c r="K82">
        <v>2</v>
      </c>
      <c r="L82">
        <v>32</v>
      </c>
      <c r="M82">
        <v>22</v>
      </c>
      <c r="N82">
        <v>48</v>
      </c>
      <c r="O82">
        <v>7</v>
      </c>
      <c r="P82">
        <v>7</v>
      </c>
      <c r="Q82">
        <v>5</v>
      </c>
    </row>
    <row r="83" spans="1:17" x14ac:dyDescent="0.4">
      <c r="A83" t="s">
        <v>215</v>
      </c>
      <c r="B83">
        <v>82</v>
      </c>
      <c r="C83">
        <v>207.2</v>
      </c>
      <c r="D83">
        <v>3.5483879300000001</v>
      </c>
      <c r="E83">
        <v>5.8412750000000004</v>
      </c>
      <c r="F83">
        <v>-3.6983000000000001</v>
      </c>
      <c r="G83">
        <v>40</v>
      </c>
      <c r="H83">
        <v>10</v>
      </c>
      <c r="I83">
        <v>58</v>
      </c>
      <c r="J83">
        <v>32</v>
      </c>
      <c r="K83">
        <v>32</v>
      </c>
      <c r="L83">
        <v>58</v>
      </c>
      <c r="M83">
        <v>32</v>
      </c>
      <c r="N83">
        <v>56</v>
      </c>
      <c r="O83">
        <v>6</v>
      </c>
      <c r="P83">
        <v>6</v>
      </c>
      <c r="Q83">
        <v>13</v>
      </c>
    </row>
    <row r="84" spans="1:17" x14ac:dyDescent="0.4">
      <c r="A84" t="s">
        <v>216</v>
      </c>
      <c r="B84">
        <v>83</v>
      </c>
      <c r="C84">
        <v>208.98</v>
      </c>
    </row>
    <row r="85" spans="1:17" x14ac:dyDescent="0.4">
      <c r="A85" t="s">
        <v>217</v>
      </c>
      <c r="B85">
        <v>84</v>
      </c>
      <c r="C85">
        <v>209</v>
      </c>
    </row>
    <row r="86" spans="1:17" x14ac:dyDescent="0.4">
      <c r="A86" t="s">
        <v>218</v>
      </c>
      <c r="B86">
        <v>85</v>
      </c>
      <c r="C86">
        <v>210</v>
      </c>
    </row>
    <row r="87" spans="1:17" x14ac:dyDescent="0.4">
      <c r="A87" t="s">
        <v>219</v>
      </c>
      <c r="B87">
        <v>86</v>
      </c>
      <c r="C87">
        <v>222</v>
      </c>
    </row>
    <row r="88" spans="1:17" x14ac:dyDescent="0.4">
      <c r="A88" t="s">
        <v>220</v>
      </c>
      <c r="B88">
        <v>87</v>
      </c>
      <c r="C88">
        <v>223</v>
      </c>
    </row>
    <row r="89" spans="1:17" x14ac:dyDescent="0.4">
      <c r="A89" t="s">
        <v>221</v>
      </c>
      <c r="B89">
        <v>88</v>
      </c>
      <c r="C89">
        <v>226</v>
      </c>
    </row>
    <row r="90" spans="1:17" x14ac:dyDescent="0.4">
      <c r="A90" t="s">
        <v>222</v>
      </c>
      <c r="B90">
        <v>89</v>
      </c>
      <c r="C90">
        <v>227</v>
      </c>
    </row>
    <row r="91" spans="1:17" x14ac:dyDescent="0.4">
      <c r="A91" t="s">
        <v>223</v>
      </c>
      <c r="B91">
        <v>90</v>
      </c>
      <c r="C91">
        <v>232.04</v>
      </c>
    </row>
    <row r="92" spans="1:17" x14ac:dyDescent="0.4">
      <c r="A92" t="s">
        <v>224</v>
      </c>
      <c r="B92">
        <v>91</v>
      </c>
      <c r="C92">
        <v>231.04</v>
      </c>
    </row>
    <row r="93" spans="1:17" x14ac:dyDescent="0.4">
      <c r="A93" t="s">
        <v>225</v>
      </c>
      <c r="B93">
        <v>92</v>
      </c>
      <c r="C93">
        <v>238.03</v>
      </c>
    </row>
    <row r="94" spans="1:17" x14ac:dyDescent="0.4">
      <c r="A94" t="s">
        <v>226</v>
      </c>
      <c r="B94">
        <v>93</v>
      </c>
      <c r="C94">
        <v>237</v>
      </c>
    </row>
    <row r="95" spans="1:17" x14ac:dyDescent="0.4">
      <c r="A95" t="s">
        <v>227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MEAM</vt:lpstr>
      <vt:lpstr>data</vt:lpstr>
      <vt:lpstr>FCC</vt:lpstr>
      <vt:lpstr>BCC</vt:lpstr>
      <vt:lpstr>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2025-04-12T06:18:47Z</dcterms:modified>
</cp:coreProperties>
</file>