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7233EB47-AADF-43FD-8747-70DB4268886B}" xr6:coauthVersionLast="47" xr6:coauthVersionMax="47" xr10:uidLastSave="{00000000-0000-0000-0000-000000000000}"/>
  <bookViews>
    <workbookView xWindow="210" yWindow="435" windowWidth="20325" windowHeight="14835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35" i="1"/>
  <c r="Y36" i="1" s="1"/>
  <c r="V36" i="1"/>
  <c r="T36" i="1" s="1"/>
  <c r="T48" i="1"/>
  <c r="Y44" i="1"/>
  <c r="U29" i="1"/>
  <c r="U30" i="1"/>
  <c r="U31" i="1"/>
  <c r="U32" i="1"/>
  <c r="X30" i="1" s="1"/>
  <c r="U33" i="1"/>
  <c r="Y29" i="1" s="1"/>
  <c r="U28" i="1"/>
  <c r="W14" i="1"/>
  <c r="W15" i="1"/>
  <c r="F5" i="1"/>
  <c r="C5" i="1"/>
  <c r="AA44" i="1" s="1"/>
  <c r="X32" i="1" l="1"/>
  <c r="Z32" i="1"/>
  <c r="X28" i="1"/>
  <c r="V44" i="1" s="1"/>
  <c r="X29" i="1"/>
  <c r="X31" i="1"/>
  <c r="W44" i="1" s="1"/>
  <c r="K70" i="1"/>
  <c r="K71" i="1" s="1"/>
  <c r="K69" i="1"/>
  <c r="K66" i="1"/>
  <c r="K67" i="1" s="1"/>
  <c r="K65" i="1"/>
  <c r="C81" i="1"/>
  <c r="C82" i="1" s="1"/>
  <c r="C80" i="1"/>
  <c r="C77" i="1"/>
  <c r="C78" i="1" s="1"/>
  <c r="C76" i="1"/>
  <c r="C70" i="1"/>
  <c r="C66" i="1"/>
  <c r="C69" i="1"/>
  <c r="C65" i="1"/>
  <c r="Q20" i="1"/>
  <c r="Q21" i="1"/>
  <c r="Q22" i="1"/>
  <c r="Q23" i="1"/>
  <c r="Q24" i="1"/>
  <c r="Q25" i="1"/>
  <c r="Q26" i="1"/>
  <c r="Q19" i="1"/>
  <c r="E17" i="1"/>
  <c r="K21" i="1"/>
  <c r="L5" i="1"/>
  <c r="D7" i="1"/>
  <c r="F4" i="1"/>
  <c r="B7" i="1"/>
  <c r="A7" i="1"/>
  <c r="E7" i="1"/>
  <c r="F16" i="1" s="1"/>
  <c r="J7" i="1"/>
  <c r="Y21" i="1" l="1"/>
  <c r="Y20" i="1"/>
  <c r="AA32" i="1"/>
  <c r="K85" i="1"/>
  <c r="K79" i="1"/>
  <c r="Y19" i="1"/>
  <c r="K77" i="1"/>
  <c r="U44" i="1"/>
  <c r="C83" i="1"/>
  <c r="K89" i="1"/>
  <c r="K90" i="1"/>
  <c r="K78" i="1"/>
  <c r="K87" i="1"/>
  <c r="K86" i="1"/>
  <c r="K72" i="1"/>
  <c r="K88" i="1"/>
  <c r="K80" i="1"/>
  <c r="K81" i="1"/>
  <c r="K76" i="1"/>
  <c r="C67" i="1"/>
  <c r="K96" i="1" s="1"/>
  <c r="C71" i="1"/>
  <c r="C72" i="1"/>
  <c r="C68" i="1"/>
  <c r="C79" i="1"/>
  <c r="K68" i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99" i="1" l="1"/>
  <c r="K97" i="1"/>
  <c r="K94" i="1"/>
  <c r="K95" i="1"/>
  <c r="K98" i="1"/>
  <c r="U40" i="1"/>
  <c r="X40" i="1" s="1"/>
  <c r="D3" i="1"/>
  <c r="S19" i="1" s="1"/>
  <c r="W40" i="1" l="1"/>
  <c r="Z30" i="1"/>
  <c r="Z31" i="1"/>
  <c r="S21" i="1"/>
  <c r="S20" i="1"/>
  <c r="K24" i="1"/>
  <c r="A16" i="1"/>
  <c r="T46" i="1" l="1"/>
  <c r="Z29" i="1"/>
  <c r="T49" i="1"/>
  <c r="U36" i="1"/>
  <c r="T47" i="1"/>
</calcChain>
</file>

<file path=xl/sharedStrings.xml><?xml version="1.0" encoding="utf-8"?>
<sst xmlns="http://schemas.openxmlformats.org/spreadsheetml/2006/main" count="839" uniqueCount="423">
  <si>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</si>
  <si>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</si>
  <si>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</si>
  <si>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</si>
  <si>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</si>
  <si>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</si>
  <si>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</si>
  <si>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</si>
  <si>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</si>
  <si>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</si>
  <si>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</si>
  <si>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</si>
  <si>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</si>
  <si>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</si>
  <si>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</si>
  <si>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</si>
  <si>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</si>
  <si>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</si>
  <si>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</si>
  <si>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</si>
  <si>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</si>
  <si>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</si>
  <si>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</si>
  <si>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</si>
  <si>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</si>
  <si>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</si>
  <si>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</si>
  <si>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</si>
  <si>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</si>
  <si>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</si>
  <si>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</si>
  <si>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</si>
  <si>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</si>
  <si>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</si>
  <si>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</si>
  <si>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</si>
  <si>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</si>
  <si>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</si>
  <si>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</si>
  <si>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</si>
  <si>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</si>
  <si>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</si>
  <si>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</si>
  <si>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</si>
  <si>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</si>
  <si>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</si>
  <si>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</si>
  <si>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</si>
  <si>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</si>
  <si>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</si>
  <si>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</si>
  <si>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</si>
  <si>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</si>
  <si>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</si>
  <si>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</si>
  <si>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</si>
  <si>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</si>
  <si>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</si>
  <si>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</si>
  <si>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</si>
  <si>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</si>
  <si>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</si>
  <si>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</si>
  <si>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</si>
  <si>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</si>
  <si>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</si>
  <si>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</si>
  <si>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</si>
  <si>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</si>
  <si>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</si>
  <si>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</si>
  <si>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</si>
  <si>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</si>
  <si>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</si>
  <si>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</si>
  <si>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</si>
  <si>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</si>
  <si>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</si>
  <si>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</si>
  <si>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</si>
  <si>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</si>
  <si>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</si>
  <si>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</si>
  <si>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</si>
  <si>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</si>
  <si>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</si>
  <si>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</si>
  <si>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</si>
  <si>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</si>
  <si>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</si>
  <si>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</si>
  <si>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</si>
  <si>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</si>
  <si>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</si>
  <si>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</si>
  <si>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</si>
  <si>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</si>
  <si>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</si>
  <si>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</si>
  <si>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</si>
  <si>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</si>
  <si>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</si>
  <si>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</si>
  <si>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</si>
  <si>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</si>
  <si>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</si>
  <si>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</si>
  <si>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</si>
  <si>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</si>
  <si>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</si>
  <si>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</si>
  <si>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</si>
  <si>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</si>
  <si>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</si>
  <si>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</si>
  <si>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</si>
  <si>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</si>
  <si>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</si>
  <si>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</si>
  <si>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</si>
  <si>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</si>
  <si>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</si>
  <si>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</si>
  <si>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</si>
  <si>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</si>
  <si>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</si>
  <si>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</si>
  <si>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</si>
  <si>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</si>
  <si>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</si>
  <si>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</si>
  <si>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</si>
  <si>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</si>
  <si>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</si>
  <si>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</si>
  <si>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</si>
  <si>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</si>
  <si>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</si>
  <si>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</si>
  <si>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</si>
  <si>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</si>
  <si>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</si>
  <si>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</si>
  <si>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</si>
  <si>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</si>
  <si>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</si>
  <si>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</si>
  <si>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</si>
  <si>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</si>
  <si>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</si>
  <si>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</si>
  <si>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</si>
  <si>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</si>
  <si>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</si>
  <si>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</si>
  <si>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</si>
  <si>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</si>
  <si>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</si>
  <si>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</si>
  <si>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</si>
  <si>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</si>
  <si>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</si>
  <si>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</si>
  <si>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</si>
  <si>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</si>
  <si>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</si>
  <si>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</si>
  <si>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</si>
  <si>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</si>
  <si>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</si>
  <si>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</si>
  <si>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</si>
  <si>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</si>
  <si>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</si>
  <si>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</si>
  <si>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</si>
  <si>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</si>
  <si>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</si>
  <si>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</si>
  <si>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</si>
  <si>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</si>
  <si>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</si>
  <si>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</si>
  <si>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</si>
  <si>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</si>
  <si>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</si>
  <si>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</si>
  <si>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</si>
  <si>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</si>
  <si>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</si>
  <si>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</si>
  <si>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</si>
  <si>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</si>
  <si>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</si>
  <si>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</si>
  <si>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</si>
  <si>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</si>
  <si>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</si>
  <si>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</si>
  <si>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</si>
  <si>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</si>
  <si>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</si>
  <si>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</si>
  <si>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</si>
  <si>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</si>
  <si>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</si>
  <si>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</si>
  <si>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</si>
  <si>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</si>
  <si>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</si>
  <si>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</si>
  <si>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</si>
  <si>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</si>
  <si>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</si>
  <si>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</si>
  <si>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</si>
  <si>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</si>
  <si>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</si>
  <si>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</si>
  <si>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</si>
  <si>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</si>
  <si>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</si>
  <si>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</si>
  <si>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</si>
  <si>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</si>
  <si>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</si>
  <si>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</si>
  <si>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</si>
  <si>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</si>
  <si>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</si>
  <si>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</si>
  <si>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</si>
  <si>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</si>
  <si>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</si>
  <si>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</si>
  <si>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</si>
  <si>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</si>
  <si>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</si>
  <si>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</si>
  <si>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</si>
  <si>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</si>
  <si>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</si>
  <si>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</si>
  <si>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</si>
  <si>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</si>
  <si>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</si>
  <si>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</si>
  <si>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</si>
  <si>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</si>
  <si>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</si>
  <si>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</si>
  <si>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</si>
  <si>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</si>
  <si>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</si>
  <si>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</si>
  <si>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</si>
  <si>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</si>
  <si>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</si>
  <si>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</si>
  <si>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</si>
  <si>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</si>
  <si>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</si>
  <si>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</si>
  <si>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</si>
  <si>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</si>
  <si>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</si>
  <si>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</si>
  <si>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</si>
  <si>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</si>
  <si>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</si>
  <si>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</si>
  <si>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</si>
  <si>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</si>
  <si>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</si>
  <si>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</si>
  <si>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</si>
  <si>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</si>
  <si>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</si>
  <si>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</si>
  <si>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</si>
  <si>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</si>
  <si>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</si>
  <si>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</si>
  <si>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</si>
  <si>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</si>
  <si>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</si>
  <si>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</si>
  <si>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</si>
  <si>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</si>
  <si>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</si>
  <si>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</si>
  <si>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</si>
  <si>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</si>
  <si>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</si>
  <si>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</si>
  <si>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</si>
  <si>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</si>
  <si>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</si>
  <si>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</si>
  <si>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</si>
  <si>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</si>
  <si>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</si>
  <si>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</si>
  <si>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</si>
  <si>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</si>
  <si>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</si>
  <si>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</si>
  <si>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</si>
  <si>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</si>
  <si>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</si>
  <si>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</si>
  <si>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</si>
  <si>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</si>
  <si>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</si>
  <si>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</si>
  <si>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</si>
  <si>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</si>
  <si>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</si>
  <si>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</si>
  <si>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</si>
  <si>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</si>
  <si>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</si>
  <si>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</si>
  <si>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</si>
  <si>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</si>
  <si>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</si>
  <si>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</si>
  <si>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</si>
  <si>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</si>
  <si>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</si>
  <si>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</si>
  <si>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</si>
  <si>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</si>
  <si>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</si>
  <si>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</si>
  <si>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</si>
  <si>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</si>
  <si>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</si>
  <si>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</si>
  <si>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</si>
  <si>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</si>
  <si>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</si>
  <si>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</si>
  <si>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</si>
  <si>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</si>
  <si>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</si>
  <si>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</si>
  <si>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</si>
  <si>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</si>
  <si>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</si>
  <si>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</si>
  <si>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</si>
  <si>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</si>
  <si>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</si>
  <si>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</si>
  <si>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</si>
  <si>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</si>
  <si>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</si>
  <si>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</si>
  <si>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</si>
  <si>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</si>
  <si>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</si>
  <si>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</si>
  <si>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</si>
  <si>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</si>
  <si>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</si>
  <si>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</si>
  <si>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</si>
  <si>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</si>
  <si>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</si>
  <si>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</si>
  <si>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</si>
  <si>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</si>
  <si>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</si>
  <si>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</si>
  <si>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</si>
  <si>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</si>
  <si>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</si>
  <si>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(t3 &gt;0 for FCC, t3 &lt; 0 for BCC and diamond cubic)</t>
    <phoneticPr fontId="1"/>
  </si>
  <si>
    <t>HCP</t>
    <phoneticPr fontId="1"/>
  </si>
  <si>
    <t>C13 [GPa]</t>
    <phoneticPr fontId="1"/>
  </si>
  <si>
    <t>C33 [GPa]</t>
    <phoneticPr fontId="1"/>
  </si>
  <si>
    <t>C66 [GPa]</t>
    <phoneticPr fontId="1"/>
  </si>
  <si>
    <t>rho_e</t>
    <phoneticPr fontId="1"/>
  </si>
  <si>
    <t>Cb</t>
    <phoneticPr fontId="1"/>
  </si>
  <si>
    <t>Cc</t>
    <phoneticPr fontId="1"/>
  </si>
  <si>
    <t>Delta</t>
    <phoneticPr fontId="1"/>
  </si>
  <si>
    <t>3: La-Lu</t>
    <phoneticPr fontId="1"/>
  </si>
  <si>
    <t>Ef1v [eV]</t>
    <phoneticPr fontId="1"/>
  </si>
  <si>
    <t>[eV/A^3]</t>
    <phoneticPr fontId="1"/>
  </si>
  <si>
    <t>Cb*</t>
    <phoneticPr fontId="1"/>
  </si>
  <si>
    <t>Cc*</t>
    <phoneticPr fontId="1"/>
  </si>
  <si>
    <t>Cb*/Cc*</t>
    <phoneticPr fontId="1"/>
  </si>
  <si>
    <t>c/a</t>
    <phoneticPr fontId="1"/>
  </si>
  <si>
    <t>Fixed: 0</t>
    <phoneticPr fontId="1"/>
  </si>
  <si>
    <t>check</t>
    <phoneticPr fontId="1"/>
  </si>
  <si>
    <t>t3 = 0.0 for ideal c/a = (8/3)^0.5</t>
    <phoneticPr fontId="1"/>
  </si>
  <si>
    <t>the approximate relations for the unrelaxed vacancy formation energy, Ef1v</t>
    <phoneticPr fontId="1"/>
  </si>
  <si>
    <t>the divacancy binding energy (for a divacancy in the basal plane), Eub2v</t>
    <phoneticPr fontId="1"/>
  </si>
  <si>
    <t>the unrelaxed stacking fault energy, Eusf</t>
    <phoneticPr fontId="1"/>
  </si>
  <si>
    <t>the unrelaxed surface energy on the basal plane, Gub</t>
    <phoneticPr fontId="1"/>
  </si>
  <si>
    <t>Euf1v [eV]</t>
    <phoneticPr fontId="1"/>
  </si>
  <si>
    <t>Eb2v [eV]</t>
    <phoneticPr fontId="1"/>
  </si>
  <si>
    <t>Eusf [eV]</t>
    <phoneticPr fontId="1"/>
  </si>
  <si>
    <t>Gub [eV]</t>
    <phoneticPr fontId="1"/>
  </si>
  <si>
    <t>Tm [K]</t>
    <phoneticPr fontId="1"/>
  </si>
  <si>
    <t>the melting temperature, Tm</t>
    <phoneticPr fontId="1"/>
  </si>
  <si>
    <t>Hvap [eV]</t>
    <phoneticPr fontId="1"/>
  </si>
  <si>
    <t>the cohesive energy, Ec</t>
    <phoneticPr fontId="1"/>
  </si>
  <si>
    <t>the heat of vaporization, Hvap</t>
    <phoneticPr fontId="1"/>
  </si>
  <si>
    <t>Note: A = 1.0-1.2 range</t>
    <phoneticPr fontId="1"/>
  </si>
  <si>
    <t>Ref: M. I. Baskes et al., Modelling Simul. Mater. Sci. Eng. 2 (1994) 147-163.: https://iopscience.iop.org/article/10.1088/0965-0393/2/1/011</t>
    <phoneticPr fontId="1"/>
  </si>
  <si>
    <t>Ref: M. I. Baskes, Phys. Rev. B 46 (1992) 2727.: https://journals.aps.org/prb/abstract/10.1103/PhysRevB.46.2727</t>
    <phoneticPr fontId="1"/>
  </si>
  <si>
    <t>For gas phase</t>
    <phoneticPr fontId="1"/>
  </si>
  <si>
    <t>the diatomic force constant, K</t>
    <phoneticPr fontId="1"/>
  </si>
  <si>
    <t>K [eV/A]</t>
    <phoneticPr fontId="1"/>
  </si>
  <si>
    <t>Assumption (beta1 = beta3)</t>
    <phoneticPr fontId="1"/>
  </si>
  <si>
    <t>shear elastic constants.</t>
    <phoneticPr fontId="1"/>
  </si>
  <si>
    <t>Note: Eij = (Ei+Ej)/2 - Del</t>
    <phoneticPr fontId="1"/>
  </si>
  <si>
    <t>Del = de Boer method</t>
    <phoneticPr fontId="1"/>
  </si>
  <si>
    <t>Ec_IJ = (Ec_II + Ec_JJ)/2 - delta_IJ</t>
    <phoneticPr fontId="1"/>
  </si>
  <si>
    <t>alpha(I,J) = (alpha(I)+alpha(J))/2</t>
    <phoneticPr fontId="1"/>
  </si>
  <si>
    <t>re(I,J) is calculated from the assumed equilibrium intermetallic atomic volume Omega(I,J) = (Omega(I) +Omega(J) 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</si>
</sst>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4" borderId="1" xfId="0" applyNumberFormat="1" applyFill="1" applyBorder="1">
      <alignment vertical="center"/>
    </xf>
    <xf numFmtId="0" fontId="0" fillId="4" borderId="12" xfId="0" applyFill="1" applyBorder="1">
      <alignment vertical="center"/>
    </xf>
    <xf numFmtId="0" fontId="0" fillId="2" borderId="15" xfId="0" applyFill="1" applyBorder="1">
      <alignment vertical="center"/>
    </xf>
    <xf numFmtId="176" fontId="0" fillId="0" borderId="15" xfId="0" applyNumberFormat="1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178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176" fontId="0" fillId="0" borderId="14" xfId="0" applyNumberFormat="1" applyBorder="1">
      <alignment vertical="center"/>
    </xf>
    <xf numFmtId="176" fontId="0" fillId="8" borderId="1" xfId="0" applyNumberFormat="1" applyFill="1" applyBorder="1">
      <alignment vertical="center"/>
    </xf>
    <xf numFmtId="0" fontId="0" fillId="0" borderId="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9"/>
  <sheetViews>
    <sheetView tabSelected="1" workbookViewId="0">
      <selection activeCell="A5" sqref="A5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28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28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28" x14ac:dyDescent="0.4">
      <c r="A4" s="5"/>
      <c r="C4" s="35" t="s">
        <v>364</v>
      </c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28" x14ac:dyDescent="0.4"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10.916490557546441</v>
      </c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28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28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28" x14ac:dyDescent="0.4">
      <c r="A8" t="s">
        <v>143</v>
      </c>
      <c r="C8" s="1"/>
      <c r="M8" s="2"/>
      <c r="R8" s="4"/>
      <c r="X8" s="5" t="s">
        <v>258</v>
      </c>
      <c r="AB8" s="6"/>
    </row>
    <row r="9" spans="1:28" x14ac:dyDescent="0.4">
      <c r="A9" t="s">
        <v>234</v>
      </c>
      <c r="M9" s="5"/>
      <c r="P9" s="36" t="s">
        <v>265</v>
      </c>
      <c r="Q9" s="43"/>
      <c r="R9" s="6"/>
      <c r="X9" s="5" t="s">
        <v>259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R10" s="6"/>
      <c r="X10" s="7" t="s">
        <v>260</v>
      </c>
      <c r="Y10" s="8"/>
      <c r="Z10" s="8"/>
      <c r="AA10" s="8"/>
      <c r="AB10" s="9"/>
    </row>
    <row r="11" spans="1:28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  <c r="R11" s="6"/>
      <c r="S11" s="7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  <c r="R12" s="6"/>
      <c r="S12" t="s">
        <v>360</v>
      </c>
      <c r="AB12" s="4"/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R13" s="6"/>
      <c r="S13" s="83" t="s">
        <v>365</v>
      </c>
      <c r="T13" s="11">
        <v>125</v>
      </c>
      <c r="V13" t="s">
        <v>417</v>
      </c>
      <c r="W13" s="35" t="s">
        <v>389</v>
      </c>
      <c r="Y13" t="s">
        <v>413</v>
      </c>
      <c r="AB13" s="6"/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R14" s="6"/>
      <c r="S14" s="83" t="s">
        <v>366</v>
      </c>
      <c r="T14" s="11">
        <v>260</v>
      </c>
      <c r="V14" s="35" t="s">
        <v>361</v>
      </c>
      <c r="W14" s="80">
        <f>T13*0.006241509</f>
        <v>0.78018862499999997</v>
      </c>
      <c r="Y14" s="14" t="s">
        <v>415</v>
      </c>
      <c r="Z14" s="11">
        <v>1</v>
      </c>
      <c r="AA14" t="s">
        <v>414</v>
      </c>
      <c r="AB14" s="6"/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R15" s="6"/>
      <c r="S15" s="83" t="s">
        <v>367</v>
      </c>
      <c r="T15" s="11">
        <v>160</v>
      </c>
      <c r="V15" s="35" t="s">
        <v>362</v>
      </c>
      <c r="W15" s="80">
        <f>(T14-T15)*0.006241509/2</f>
        <v>0.31207545000000003</v>
      </c>
      <c r="Y15" s="35" t="s">
        <v>2</v>
      </c>
      <c r="Z15" s="80">
        <f>(Z14/B3)^0.5*C3</f>
        <v>1.1803732032185432</v>
      </c>
      <c r="AB15" s="6"/>
    </row>
    <row r="16" spans="1:28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R16" s="6"/>
      <c r="AB16" s="6"/>
    </row>
    <row r="17" spans="1:28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R17" s="6"/>
      <c r="S17" t="s">
        <v>363</v>
      </c>
      <c r="U17" t="s">
        <v>416</v>
      </c>
      <c r="X17" t="s">
        <v>264</v>
      </c>
      <c r="AB17" s="6"/>
    </row>
    <row r="18" spans="1:28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  <c r="R18" s="6"/>
      <c r="S18" s="50" t="s">
        <v>4</v>
      </c>
      <c r="T18" s="39" t="s">
        <v>5</v>
      </c>
      <c r="U18" s="39" t="s">
        <v>6</v>
      </c>
      <c r="V18" s="39" t="s">
        <v>7</v>
      </c>
      <c r="X18" s="39" t="s">
        <v>9</v>
      </c>
      <c r="Y18" s="35" t="s">
        <v>10</v>
      </c>
      <c r="Z18" s="39" t="s">
        <v>11</v>
      </c>
      <c r="AB18" s="6"/>
    </row>
    <row r="19" spans="1:28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R19" s="6"/>
      <c r="S19" s="84">
        <f>((D3^2-2*D7*W15*C5/B3)/E3)^(1/2)</f>
        <v>2.8205267153630094</v>
      </c>
      <c r="T19" s="30">
        <v>2.2000000000000002</v>
      </c>
      <c r="U19" s="30">
        <v>6</v>
      </c>
      <c r="V19" s="30">
        <v>2.2000000000000002</v>
      </c>
      <c r="W19" t="s">
        <v>369</v>
      </c>
      <c r="X19" s="11"/>
      <c r="Y19" s="26">
        <f>((W14-2*W15)*D7^2*C5)/(2*E3*B3*(H3-2)^2)</f>
        <v>1.8324718102141699</v>
      </c>
      <c r="Z19" s="11"/>
      <c r="AB19" s="6"/>
    </row>
    <row r="20" spans="1:28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  <c r="R20" s="6"/>
      <c r="S20" s="84">
        <f>((D3^2-D7*W14*C5/B3)/E3)^(1/2)</f>
        <v>1.7517932121606123</v>
      </c>
      <c r="T20" s="30">
        <v>1</v>
      </c>
      <c r="U20" s="30">
        <v>2</v>
      </c>
      <c r="V20" s="30">
        <v>1</v>
      </c>
      <c r="W20" t="s">
        <v>369</v>
      </c>
      <c r="X20" s="11"/>
      <c r="Y20" s="26" t="e">
        <f>((2*W15-W14)*D7^2*C5)/(E3*B3*(H3-6)^2)</f>
        <v>#DIV/0!</v>
      </c>
      <c r="Z20" s="11"/>
      <c r="AB20" s="6"/>
    </row>
    <row r="21" spans="1:28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R21" s="6"/>
      <c r="S21" s="84">
        <f>((D3^2-9*D7*W14*C5/(8*B3))/E3)^(1/2)</f>
        <v>0.12107755564807285</v>
      </c>
      <c r="T21" s="30">
        <v>1</v>
      </c>
      <c r="U21" s="30">
        <v>1</v>
      </c>
      <c r="V21" s="30">
        <v>1</v>
      </c>
      <c r="W21" t="s">
        <v>368</v>
      </c>
      <c r="X21" s="11"/>
      <c r="Y21" s="26">
        <f>(9*W15*D7^2*C5)/(256*E3*B3)</f>
        <v>4.1230615729818849</v>
      </c>
      <c r="Z21" s="11"/>
      <c r="AB21" s="6"/>
    </row>
    <row r="22" spans="1:28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R22" s="6"/>
      <c r="S22" s="43" t="s">
        <v>370</v>
      </c>
      <c r="T22" s="11" t="s">
        <v>371</v>
      </c>
      <c r="U22" s="11" t="s">
        <v>372</v>
      </c>
      <c r="V22" s="11" t="s">
        <v>373</v>
      </c>
      <c r="W22" s="5" t="s">
        <v>374</v>
      </c>
      <c r="X22" t="s">
        <v>376</v>
      </c>
      <c r="AB22" s="6"/>
    </row>
    <row r="23" spans="1:28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R23" s="6"/>
      <c r="X23" t="s">
        <v>377</v>
      </c>
      <c r="AB23" s="6"/>
    </row>
    <row r="24" spans="1:28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  <c r="R24" s="6"/>
      <c r="S24" t="s">
        <v>418</v>
      </c>
      <c r="X24" t="s">
        <v>375</v>
      </c>
      <c r="AB24" s="6"/>
    </row>
    <row r="25" spans="1:28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R25" s="6"/>
      <c r="S25" s="5" t="s">
        <v>419</v>
      </c>
      <c r="X25" t="s">
        <v>378</v>
      </c>
      <c r="AB25" s="6"/>
    </row>
    <row r="26" spans="1:28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R26" s="18"/>
      <c r="S26" s="8" t="s">
        <v>412</v>
      </c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  <c r="R27" s="6"/>
      <c r="S27" t="s">
        <v>379</v>
      </c>
      <c r="T27" s="48"/>
      <c r="U27" s="82" t="s">
        <v>389</v>
      </c>
      <c r="X27" s="82" t="s">
        <v>389</v>
      </c>
      <c r="AB27" s="6"/>
    </row>
    <row r="28" spans="1:28" x14ac:dyDescent="0.4">
      <c r="J28" s="7" t="s">
        <v>24</v>
      </c>
      <c r="K28" s="24">
        <f>O3</f>
        <v>2.8</v>
      </c>
      <c r="M28" s="5"/>
      <c r="Q28" s="20"/>
      <c r="R28" s="6"/>
      <c r="S28" s="85" t="s">
        <v>366</v>
      </c>
      <c r="T28" s="30">
        <v>60</v>
      </c>
      <c r="U28" s="81">
        <f>T28*0.006241509</f>
        <v>0.37449053999999998</v>
      </c>
      <c r="W28" s="35" t="s">
        <v>33</v>
      </c>
      <c r="X28" s="80">
        <f>(1/9)*(2*U28+U31+2*U29+4*U30)</f>
        <v>0.21914631600000001</v>
      </c>
      <c r="Z28" s="11" t="s">
        <v>395</v>
      </c>
      <c r="AB28" s="6"/>
    </row>
    <row r="29" spans="1:28" x14ac:dyDescent="0.4">
      <c r="A29" t="s">
        <v>67</v>
      </c>
      <c r="J29" s="5"/>
      <c r="M29" s="5"/>
      <c r="Q29" s="20"/>
      <c r="R29" s="6"/>
      <c r="S29" s="85" t="s">
        <v>367</v>
      </c>
      <c r="T29" s="30">
        <v>16</v>
      </c>
      <c r="U29" s="81">
        <f t="shared" ref="U29:U33" si="2">T29*0.006241509</f>
        <v>9.9864144000000002E-2</v>
      </c>
      <c r="W29" s="35" t="s">
        <v>161</v>
      </c>
      <c r="X29" s="80">
        <f>(1/2)*(U28-U29)</f>
        <v>0.137313198</v>
      </c>
      <c r="Y29" s="87">
        <f>U33</f>
        <v>0.137313198</v>
      </c>
      <c r="Z29" s="81">
        <f>(5/8)*X28+(E3*B3)/(2*Y44^2*C5)*(-20*S40^2+(1/6)*W40*(T40+1)^2+(25/9)*X40*(U40-14/5)^2+(1/9)*Y40*((11/8)*V40^2+(125/12)*V40+115/8))</f>
        <v>0.11201451639917742</v>
      </c>
      <c r="AB29" s="6"/>
    </row>
    <row r="30" spans="1:28" x14ac:dyDescent="0.4">
      <c r="J30" s="5"/>
      <c r="M30" s="5"/>
      <c r="Q30" s="20"/>
      <c r="R30" s="6"/>
      <c r="S30" s="85" t="s">
        <v>380</v>
      </c>
      <c r="T30" s="30">
        <v>25</v>
      </c>
      <c r="U30" s="81">
        <f t="shared" si="2"/>
        <v>0.15603772500000002</v>
      </c>
      <c r="W30" s="35" t="s">
        <v>384</v>
      </c>
      <c r="X30" s="80">
        <f>U32</f>
        <v>9.9864144000000002E-2</v>
      </c>
      <c r="Z30" s="81">
        <f>(1/2)*X28+(E3*B3)/(2*Y44^2*C5)*(-16*S40^2+(16/9)*X40*(U40-4)^2+(1/9)*Y40*(44*V40^2+(193/12)*V40+17/2))</f>
        <v>6.0101327925962275E-2</v>
      </c>
      <c r="AB30" s="6"/>
    </row>
    <row r="31" spans="1:28" x14ac:dyDescent="0.4">
      <c r="A31" t="s">
        <v>66</v>
      </c>
      <c r="J31" s="5"/>
      <c r="M31" s="5"/>
      <c r="R31" s="6"/>
      <c r="S31" s="85" t="s">
        <v>381</v>
      </c>
      <c r="T31" s="30">
        <v>64</v>
      </c>
      <c r="U31" s="81">
        <f t="shared" si="2"/>
        <v>0.39945657600000001</v>
      </c>
      <c r="W31" s="35" t="s">
        <v>385</v>
      </c>
      <c r="X31" s="80">
        <f>(1/6)*(U28+2*U31+U29-4*U30)</f>
        <v>0.10818615599999999</v>
      </c>
      <c r="Z31" s="81">
        <f>(3/4)*X28+(E3*B3)/(2*Y44^2*C5)*(-24*S40^2+4*X40*(U40-2)^2+(1/9)*(Y40*(23/2)*V40+33))</f>
        <v>0.12064762435635354</v>
      </c>
      <c r="AB31" s="6"/>
    </row>
    <row r="32" spans="1:28" x14ac:dyDescent="0.4">
      <c r="A32" t="s">
        <v>60</v>
      </c>
      <c r="J32" s="5"/>
      <c r="M32" s="5"/>
      <c r="R32" s="6"/>
      <c r="S32" s="85" t="s">
        <v>365</v>
      </c>
      <c r="T32" s="30">
        <v>16</v>
      </c>
      <c r="U32" s="81">
        <f t="shared" si="2"/>
        <v>9.9864144000000002E-2</v>
      </c>
      <c r="W32" s="35" t="s">
        <v>386</v>
      </c>
      <c r="X32" s="80">
        <f>(1/3)*(U28-U31+U29-U30)</f>
        <v>-2.7046539000000012E-2</v>
      </c>
      <c r="Z32" s="81">
        <f>(E3*B3)/(2*Y44^2*C5)*(-(2/9)*Y40*(V40^2+6*V40+3))</f>
        <v>8.8905040802355131E-3</v>
      </c>
      <c r="AA32" s="35">
        <f>(1/2)*(U28-3*X29-3*X28-X31)</f>
        <v>-0.40153707900000007</v>
      </c>
      <c r="AB32" s="6"/>
    </row>
    <row r="33" spans="1:28" x14ac:dyDescent="0.4">
      <c r="A33" t="s">
        <v>61</v>
      </c>
      <c r="J33" s="5"/>
      <c r="M33" s="7"/>
      <c r="N33" s="8"/>
      <c r="O33" s="8"/>
      <c r="P33" s="8"/>
      <c r="Q33" s="8"/>
      <c r="R33" s="9"/>
      <c r="S33" s="85" t="s">
        <v>382</v>
      </c>
      <c r="T33" s="30">
        <v>22</v>
      </c>
      <c r="U33" s="81">
        <f t="shared" si="2"/>
        <v>0.137313198</v>
      </c>
      <c r="AB33" s="6"/>
    </row>
    <row r="34" spans="1:28" x14ac:dyDescent="0.4">
      <c r="A34" t="s">
        <v>62</v>
      </c>
      <c r="J34" s="5"/>
      <c r="R34" s="4"/>
      <c r="Y34" s="11" t="s">
        <v>395</v>
      </c>
      <c r="Z34" t="s">
        <v>410</v>
      </c>
      <c r="AB34" s="6"/>
    </row>
    <row r="35" spans="1:28" x14ac:dyDescent="0.4">
      <c r="A35" t="s">
        <v>63</v>
      </c>
      <c r="J35" s="5"/>
      <c r="R35" s="6"/>
      <c r="S35" s="14" t="s">
        <v>405</v>
      </c>
      <c r="T35" s="30">
        <v>1345</v>
      </c>
      <c r="U35" t="s">
        <v>406</v>
      </c>
      <c r="X35" s="14" t="s">
        <v>407</v>
      </c>
      <c r="Y35" s="80">
        <f>0.0103636*285</f>
        <v>2.9536260000000003</v>
      </c>
      <c r="Z35" t="s">
        <v>409</v>
      </c>
      <c r="AB35" s="6"/>
    </row>
    <row r="36" spans="1:28" x14ac:dyDescent="0.4">
      <c r="A36" t="s">
        <v>64</v>
      </c>
      <c r="J36" s="5"/>
      <c r="R36" s="6"/>
      <c r="S36" s="83" t="s">
        <v>388</v>
      </c>
      <c r="T36" s="80">
        <f>V36</f>
        <v>1.159031323739</v>
      </c>
      <c r="U36" s="81">
        <f>B3*(1-(23/24)*E3+(1/24)*E3*(W40+(2/3)*X40+Y40))</f>
        <v>1.159031323739</v>
      </c>
      <c r="V36" s="89">
        <f>T35*10*0.00008617333262</f>
        <v>1.159031323739</v>
      </c>
      <c r="X36" s="35" t="s">
        <v>229</v>
      </c>
      <c r="Y36" s="80">
        <f>Y35*1.16</f>
        <v>3.42620616</v>
      </c>
      <c r="Z36" t="s">
        <v>408</v>
      </c>
      <c r="AB36" s="23"/>
    </row>
    <row r="37" spans="1:28" x14ac:dyDescent="0.4">
      <c r="A37" t="s">
        <v>65</v>
      </c>
      <c r="J37" s="5"/>
      <c r="R37" s="6"/>
      <c r="AB37" s="6"/>
    </row>
    <row r="38" spans="1:28" x14ac:dyDescent="0.4">
      <c r="J38" s="5"/>
      <c r="R38" s="6"/>
      <c r="S38" t="s">
        <v>363</v>
      </c>
      <c r="T38" t="s">
        <v>394</v>
      </c>
      <c r="V38" t="s">
        <v>387</v>
      </c>
      <c r="AB38" s="6"/>
    </row>
    <row r="39" spans="1:28" x14ac:dyDescent="0.4">
      <c r="A39" t="s">
        <v>110</v>
      </c>
      <c r="J39" s="5"/>
      <c r="R39" s="6"/>
      <c r="S39" s="86" t="s">
        <v>4</v>
      </c>
      <c r="T39" s="33" t="s">
        <v>5</v>
      </c>
      <c r="U39" s="50" t="s">
        <v>6</v>
      </c>
      <c r="V39" s="39" t="s">
        <v>7</v>
      </c>
      <c r="W39" s="35" t="s">
        <v>9</v>
      </c>
      <c r="X39" s="35" t="s">
        <v>10</v>
      </c>
      <c r="Y39" s="39" t="s">
        <v>11</v>
      </c>
      <c r="AB39" s="6"/>
    </row>
    <row r="40" spans="1:28" x14ac:dyDescent="0.4">
      <c r="A40" t="s">
        <v>111</v>
      </c>
      <c r="J40" s="5"/>
      <c r="R40" s="6"/>
      <c r="S40" s="90">
        <v>1.3</v>
      </c>
      <c r="T40" s="91">
        <v>0</v>
      </c>
      <c r="U40" s="84">
        <f>(8-6*U44^0.5)/(2-3*U44^0.5)</f>
        <v>1.1580277736423858</v>
      </c>
      <c r="V40" s="26">
        <v>3</v>
      </c>
      <c r="W40" s="26">
        <f>(24/E3)*(T36/B3-1+23/24*E3)-(2/3)*X40-Y40</f>
        <v>3.2493338377304091</v>
      </c>
      <c r="X40" s="26">
        <f>((3/8)*(2*Y44^2*C5/(E3*B3))*(2*X31-3*X30)+Y40*((4/3)*V40^2+(101/36)*V40-9/2))/(U40^2+4*U40-20)</f>
        <v>2.8030558187340522</v>
      </c>
      <c r="Y40" s="26">
        <v>-1</v>
      </c>
      <c r="AB40" s="6"/>
    </row>
    <row r="41" spans="1:28" x14ac:dyDescent="0.4">
      <c r="A41" t="s">
        <v>112</v>
      </c>
      <c r="J41" s="5"/>
      <c r="R41" s="6"/>
      <c r="S41" s="42" t="s">
        <v>370</v>
      </c>
      <c r="T41" s="33" t="s">
        <v>371</v>
      </c>
      <c r="U41" s="43" t="s">
        <v>372</v>
      </c>
      <c r="V41" s="11" t="s">
        <v>373</v>
      </c>
      <c r="Y41" s="11" t="s">
        <v>393</v>
      </c>
      <c r="AB41" s="6"/>
    </row>
    <row r="42" spans="1:28" x14ac:dyDescent="0.4">
      <c r="A42" t="s">
        <v>113</v>
      </c>
      <c r="J42" s="5"/>
      <c r="R42" s="6"/>
      <c r="Y42" t="s">
        <v>396</v>
      </c>
      <c r="AB42" s="6"/>
    </row>
    <row r="43" spans="1:28" x14ac:dyDescent="0.4">
      <c r="A43" t="s">
        <v>114</v>
      </c>
      <c r="J43" s="5"/>
      <c r="R43" s="6"/>
      <c r="U43" s="35" t="s">
        <v>392</v>
      </c>
      <c r="V43" s="35" t="s">
        <v>390</v>
      </c>
      <c r="W43" s="35" t="s">
        <v>391</v>
      </c>
      <c r="Y43" s="35" t="s">
        <v>383</v>
      </c>
      <c r="AA43" s="35" t="s">
        <v>230</v>
      </c>
      <c r="AB43" s="6"/>
    </row>
    <row r="44" spans="1:28" x14ac:dyDescent="0.4">
      <c r="J44" s="5"/>
      <c r="R44" s="6"/>
      <c r="U44" s="80">
        <f>V44/W44</f>
        <v>5.0636258564948902</v>
      </c>
      <c r="V44" s="80">
        <f>(2*Y44^2*C5)/(E3*B3)*(X30-(1/2)*X28)+16*S40^2-(1/9)*Y40*(4*V40^2+(193/12)*V40+17/2)</f>
        <v>30.065117976780456</v>
      </c>
      <c r="W44" s="80">
        <f>(2*Y44^2*C5)/(E3*B3)*(X31-(3/4)*X28)+24*S40^2-(1/9)*Y40*((23/2)*V40+33)</f>
        <v>5.9374682942297667</v>
      </c>
      <c r="Y44" s="80">
        <f>12*EXP(Y40/864)</f>
        <v>11.986119145562542</v>
      </c>
      <c r="AA44" s="26">
        <f>(2^0.5*C5)^(1/3)</f>
        <v>2.4900000000000007</v>
      </c>
      <c r="AB44" s="6"/>
    </row>
    <row r="45" spans="1:28" x14ac:dyDescent="0.4">
      <c r="A45" t="s">
        <v>115</v>
      </c>
      <c r="J45" s="5"/>
      <c r="R45" s="6"/>
      <c r="T45" s="11" t="s">
        <v>395</v>
      </c>
      <c r="AB45" s="6"/>
    </row>
    <row r="46" spans="1:28" x14ac:dyDescent="0.4">
      <c r="A46" t="s">
        <v>116</v>
      </c>
      <c r="J46" s="5"/>
      <c r="R46" s="6"/>
      <c r="S46" s="36" t="s">
        <v>401</v>
      </c>
      <c r="T46" s="26">
        <f>B3*(1-(23/24)*E3+(1/24)*E3*(W40+(2/3)*X40+Y40))</f>
        <v>1.159031323739</v>
      </c>
      <c r="U46" t="s">
        <v>397</v>
      </c>
      <c r="AB46" s="6"/>
    </row>
    <row r="47" spans="1:28" x14ac:dyDescent="0.4">
      <c r="A47" t="s">
        <v>117</v>
      </c>
      <c r="J47" s="5"/>
      <c r="R47" s="6"/>
      <c r="S47" s="35" t="s">
        <v>402</v>
      </c>
      <c r="T47" s="88">
        <f>(1/6)*B3*(1-1.139*E3-0.0378*E3*(W40-(17/15)*X40-(7/10)*Y40))</f>
        <v>-7.2764763382073508E-2</v>
      </c>
      <c r="U47" t="s">
        <v>398</v>
      </c>
      <c r="AB47" s="6"/>
    </row>
    <row r="48" spans="1:28" x14ac:dyDescent="0.4">
      <c r="A48" t="s">
        <v>118</v>
      </c>
      <c r="J48" s="5"/>
      <c r="R48" s="6"/>
      <c r="S48" s="35" t="s">
        <v>403</v>
      </c>
      <c r="T48" s="26">
        <f>(-E3*B3)/(216*3^0.5*C3^2)*Y40</f>
        <v>1.803328273692871E-3</v>
      </c>
      <c r="U48" t="s">
        <v>399</v>
      </c>
      <c r="AB48" s="6"/>
    </row>
    <row r="49" spans="1:28" x14ac:dyDescent="0.4">
      <c r="A49" t="s">
        <v>119</v>
      </c>
      <c r="J49" s="5"/>
      <c r="R49" s="6"/>
      <c r="S49" s="35" t="s">
        <v>404</v>
      </c>
      <c r="T49" s="26">
        <f>(B3/(2*3^0.5*C3^2))*(1+3*LN(3/4)*E3+(1/9)*(1+LN(3/4))*E3*(W40+(1/4)*X40+(1/2)*Y40))</f>
        <v>9.2286088402253566E-2</v>
      </c>
      <c r="U49" t="s">
        <v>400</v>
      </c>
      <c r="AB49" s="6"/>
    </row>
    <row r="50" spans="1:28" x14ac:dyDescent="0.4">
      <c r="A50" t="s">
        <v>120</v>
      </c>
      <c r="J50" s="5"/>
      <c r="R50" s="6"/>
      <c r="AB50" s="6"/>
    </row>
    <row r="51" spans="1:28" x14ac:dyDescent="0.4">
      <c r="J51" s="5"/>
      <c r="R51" s="6"/>
      <c r="S51" s="7" t="s">
        <v>411</v>
      </c>
      <c r="T51" s="8"/>
      <c r="U51" s="8"/>
      <c r="V51" s="8"/>
      <c r="W51" s="8"/>
      <c r="X51" s="8"/>
      <c r="Y51" s="8"/>
      <c r="Z51" s="8"/>
      <c r="AA51" s="8"/>
      <c r="AB51" s="9"/>
    </row>
    <row r="52" spans="1:28" x14ac:dyDescent="0.4">
      <c r="A52" t="s">
        <v>121</v>
      </c>
      <c r="J52" s="5"/>
      <c r="S52" s="92" t="s">
        <v>264</v>
      </c>
      <c r="AB52" s="6"/>
    </row>
    <row r="53" spans="1:28" x14ac:dyDescent="0.4">
      <c r="A53" t="s">
        <v>122</v>
      </c>
      <c r="J53" s="5"/>
      <c r="S53" s="67" t="s">
        <v>420</v>
      </c>
      <c r="AB53" s="6"/>
    </row>
    <row r="54" spans="1:28" x14ac:dyDescent="0.4">
      <c r="A54" t="s">
        <v>129</v>
      </c>
      <c r="J54" s="5"/>
      <c r="S54" s="67" t="s">
        <v>421</v>
      </c>
      <c r="AB54" s="6"/>
    </row>
    <row r="55" spans="1:28" x14ac:dyDescent="0.4">
      <c r="A55" t="s">
        <v>130</v>
      </c>
      <c r="J55" s="5"/>
      <c r="S55" s="67" t="s">
        <v>422</v>
      </c>
      <c r="AB55" s="6"/>
    </row>
    <row r="56" spans="1:28" s="8" customFormat="1" x14ac:dyDescent="0.4">
      <c r="A56" s="8" t="s">
        <v>128</v>
      </c>
      <c r="I56" s="9"/>
      <c r="J56" s="7"/>
      <c r="R56" s="9"/>
      <c r="S56" s="8" t="s">
        <v>412</v>
      </c>
      <c r="AB56" s="9"/>
    </row>
    <row r="57" spans="1:28" x14ac:dyDescent="0.4">
      <c r="A57" t="s">
        <v>251</v>
      </c>
    </row>
    <row r="58" spans="1:28" x14ac:dyDescent="0.4">
      <c r="A58" t="s">
        <v>271</v>
      </c>
    </row>
    <row r="59" spans="1:28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28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28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28" x14ac:dyDescent="0.4">
      <c r="B63" s="56" t="s">
        <v>273</v>
      </c>
      <c r="C63" s="57"/>
      <c r="J63" s="63" t="s">
        <v>274</v>
      </c>
      <c r="K63" s="64"/>
    </row>
    <row r="64" spans="1:28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2025-04-12T07:32:22Z</dcterms:modified>
</cp:coreProperties>
</file>