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943FB484-674E-462C-A6FA-A8C33DB5402F}" xr6:coauthVersionLast="47" xr6:coauthVersionMax="47" xr10:uidLastSave="{00000000-0000-0000-0000-000000000000}"/>
  <bookViews>
    <workbookView xWindow="7800" yWindow="1215" windowWidth="19830" windowHeight="12315" xr2:uid="{1ABAA621-BF53-4EC6-AD5A-ED59DA47D425}"/>
  </bookViews>
  <sheets>
    <sheet name="MEAM" sheetId="1" r:id="rId1"/>
    <sheet name="data" sheetId="2" r:id="rId2"/>
    <sheet name="FCC" sheetId="3" r:id="rId3"/>
    <sheet name="BCC" sheetId="4" r:id="rId4"/>
    <sheet name="HC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" i="1" l="1"/>
  <c r="W16" i="1" l="1"/>
  <c r="W15" i="1"/>
  <c r="W14" i="1"/>
  <c r="AC15" i="1" l="1"/>
  <c r="AB43" i="1" l="1"/>
  <c r="AD15" i="1" l="1"/>
  <c r="V39" i="1"/>
  <c r="T39" i="1" s="1"/>
  <c r="Y38" i="1"/>
  <c r="Y39" i="1" s="1"/>
  <c r="U32" i="1" l="1"/>
  <c r="U33" i="1"/>
  <c r="U34" i="1"/>
  <c r="U35" i="1"/>
  <c r="X33" i="1" s="1"/>
  <c r="U36" i="1"/>
  <c r="Y32" i="1" s="1"/>
  <c r="U31" i="1"/>
  <c r="X35" i="1" l="1"/>
  <c r="X31" i="1"/>
  <c r="X32" i="1"/>
  <c r="X34" i="1"/>
  <c r="K70" i="1"/>
  <c r="K71" i="1" s="1"/>
  <c r="K69" i="1"/>
  <c r="K66" i="1"/>
  <c r="K67" i="1" s="1"/>
  <c r="K65" i="1"/>
  <c r="C81" i="1"/>
  <c r="C82" i="1" s="1"/>
  <c r="C80" i="1"/>
  <c r="C77" i="1"/>
  <c r="C78" i="1" s="1"/>
  <c r="C76" i="1"/>
  <c r="C70" i="1"/>
  <c r="C66" i="1"/>
  <c r="C69" i="1"/>
  <c r="C65" i="1"/>
  <c r="Q20" i="1"/>
  <c r="Q21" i="1"/>
  <c r="Q22" i="1"/>
  <c r="Q23" i="1"/>
  <c r="Q24" i="1"/>
  <c r="Q25" i="1"/>
  <c r="Q26" i="1"/>
  <c r="Q19" i="1"/>
  <c r="E17" i="1"/>
  <c r="K21" i="1"/>
  <c r="D7" i="1"/>
  <c r="F4" i="1"/>
  <c r="B7" i="1"/>
  <c r="A7" i="1"/>
  <c r="E7" i="1"/>
  <c r="J7" i="1"/>
  <c r="C3" i="1" l="1"/>
  <c r="AA35" i="1"/>
  <c r="K85" i="1"/>
  <c r="K79" i="1"/>
  <c r="K77" i="1"/>
  <c r="C83" i="1"/>
  <c r="K89" i="1"/>
  <c r="K90" i="1"/>
  <c r="K78" i="1"/>
  <c r="K87" i="1"/>
  <c r="K86" i="1"/>
  <c r="K72" i="1"/>
  <c r="K88" i="1"/>
  <c r="K80" i="1"/>
  <c r="K81" i="1"/>
  <c r="K76" i="1"/>
  <c r="C67" i="1"/>
  <c r="K96" i="1" s="1"/>
  <c r="C71" i="1"/>
  <c r="C72" i="1"/>
  <c r="C68" i="1"/>
  <c r="C79" i="1"/>
  <c r="K68" i="1"/>
  <c r="H5" i="1"/>
  <c r="I5" i="1"/>
  <c r="J5" i="1"/>
  <c r="M5" i="1"/>
  <c r="K5" i="1"/>
  <c r="C15" i="1"/>
  <c r="K13" i="1"/>
  <c r="K28" i="1"/>
  <c r="K23" i="1"/>
  <c r="K22" i="1"/>
  <c r="Q10" i="1"/>
  <c r="Q18" i="1"/>
  <c r="Q17" i="1"/>
  <c r="Q13" i="1"/>
  <c r="Q16" i="1"/>
  <c r="Q15" i="1"/>
  <c r="Q14" i="1"/>
  <c r="K25" i="1"/>
  <c r="K26" i="1"/>
  <c r="K18" i="1"/>
  <c r="K27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Z19" i="1" l="1"/>
  <c r="Z21" i="1"/>
  <c r="Z22" i="1"/>
  <c r="Z20" i="1"/>
  <c r="Z43" i="1"/>
  <c r="Y47" i="1" s="1"/>
  <c r="T51" i="1"/>
  <c r="F5" i="1"/>
  <c r="Z15" i="1"/>
  <c r="C5" i="1"/>
  <c r="L5" i="1"/>
  <c r="F16" i="1"/>
  <c r="K99" i="1"/>
  <c r="K97" i="1"/>
  <c r="K94" i="1"/>
  <c r="K95" i="1"/>
  <c r="K98" i="1"/>
  <c r="D3" i="1"/>
  <c r="AA47" i="1" l="1"/>
  <c r="Y20" i="1"/>
  <c r="X20" i="1" s="1"/>
  <c r="Y19" i="1"/>
  <c r="Y21" i="1"/>
  <c r="S19" i="1"/>
  <c r="S21" i="1"/>
  <c r="S20" i="1"/>
  <c r="S43" i="1"/>
  <c r="K24" i="1"/>
  <c r="A16" i="1"/>
  <c r="X19" i="1" l="1"/>
  <c r="Y22" i="1"/>
  <c r="X21" i="1"/>
  <c r="X22" i="1"/>
  <c r="S23" i="1"/>
  <c r="S22" i="1"/>
  <c r="Z35" i="1"/>
  <c r="W47" i="1"/>
  <c r="V47" i="1"/>
  <c r="U47" i="1" l="1"/>
  <c r="U43" i="1" s="1"/>
  <c r="Y43" i="1" s="1"/>
  <c r="Z34" i="1" s="1"/>
  <c r="X43" i="1" l="1"/>
  <c r="T52" i="1" s="1"/>
  <c r="Z33" i="1"/>
  <c r="U39" i="1" l="1"/>
  <c r="T50" i="1"/>
  <c r="T49" i="1"/>
  <c r="Z32" i="1"/>
</calcChain>
</file>

<file path=xl/sharedStrings.xml><?xml version="1.0" encoding="utf-8"?>
<sst xmlns="http://schemas.openxmlformats.org/spreadsheetml/2006/main" count="876" uniqueCount="443">
  <si>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</si>
  <si>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</si>
  <si>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</si>
  <si>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</si>
  <si>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</si>
  <si>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</si>
  <si>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</si>
  <si>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</si>
  <si>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</si>
  <si>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</si>
  <si>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</si>
  <si>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</si>
  <si>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</si>
  <si>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</si>
  <si>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</si>
  <si>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</si>
  <si>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</si>
  <si>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</si>
  <si>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</si>
  <si>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</si>
  <si>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</si>
  <si>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</si>
  <si>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</si>
  <si>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</si>
  <si>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</si>
  <si>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</si>
  <si>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</si>
  <si>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</si>
  <si>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</si>
  <si>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</si>
  <si>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</si>
  <si>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</si>
  <si>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</si>
  <si>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</si>
  <si>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</si>
  <si>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</si>
  <si>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</si>
  <si>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</si>
  <si>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</si>
  <si>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</si>
  <si>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</si>
  <si>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</si>
  <si>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</si>
  <si>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</si>
  <si>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</si>
  <si>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</si>
  <si>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</si>
  <si>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</si>
  <si>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</si>
  <si>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</si>
  <si>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</si>
  <si>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</si>
  <si>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</si>
  <si>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</si>
  <si>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</si>
  <si>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</si>
  <si>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</si>
  <si>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</si>
  <si>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</si>
  <si>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</si>
  <si>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</si>
  <si>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</si>
  <si>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</si>
  <si>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</si>
  <si>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</si>
  <si>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</si>
  <si>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</si>
  <si>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</si>
  <si>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</si>
  <si>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</si>
  <si>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</si>
  <si>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</si>
  <si>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</si>
  <si>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</si>
  <si>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</si>
  <si>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</si>
  <si>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</si>
  <si>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structure</t>
    <phoneticPr fontId="1"/>
  </si>
  <si>
    <t>A-B</t>
    <phoneticPr fontId="1"/>
  </si>
  <si>
    <t>Cmin(A-A-B)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</si>
  <si>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</si>
  <si>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</si>
  <si>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</si>
  <si>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</si>
  <si>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</si>
  <si>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</si>
  <si>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</si>
  <si>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</si>
  <si>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</si>
  <si>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</si>
  <si>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</si>
  <si>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</si>
  <si>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</si>
  <si>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Cmax(1,1,2) =</t>
    <phoneticPr fontId="1"/>
  </si>
  <si>
    <t>Cmax(2,2,1) =</t>
    <phoneticPr fontId="1"/>
  </si>
  <si>
    <t>Cmax(1,2,1) =</t>
    <phoneticPr fontId="1"/>
  </si>
  <si>
    <t>Cmin(1,2,2) =</t>
    <phoneticPr fontId="1"/>
  </si>
  <si>
    <t>Cmax(1,2,2) =</t>
    <phoneticPr fontId="1"/>
  </si>
  <si>
    <t>Cmin(1,2,3) =</t>
    <phoneticPr fontId="1"/>
  </si>
  <si>
    <t>Cmin(1,3,2) =</t>
    <phoneticPr fontId="1"/>
  </si>
  <si>
    <t>Cmin(2,3,1) =</t>
    <phoneticPr fontId="1"/>
  </si>
  <si>
    <t>Cmax(1,2,3) =</t>
    <phoneticPr fontId="1"/>
  </si>
  <si>
    <t>Cmax(1,3,2) =</t>
    <phoneticPr fontId="1"/>
  </si>
  <si>
    <t>Cmax(2,3,1) =</t>
    <phoneticPr fontId="1"/>
  </si>
  <si>
    <t>input (A-B)</t>
    <phoneticPr fontId="1"/>
  </si>
  <si>
    <t>Cmin(A-B-A)</t>
    <phoneticPr fontId="1"/>
  </si>
  <si>
    <t>Cmin(A-B-B)</t>
    <phoneticPr fontId="1"/>
  </si>
  <si>
    <t>Cmax(A-A-B)</t>
    <phoneticPr fontId="1"/>
  </si>
  <si>
    <t>Cmax(A-B-A)</t>
    <phoneticPr fontId="1"/>
  </si>
  <si>
    <t>Cmax(A-B-B)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</si>
  <si>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</si>
  <si>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</si>
  <si>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</si>
  <si>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</si>
  <si>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</si>
  <si>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</si>
  <si>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</si>
  <si>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</si>
  <si>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</si>
  <si>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</si>
  <si>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</si>
  <si>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</si>
  <si>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</si>
  <si>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</si>
  <si>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</si>
  <si>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</si>
  <si>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</si>
  <si>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</si>
  <si>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</si>
  <si>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</si>
  <si>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</si>
  <si>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</si>
  <si>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</si>
  <si>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</si>
  <si>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</si>
  <si>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</si>
  <si>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</si>
  <si>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</si>
  <si>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</si>
  <si>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</si>
  <si>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</si>
  <si>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</si>
  <si>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</si>
  <si>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</si>
  <si>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</si>
  <si>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</si>
  <si>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</si>
  <si>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</si>
  <si>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</si>
  <si>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</si>
  <si>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</si>
  <si>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</si>
  <si>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</si>
  <si>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</si>
  <si>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</si>
  <si>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</si>
  <si>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</si>
  <si>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</si>
  <si>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</si>
  <si>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</si>
  <si>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</si>
  <si>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</si>
  <si>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</si>
  <si>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</si>
  <si>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</si>
  <si>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</si>
  <si>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</si>
  <si>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</si>
  <si>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</si>
  <si>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</si>
  <si>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</si>
  <si>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</si>
  <si>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</si>
  <si>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</si>
  <si>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</si>
  <si>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</si>
  <si>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</si>
  <si>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</si>
  <si>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</si>
  <si>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</si>
  <si>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</si>
  <si>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</si>
  <si>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</si>
  <si>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</si>
  <si>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</si>
  <si>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</si>
  <si>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</si>
  <si>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</si>
  <si>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</si>
  <si>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</si>
  <si>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</si>
  <si>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</si>
  <si>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</si>
  <si>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</si>
  <si>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</si>
  <si>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</si>
  <si>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</si>
  <si>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</si>
  <si>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</si>
  <si>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</si>
  <si>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</si>
  <si>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</si>
  <si>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</si>
  <si>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</si>
  <si>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</si>
  <si>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</si>
  <si>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</si>
  <si>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</si>
  <si>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</si>
  <si>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</si>
  <si>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</si>
  <si>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</si>
  <si>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</si>
  <si>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</si>
  <si>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</si>
  <si>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</si>
  <si>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</si>
  <si>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</si>
  <si>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</si>
  <si>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</si>
  <si>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</si>
  <si>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</si>
  <si>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</si>
  <si>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</si>
  <si>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</si>
  <si>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</si>
  <si>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</si>
  <si>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</si>
  <si>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</si>
  <si>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</si>
  <si>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</si>
  <si>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</si>
  <si>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</si>
  <si>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</si>
  <si>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</si>
  <si>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>input</t>
    <phoneticPr fontId="1"/>
  </si>
  <si>
    <t>Cmin(1,3,1) =</t>
    <phoneticPr fontId="1"/>
  </si>
  <si>
    <t>Cmin(1,3,3) =</t>
    <phoneticPr fontId="1"/>
  </si>
  <si>
    <t>Cmin(1,1,3) =</t>
    <phoneticPr fontId="1"/>
  </si>
  <si>
    <t>Cmin(3,3,1) =</t>
    <phoneticPr fontId="1"/>
  </si>
  <si>
    <t>Cmax(1,3,1) =</t>
    <phoneticPr fontId="1"/>
  </si>
  <si>
    <t>Cmax(1,3,3) =</t>
    <phoneticPr fontId="1"/>
  </si>
  <si>
    <t>Cmin(2,3,2) =</t>
    <phoneticPr fontId="1"/>
  </si>
  <si>
    <t>Cmin(2,3,3) =</t>
    <phoneticPr fontId="1"/>
  </si>
  <si>
    <t>Cmin(2,2,3) =</t>
    <phoneticPr fontId="1"/>
  </si>
  <si>
    <t>Cmin(3,3,2) =</t>
    <phoneticPr fontId="1"/>
  </si>
  <si>
    <t>Cmax(2,3,2) =</t>
    <phoneticPr fontId="1"/>
  </si>
  <si>
    <t>Cmax(2,3,3) =</t>
    <phoneticPr fontId="1"/>
  </si>
  <si>
    <t>Cmax(3,3,1) =</t>
    <phoneticPr fontId="1"/>
  </si>
  <si>
    <t>Cmax(3,3,2) =</t>
    <phoneticPr fontId="1"/>
  </si>
  <si>
    <t>Note</t>
    <phoneticPr fontId="1"/>
  </si>
  <si>
    <t>Empirically mixing rules (prediction)(Note: The same mixing method is used for Cmax as for Cmin.)</t>
    <phoneticPr fontId="1"/>
  </si>
  <si>
    <t>Note: rozero = rho0</t>
    <phoneticPr fontId="1"/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</si>
  <si>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</si>
  <si>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</si>
  <si>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</si>
  <si>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</si>
  <si>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</si>
  <si>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</si>
  <si>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</si>
  <si>
    <t>ibar = -5 for MEAM92</t>
    <phoneticPr fontId="1"/>
  </si>
  <si>
    <t>Cmin(B-A-B)</t>
    <phoneticPr fontId="1"/>
  </si>
  <si>
    <t>Cmax(B-A-B)</t>
    <phoneticPr fontId="1"/>
  </si>
  <si>
    <t>Assumption</t>
    <phoneticPr fontId="1"/>
  </si>
  <si>
    <t>output: AB.meam</t>
    <phoneticPr fontId="1"/>
  </si>
  <si>
    <t>C(A,B,C) is screened by C</t>
    <phoneticPr fontId="1"/>
  </si>
  <si>
    <t>C(A-C-B) is screened by C</t>
    <phoneticPr fontId="1"/>
  </si>
  <si>
    <t>A atom: 1</t>
    <phoneticPr fontId="1"/>
  </si>
  <si>
    <t>B atom: 2</t>
    <phoneticPr fontId="1"/>
  </si>
  <si>
    <t>C atom: 3</t>
    <phoneticPr fontId="1"/>
  </si>
  <si>
    <t>A-B or A-B-C system</t>
    <phoneticPr fontId="1"/>
  </si>
  <si>
    <t>Cmax(1,1,3) =</t>
    <phoneticPr fontId="1"/>
  </si>
  <si>
    <t># A-B system</t>
    <phoneticPr fontId="1"/>
  </si>
  <si>
    <t># A-C system</t>
    <phoneticPr fontId="1"/>
  </si>
  <si>
    <t># Cmin(1,1,1) = Cmin,A</t>
    <phoneticPr fontId="1"/>
  </si>
  <si>
    <t># Cmin(2,2,2) = Cmin,B</t>
    <phoneticPr fontId="1"/>
  </si>
  <si>
    <t># [0.5*Cmin(1,1,1)^0.5+0.5*Cmin(2,2,1)^0.5]^2</t>
    <phoneticPr fontId="1"/>
  </si>
  <si>
    <t># [0.5*Cmin(1,1,2)^0.5+0.5*Cmin(2,2,2)^0.5]^2</t>
    <phoneticPr fontId="1"/>
  </si>
  <si>
    <t># Cmax(1,1,1) = Cmax,A</t>
    <phoneticPr fontId="1"/>
  </si>
  <si>
    <t># Cmax(2,2,2) = Cmax,B</t>
    <phoneticPr fontId="1"/>
  </si>
  <si>
    <t># [0.5*Cmax(1,1,1)^0.5+0.5*Cmax(2,2,1)^0.5]^2</t>
    <phoneticPr fontId="1"/>
  </si>
  <si>
    <t># [0.5*Cmax(1,1,2)^0.5+0.5*Cmax(2,2,2)^0.5]^2</t>
    <phoneticPr fontId="1"/>
  </si>
  <si>
    <t># Cmin(3,3,3) = Cmin,C</t>
    <phoneticPr fontId="1"/>
  </si>
  <si>
    <t># [0.5*Cmin(1,1,1)^0.5+0.5*Cmin(3,3,1)^0.5]^2</t>
    <phoneticPr fontId="1"/>
  </si>
  <si>
    <t># [0.5*Cmin(1,1,3)^0.5+0.5*Cmin(3,3,3)^0.5]^2</t>
    <phoneticPr fontId="1"/>
  </si>
  <si>
    <t># Cmax(3,3,3) = Cmax,C</t>
    <phoneticPr fontId="1"/>
  </si>
  <si>
    <t># [0.5*Cmax(1,1,1)^0.5+0.5*Cmax(3,3,1)^0.5]^2</t>
    <phoneticPr fontId="1"/>
  </si>
  <si>
    <t># [0.5*Cmax(1,1,3)^0.5+0.5*Cmax(3,3,3)^0.5]^2</t>
    <phoneticPr fontId="1"/>
  </si>
  <si>
    <t># B-C system</t>
    <phoneticPr fontId="1"/>
  </si>
  <si>
    <t># [0.5*Cmin(2,2,2)^0.5+0.5*Cmin(3,3,2)^0.5]^2</t>
    <phoneticPr fontId="1"/>
  </si>
  <si>
    <t># [0.5*Cmin(2,2,3)^0.5+0.5*Cmin(3,3,3)^0.5]^2</t>
    <phoneticPr fontId="1"/>
  </si>
  <si>
    <t># [0.5*Cmax(2,2,2)^0.5+0.5*Cmax(3,3,2)^0.5]^2</t>
    <phoneticPr fontId="1"/>
  </si>
  <si>
    <t># [0.5*Cmax(2,2,3)^0.5+0.5*Cmax(3,3,3)^0.5]^2</t>
    <phoneticPr fontId="1"/>
  </si>
  <si>
    <t>Cmax(2,2,3) =</t>
    <phoneticPr fontId="1"/>
  </si>
  <si>
    <t># [0.5*Cmin(1,1,3)^0.5 + 0.5*Cmin(2,2,3)^0.5]^2</t>
    <phoneticPr fontId="1"/>
  </si>
  <si>
    <t>In paper</t>
    <phoneticPr fontId="1"/>
  </si>
  <si>
    <t>#Lammps format</t>
    <phoneticPr fontId="1"/>
  </si>
  <si>
    <t>Cmin(A-B-A) =</t>
    <phoneticPr fontId="1"/>
  </si>
  <si>
    <t>Cmin(B-A-B) =</t>
    <phoneticPr fontId="1"/>
  </si>
  <si>
    <t>Cmin(A-A-B) =</t>
    <phoneticPr fontId="1"/>
  </si>
  <si>
    <t>Cmin(A-B-B) =</t>
    <phoneticPr fontId="1"/>
  </si>
  <si>
    <t>Cmax(A-B-A) =</t>
    <phoneticPr fontId="1"/>
  </si>
  <si>
    <t>Cmax(B-A-B) =</t>
    <phoneticPr fontId="1"/>
  </si>
  <si>
    <t>Cmax(A-A-B) =</t>
    <phoneticPr fontId="1"/>
  </si>
  <si>
    <t>Cmax(A-B-B) =</t>
    <phoneticPr fontId="1"/>
  </si>
  <si>
    <t>Cmin(A-C-A) =</t>
    <phoneticPr fontId="1"/>
  </si>
  <si>
    <t>Cmin(C-A-C) =</t>
    <phoneticPr fontId="1"/>
  </si>
  <si>
    <t>Cmin(A-A-C) =</t>
    <phoneticPr fontId="1"/>
  </si>
  <si>
    <t>Cmin(A-C-C) =</t>
    <phoneticPr fontId="1"/>
  </si>
  <si>
    <t>Cmax(A-C-A) =</t>
    <phoneticPr fontId="1"/>
  </si>
  <si>
    <t>Cmax(C-A-C) =</t>
    <phoneticPr fontId="1"/>
  </si>
  <si>
    <t>Cmax(A-A-C) =</t>
    <phoneticPr fontId="1"/>
  </si>
  <si>
    <t>Cmax(A-C-C) =</t>
    <phoneticPr fontId="1"/>
  </si>
  <si>
    <t>Cmin(B-C-B) =</t>
    <phoneticPr fontId="1"/>
  </si>
  <si>
    <t>Cmin(C-B-C) =</t>
    <phoneticPr fontId="1"/>
  </si>
  <si>
    <t>Cmin(B-B-C) =</t>
    <phoneticPr fontId="1"/>
  </si>
  <si>
    <t>Cmin(B-C-C) =</t>
    <phoneticPr fontId="1"/>
  </si>
  <si>
    <t>Cmax(B-C-B) =</t>
    <phoneticPr fontId="1"/>
  </si>
  <si>
    <t>Cmax(C-B-C) =</t>
    <phoneticPr fontId="1"/>
  </si>
  <si>
    <t>Cmax(B-B-C) =</t>
    <phoneticPr fontId="1"/>
  </si>
  <si>
    <t>Cmax(B-C-C) =</t>
    <phoneticPr fontId="1"/>
  </si>
  <si>
    <t># [0.5*Cmin(1,1,2)^0.5 + 0.5*Cmin(3,3,2)^0.5]^2</t>
    <phoneticPr fontId="1"/>
  </si>
  <si>
    <t># [0.5*Cmin(2,2,1)^0.5 + 0.5*Cmin(3,3,1)^0.5]^2</t>
    <phoneticPr fontId="1"/>
  </si>
  <si>
    <t># [0.5*Cmax(1,1,3)^0.5 + 0.5*Cmax(2,2,3)^0.5]^2</t>
    <phoneticPr fontId="1"/>
  </si>
  <si>
    <t># [0.5*Cmax(1,1,2)^0.5 + 0.5*Cmax(3,3,2)^0.5]^2</t>
    <phoneticPr fontId="1"/>
  </si>
  <si>
    <t># [0.5*Cmax(2,2,1)^0.5 + 0.5*Cmax(3,3,1)^0.5]^2</t>
    <phoneticPr fontId="1"/>
  </si>
  <si>
    <r>
      <t>C</t>
    </r>
    <r>
      <rPr>
        <sz val="11"/>
        <color theme="1"/>
        <rFont val="Source Sans Pro"/>
        <family val="2"/>
      </rPr>
      <t>min,max</t>
    </r>
    <r>
      <rPr>
        <sz val="12"/>
        <color theme="1"/>
        <rFont val="Source Sans Pro"/>
        <family val="2"/>
      </rPr>
      <t>(</t>
    </r>
    <r>
      <rPr>
        <i/>
        <sz val="12"/>
        <color theme="1"/>
        <rFont val="Source Sans Pro"/>
        <family val="2"/>
      </rPr>
      <t>i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j</t>
    </r>
    <r>
      <rPr>
        <sz val="12"/>
        <color theme="1"/>
        <rFont val="Source Sans Pro"/>
        <family val="2"/>
      </rPr>
      <t>) (with the </t>
    </r>
    <r>
      <rPr>
        <i/>
        <sz val="12"/>
        <color theme="1"/>
        <rFont val="Source Sans Pro"/>
        <family val="2"/>
      </rPr>
      <t>ij</t>
    </r>
    <r>
      <rPr>
        <sz val="12"/>
        <color theme="1"/>
        <rFont val="Source Sans Pro"/>
        <family val="2"/>
      </rPr>
      <t> pair screened by 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).</t>
    </r>
    <phoneticPr fontId="1"/>
  </si>
  <si>
    <t>Cmin,max(A–C–B) (with the AB pair screened by C).</t>
    <phoneticPr fontId="1"/>
  </si>
  <si>
    <t>Cmin(A-C-B) =</t>
    <phoneticPr fontId="1"/>
  </si>
  <si>
    <t>Cmin(A-B-C) =</t>
    <phoneticPr fontId="1"/>
  </si>
  <si>
    <t>Cmin(B-A-C) =</t>
    <phoneticPr fontId="1"/>
  </si>
  <si>
    <t>Cmax(A-C-B) =</t>
    <phoneticPr fontId="1"/>
  </si>
  <si>
    <t>Cmax(A-B-C) =</t>
    <phoneticPr fontId="1"/>
  </si>
  <si>
    <t>Cmax(B-A-C) =</t>
    <phoneticPr fontId="1"/>
  </si>
  <si>
    <t>a</t>
    <phoneticPr fontId="1"/>
  </si>
  <si>
    <t>c</t>
    <phoneticPr fontId="1"/>
  </si>
  <si>
    <t>E</t>
    <phoneticPr fontId="1"/>
  </si>
  <si>
    <t>C11</t>
    <phoneticPr fontId="1"/>
  </si>
  <si>
    <t>C12</t>
    <phoneticPr fontId="1"/>
  </si>
  <si>
    <t>C13</t>
    <phoneticPr fontId="1"/>
  </si>
  <si>
    <t>C33</t>
    <phoneticPr fontId="1"/>
  </si>
  <si>
    <t>C44</t>
    <phoneticPr fontId="1"/>
  </si>
  <si>
    <t>C66</t>
    <phoneticPr fontId="1"/>
  </si>
  <si>
    <t>C22</t>
    <phoneticPr fontId="1"/>
  </si>
  <si>
    <t>C23</t>
    <phoneticPr fontId="1"/>
  </si>
  <si>
    <t>C55</t>
    <phoneticPr fontId="1"/>
  </si>
  <si>
    <t>Bv</t>
    <phoneticPr fontId="1"/>
  </si>
  <si>
    <t>Gv</t>
    <phoneticPr fontId="1"/>
  </si>
  <si>
    <t># A-B-C system (case 1)</t>
    <phoneticPr fontId="1"/>
  </si>
  <si>
    <t># A-B-C system (case 2)</t>
    <phoneticPr fontId="1"/>
  </si>
  <si>
    <t># [0.5*Cmax(1,3,1)^0.5 + 0.5*Cmax(2,3,2)^0.5]^2</t>
    <phoneticPr fontId="1"/>
  </si>
  <si>
    <t># [0.5*Cmin(1,3,1)^0.5 + 0.5*Cmin(2,3,2)^0.5]^2</t>
    <phoneticPr fontId="1"/>
  </si>
  <si>
    <t># A-B-C system (case 3)</t>
    <phoneticPr fontId="1"/>
  </si>
  <si>
    <t># [((Cmin(2,2,3)^0.5 + Cmin(1,1,3)^0.5 + Cmin(1,3,3)^0.5 + Cmin(1,2,2)^0.5 + Cmin(2,3,3)^0.5 + Cmin(1,2,1)^0.5)/6]^2</t>
    <phoneticPr fontId="1"/>
  </si>
  <si>
    <t># [((Cmin(1,1,2)^0.5 + Cmin(3,3,2)^0.5 + Cmin(1,3,1)^0.5 + Cmin(2,3,2)^0.5 + Cmin(1,3,3)^0.5 + Cmin(1,2,2)^0.5)/6]^2</t>
    <phoneticPr fontId="1"/>
  </si>
  <si>
    <t># [((Cmin(2,2,1)^0.5 + Cmin(3,3,1)^0.5 + Cmin(2,3,2)^0.5 + Cmin(1,3,1)^0.5 + Cmin(2,3,3)^0.5 + Cmin(1,2,1)^0.5)/6]^2</t>
    <phoneticPr fontId="1"/>
  </si>
  <si>
    <t># [((Cmax(2,2,3)^0.5 + Cmax(1,1,3)^0.5 + Cmax(1,3,3)^0.5 + Cmax(1,2,2)^0.5 + Cmax(2,3,3)^0.5 + Cmax(1,2,1)^0.5)/6]^2</t>
    <phoneticPr fontId="1"/>
  </si>
  <si>
    <t># [((Cmax(1,1,2)^0.5 + Cmax(3,3,2)^0.5 + Cmax(1,3,1)^0.5 + Cmax(2,3,2)^0.5 + Cmax(1,3,3)^0.5 + Cmax(1,2,2)^0.5)/6]^2</t>
    <phoneticPr fontId="1"/>
  </si>
  <si>
    <t># [((Cmax(2,2,1)^0.5 + Cmax(3,3,1)^0.5 + Cmax(2,3,2)^0.5 + Cmax(1,3,1)^0.5 + Cmax(2,3,3)^0.5 + Cmax(1,2,1)^0.5)/6]^2</t>
    <phoneticPr fontId="1"/>
  </si>
  <si>
    <t>FCC or BCC</t>
    <phoneticPr fontId="1"/>
  </si>
  <si>
    <t>gamma</t>
    <phoneticPr fontId="1"/>
  </si>
  <si>
    <t>gamma'</t>
    <phoneticPr fontId="1"/>
  </si>
  <si>
    <t>1NN-MEAM</t>
    <phoneticPr fontId="1"/>
  </si>
  <si>
    <t>Ometa [A^3/atom]</t>
    <phoneticPr fontId="1"/>
  </si>
  <si>
    <t>C44 [GPa]</t>
    <phoneticPr fontId="1"/>
  </si>
  <si>
    <t>C11 [GPa]</t>
    <phoneticPr fontId="1"/>
  </si>
  <si>
    <t>C12 [GPa]</t>
    <phoneticPr fontId="1"/>
  </si>
  <si>
    <t>BCC</t>
    <phoneticPr fontId="1"/>
  </si>
  <si>
    <t>FCC</t>
    <phoneticPr fontId="1"/>
  </si>
  <si>
    <t>s (l=0)</t>
    <phoneticPr fontId="1"/>
  </si>
  <si>
    <t>p (l=1)</t>
    <phoneticPr fontId="1"/>
  </si>
  <si>
    <t>d (l=2)</t>
    <phoneticPr fontId="1"/>
  </si>
  <si>
    <t>f (l=3)</t>
    <phoneticPr fontId="1"/>
  </si>
  <si>
    <t>orbital</t>
    <phoneticPr fontId="1"/>
  </si>
  <si>
    <t>t3: stacking fault energy or structural energy difference between the fcc and hcp phases.</t>
    <phoneticPr fontId="1"/>
  </si>
  <si>
    <t>t1: vacancy formaiton energy</t>
    <phoneticPr fontId="1"/>
  </si>
  <si>
    <t>t2: related with the number of d electrons</t>
    <phoneticPr fontId="1"/>
  </si>
  <si>
    <t>HCP</t>
    <phoneticPr fontId="1"/>
  </si>
  <si>
    <t>C13 [GPa]</t>
    <phoneticPr fontId="1"/>
  </si>
  <si>
    <t>C33 [GPa]</t>
    <phoneticPr fontId="1"/>
  </si>
  <si>
    <t>C66 [GPa]</t>
    <phoneticPr fontId="1"/>
  </si>
  <si>
    <t>rho_e</t>
    <phoneticPr fontId="1"/>
  </si>
  <si>
    <t>Cb</t>
    <phoneticPr fontId="1"/>
  </si>
  <si>
    <t>Cc</t>
    <phoneticPr fontId="1"/>
  </si>
  <si>
    <t>Delta</t>
    <phoneticPr fontId="1"/>
  </si>
  <si>
    <t>3: La-Lu</t>
    <phoneticPr fontId="1"/>
  </si>
  <si>
    <t>Ef1v [eV]</t>
    <phoneticPr fontId="1"/>
  </si>
  <si>
    <t>[eV/A^3]</t>
    <phoneticPr fontId="1"/>
  </si>
  <si>
    <t>Cb*</t>
    <phoneticPr fontId="1"/>
  </si>
  <si>
    <t>Cc*</t>
    <phoneticPr fontId="1"/>
  </si>
  <si>
    <t>Cb*/Cc*</t>
    <phoneticPr fontId="1"/>
  </si>
  <si>
    <t>c/a</t>
    <phoneticPr fontId="1"/>
  </si>
  <si>
    <t>Fixed: 0</t>
    <phoneticPr fontId="1"/>
  </si>
  <si>
    <t>check</t>
    <phoneticPr fontId="1"/>
  </si>
  <si>
    <t>t3 = 0.0 for ideal c/a = (8/3)^0.5</t>
    <phoneticPr fontId="1"/>
  </si>
  <si>
    <t>the approximate relations for the unrelaxed vacancy formation energy, Ef1v</t>
    <phoneticPr fontId="1"/>
  </si>
  <si>
    <t>the divacancy binding energy (for a divacancy in the basal plane), Eub2v</t>
    <phoneticPr fontId="1"/>
  </si>
  <si>
    <t>the unrelaxed stacking fault energy, Eusf</t>
    <phoneticPr fontId="1"/>
  </si>
  <si>
    <t>the unrelaxed surface energy on the basal plane, Gub</t>
    <phoneticPr fontId="1"/>
  </si>
  <si>
    <t>Euf1v [eV]</t>
    <phoneticPr fontId="1"/>
  </si>
  <si>
    <t>Eb2v [eV]</t>
    <phoneticPr fontId="1"/>
  </si>
  <si>
    <t>Gub [eV]</t>
    <phoneticPr fontId="1"/>
  </si>
  <si>
    <t>Tm [K]</t>
    <phoneticPr fontId="1"/>
  </si>
  <si>
    <t>the melting temperature, Tm</t>
    <phoneticPr fontId="1"/>
  </si>
  <si>
    <t>Hvap [eV]</t>
    <phoneticPr fontId="1"/>
  </si>
  <si>
    <t>the cohesive energy, Ec</t>
    <phoneticPr fontId="1"/>
  </si>
  <si>
    <t>the heat of vaporization, Hvap</t>
    <phoneticPr fontId="1"/>
  </si>
  <si>
    <t>Ref: M. I. Baskes et al., Modelling Simul. Mater. Sci. Eng. 2 (1994) 147-163.: https://iopscience.iop.org/article/10.1088/0965-0393/2/1/011</t>
    <phoneticPr fontId="1"/>
  </si>
  <si>
    <t>Ref: M. I. Baskes, Phys. Rev. B 46 (1992) 2727.: https://journals.aps.org/prb/abstract/10.1103/PhysRevB.46.2727</t>
    <phoneticPr fontId="1"/>
  </si>
  <si>
    <t>For gas phase</t>
    <phoneticPr fontId="1"/>
  </si>
  <si>
    <t>the diatomic force constant, K</t>
    <phoneticPr fontId="1"/>
  </si>
  <si>
    <t>K [eV/A]</t>
    <phoneticPr fontId="1"/>
  </si>
  <si>
    <t>Assumption (beta1 = beta3)</t>
    <phoneticPr fontId="1"/>
  </si>
  <si>
    <t>shear elastic constants.</t>
    <phoneticPr fontId="1"/>
  </si>
  <si>
    <t>Note: Eij = (Ei+Ej)/2 - Del</t>
    <phoneticPr fontId="1"/>
  </si>
  <si>
    <t>Del = de Boer method</t>
    <phoneticPr fontId="1"/>
  </si>
  <si>
    <t>Ec_IJ = (Ec_II + Ec_JJ)/2 - delta_IJ</t>
    <phoneticPr fontId="1"/>
  </si>
  <si>
    <t>alpha(I,J) = (alpha(I)+alpha(J))/2</t>
    <phoneticPr fontId="1"/>
  </si>
  <si>
    <t>re(I,J) is calculated from the assumed equilibrium intermetallic atomic volume Omega(I,J) = (Omega(I) +Omega(J) )/2</t>
    <phoneticPr fontId="1"/>
  </si>
  <si>
    <t>La [A]</t>
    <phoneticPr fontId="1"/>
  </si>
  <si>
    <t>DFT</t>
    <phoneticPr fontId="1"/>
  </si>
  <si>
    <t>Eusf [eVA^2]</t>
    <phoneticPr fontId="1"/>
  </si>
  <si>
    <t>Eusf [eV/A^2]</t>
    <phoneticPr fontId="1"/>
  </si>
  <si>
    <t>&lt;- including energy correct</t>
    <phoneticPr fontId="1"/>
  </si>
  <si>
    <t>Note: the parameter A: FCC-BCC energy difference</t>
    <phoneticPr fontId="1"/>
  </si>
  <si>
    <t>Note: the parameter A = about 1.0-1.2 range, BCC-HCP energy difference</t>
    <phoneticPr fontId="1"/>
  </si>
  <si>
    <t>Diamond</t>
    <phoneticPr fontId="1"/>
  </si>
  <si>
    <t>Note: Cb*/Cc* &lt; 0 -&gt; set beta2 = 2</t>
    <phoneticPr fontId="1"/>
  </si>
  <si>
    <t>Note: beta2 &lt; 0 -&gt; set beta2 = 0</t>
    <phoneticPr fontId="1"/>
  </si>
  <si>
    <t>dimer</t>
    <phoneticPr fontId="1"/>
  </si>
  <si>
    <t>Etot [eV]</t>
    <phoneticPr fontId="1"/>
  </si>
  <si>
    <t>diamond or dimer: beta1=beta2=beta3 (gas: beta3=0)</t>
    <phoneticPr fontId="1"/>
  </si>
  <si>
    <t>(t3 &gt;0 for FCC, t3 &lt; 0 for BCC and diamond cubic, t3=0 for gas)</t>
    <phoneticPr fontId="1"/>
  </si>
  <si>
    <t>R [A]</t>
    <phoneticPr fontId="1"/>
  </si>
  <si>
    <t>F2 (gas)</t>
    <phoneticPr fontId="1"/>
  </si>
  <si>
    <t>Cl2 (gas)</t>
    <phoneticPr fontId="1"/>
  </si>
  <si>
    <t>Br2 (liquid)</t>
    <phoneticPr fontId="1"/>
  </si>
  <si>
    <t>&lt;-shearmodulus1</t>
    <phoneticPr fontId="1"/>
  </si>
  <si>
    <t>&lt;-shearmodulus2</t>
    <phoneticPr fontId="1"/>
  </si>
  <si>
    <t>&lt;-bulkmodulus</t>
    <phoneticPr fontId="1"/>
  </si>
  <si>
    <t>fcc</t>
  </si>
  <si>
    <t>La [A] (=alat)</t>
    <phoneticPr fontId="1"/>
  </si>
  <si>
    <t>Ec: cohesive energy (2NN-MEAM), sublimation energy (1NN-MEAM)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</si>
</sst>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Source Sans Pro"/>
      <family val="2"/>
    </font>
    <font>
      <sz val="11"/>
      <color theme="1"/>
      <name val="Source Sans Pro"/>
      <family val="2"/>
    </font>
    <font>
      <sz val="12"/>
      <color theme="1"/>
      <name val="Source Sans Pro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4" xfId="0" applyFill="1" applyBorder="1">
      <alignment vertical="center"/>
    </xf>
    <xf numFmtId="0" fontId="0" fillId="4" borderId="15" xfId="0" applyFill="1" applyBorder="1">
      <alignment vertical="center"/>
    </xf>
    <xf numFmtId="2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2" fontId="0" fillId="4" borderId="6" xfId="0" applyNumberFormat="1" applyFill="1" applyBorder="1">
      <alignment vertical="center"/>
    </xf>
    <xf numFmtId="0" fontId="0" fillId="4" borderId="7" xfId="0" applyFill="1" applyBorder="1">
      <alignment vertical="center"/>
    </xf>
    <xf numFmtId="2" fontId="0" fillId="4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5" xfId="0" applyFill="1" applyBorder="1">
      <alignment vertical="center"/>
    </xf>
    <xf numFmtId="2" fontId="0" fillId="7" borderId="4" xfId="0" applyNumberFormat="1" applyFill="1" applyBorder="1">
      <alignment vertical="center"/>
    </xf>
    <xf numFmtId="0" fontId="0" fillId="7" borderId="5" xfId="0" applyFill="1" applyBorder="1">
      <alignment vertical="center"/>
    </xf>
    <xf numFmtId="2" fontId="0" fillId="7" borderId="6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5" xfId="0" applyFill="1" applyBorder="1">
      <alignment vertical="center"/>
    </xf>
    <xf numFmtId="2" fontId="0" fillId="3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2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2" fontId="0" fillId="3" borderId="9" xfId="0" applyNumberFormat="1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5" fillId="0" borderId="0" xfId="0" applyFont="1">
      <alignment vertical="center"/>
    </xf>
    <xf numFmtId="2" fontId="0" fillId="2" borderId="6" xfId="0" applyNumberFormat="1" applyFill="1" applyBorder="1">
      <alignment vertical="center"/>
    </xf>
    <xf numFmtId="2" fontId="0" fillId="2" borderId="9" xfId="0" applyNumberFormat="1" applyFill="1" applyBorder="1">
      <alignment vertical="center"/>
    </xf>
    <xf numFmtId="2" fontId="0" fillId="2" borderId="4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78" fontId="0" fillId="4" borderId="1" xfId="0" applyNumberFormat="1" applyFill="1" applyBorder="1">
      <alignment vertical="center"/>
    </xf>
    <xf numFmtId="0" fontId="0" fillId="4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178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8" fontId="0" fillId="3" borderId="1" xfId="0" applyNumberFormat="1" applyFill="1" applyBorder="1">
      <alignment vertical="center"/>
    </xf>
    <xf numFmtId="2" fontId="0" fillId="0" borderId="15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8" borderId="1" xfId="0" applyNumberFormat="1" applyFill="1" applyBorder="1">
      <alignment vertical="center"/>
    </xf>
    <xf numFmtId="0" fontId="0" fillId="12" borderId="6" xfId="0" applyFill="1" applyBorder="1">
      <alignment vertical="center"/>
    </xf>
    <xf numFmtId="2" fontId="0" fillId="3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H99"/>
  <sheetViews>
    <sheetView tabSelected="1" topLeftCell="B1" workbookViewId="0">
      <selection activeCell="B11" sqref="B11"/>
    </sheetView>
  </sheetViews>
  <sheetFormatPr defaultRowHeight="18.75" x14ac:dyDescent="0.4"/>
  <cols>
    <col min="1" max="1" width="12.5" customWidth="1"/>
    <col min="2" max="2" width="10.875" customWidth="1"/>
    <col min="4" max="4" width="9.75" customWidth="1"/>
    <col min="5" max="5" width="9.875" customWidth="1"/>
    <col min="6" max="6" width="9.375" bestFit="1" customWidth="1"/>
    <col min="9" max="9" width="11.75" customWidth="1"/>
    <col min="10" max="10" width="10.625" customWidth="1"/>
    <col min="11" max="11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34" x14ac:dyDescent="0.4">
      <c r="A1" s="44" t="s">
        <v>30</v>
      </c>
      <c r="B1" s="3"/>
      <c r="C1" s="3"/>
      <c r="D1" s="3"/>
      <c r="E1" s="3"/>
      <c r="F1" s="3"/>
      <c r="G1" s="3"/>
      <c r="H1" s="3"/>
      <c r="I1" s="3"/>
      <c r="J1" s="10" t="s">
        <v>29</v>
      </c>
      <c r="K1" s="3"/>
      <c r="L1" s="3"/>
      <c r="M1" s="3" t="s">
        <v>233</v>
      </c>
      <c r="N1" s="3"/>
      <c r="O1" s="3"/>
      <c r="P1" s="3"/>
      <c r="Q1" s="3"/>
      <c r="R1" s="15" t="s">
        <v>26</v>
      </c>
      <c r="S1" s="15" t="s">
        <v>26</v>
      </c>
      <c r="T1" t="s">
        <v>252</v>
      </c>
    </row>
    <row r="2" spans="1:34" x14ac:dyDescent="0.4">
      <c r="A2" s="14" t="s">
        <v>15</v>
      </c>
      <c r="B2" s="14" t="s">
        <v>229</v>
      </c>
      <c r="C2" s="14" t="s">
        <v>230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13</v>
      </c>
      <c r="O2" s="14" t="s">
        <v>12</v>
      </c>
      <c r="P2" s="14" t="s">
        <v>231</v>
      </c>
      <c r="Q2" s="14" t="s">
        <v>14</v>
      </c>
      <c r="R2" s="15" t="s">
        <v>75</v>
      </c>
      <c r="S2" s="15" t="s">
        <v>74</v>
      </c>
      <c r="T2" s="14" t="s">
        <v>31</v>
      </c>
    </row>
    <row r="3" spans="1:34" x14ac:dyDescent="0.4">
      <c r="A3" s="11" t="s">
        <v>139</v>
      </c>
      <c r="B3" s="26">
        <v>4.29</v>
      </c>
      <c r="C3" s="26">
        <f>B5/E7</f>
        <v>2.4799649029774593</v>
      </c>
      <c r="D3" s="11">
        <f>F5</f>
        <v>4.8563105129109356</v>
      </c>
      <c r="E3" s="11">
        <v>0.89</v>
      </c>
      <c r="F3" s="25">
        <v>2.94</v>
      </c>
      <c r="G3" s="25">
        <v>1</v>
      </c>
      <c r="H3" s="25">
        <v>1</v>
      </c>
      <c r="I3" s="25">
        <v>1</v>
      </c>
      <c r="J3" s="12">
        <v>1</v>
      </c>
      <c r="K3" s="25">
        <v>3.94</v>
      </c>
      <c r="L3" s="25">
        <v>4.12</v>
      </c>
      <c r="M3" s="25">
        <v>-1.5</v>
      </c>
      <c r="N3" s="25">
        <v>2</v>
      </c>
      <c r="O3" s="11">
        <v>2.8</v>
      </c>
      <c r="P3" s="30">
        <v>4</v>
      </c>
      <c r="Q3" s="11">
        <v>0.1</v>
      </c>
      <c r="R3" s="15">
        <v>0.05</v>
      </c>
      <c r="S3" s="15">
        <v>0.05</v>
      </c>
      <c r="T3" s="25">
        <v>1</v>
      </c>
    </row>
    <row r="4" spans="1:34" x14ac:dyDescent="0.4">
      <c r="A4" s="5"/>
      <c r="B4" s="14" t="s">
        <v>441</v>
      </c>
      <c r="C4" s="35" t="s">
        <v>363</v>
      </c>
      <c r="D4" s="14" t="s">
        <v>254</v>
      </c>
      <c r="F4" s="35" t="str">
        <f>C7</f>
        <v>fcc</v>
      </c>
      <c r="H4" s="33" t="s">
        <v>132</v>
      </c>
      <c r="I4" s="33" t="s">
        <v>131</v>
      </c>
      <c r="J4" s="33" t="s">
        <v>35</v>
      </c>
      <c r="K4" s="34" t="s">
        <v>32</v>
      </c>
      <c r="L4" s="33" t="s">
        <v>47</v>
      </c>
      <c r="M4" s="34" t="s">
        <v>126</v>
      </c>
      <c r="Q4" s="6"/>
    </row>
    <row r="5" spans="1:34" x14ac:dyDescent="0.4">
      <c r="B5" s="11">
        <v>3.5072000000000001</v>
      </c>
      <c r="C5" s="11">
        <f>IF(OR(C7="fcc", C7="l12"), ((C3*SQRT(2))^3/4), IF(OR(C7="bcc", C7="b2"), ((C3*2/SQRT(3))^3/2), IF(C7="hcp", (SQRT(3)/2*J7*(C3)^3/2), IF(C7="dim", "", IF(C7="dia", ((C3*E7)^3/8), IF(C7="b1", ((C3*2)^3/8), IF(C7="l12", ((C3*SQRT(2))^3/4), IF(C7="sc", ((C3)^3/1), ""))))))))</f>
        <v>10.785036173312001</v>
      </c>
      <c r="D5" s="11">
        <v>167</v>
      </c>
      <c r="E5" s="36" t="s">
        <v>34</v>
      </c>
      <c r="F5" s="35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4.8563105129109356</v>
      </c>
      <c r="G5" s="33" t="s">
        <v>228</v>
      </c>
      <c r="H5" s="33">
        <f>(9*(D5*0.006241509)*((C3*SQRT(2))^3/4)/B3)^(1/2)</f>
        <v>4.8563105129109356</v>
      </c>
      <c r="I5" s="33">
        <f>(9*(D5*0.006241509)*((C3*2/SQRT(3))^3/2)/B3)^(1/2)</f>
        <v>5.0670244665364681</v>
      </c>
      <c r="J5" s="33">
        <f>(9*(D5*0.006241509)*(SQRT(3)/2*J7*(C3)^3/2)/B3)^(1/2)</f>
        <v>4.8563105129109347</v>
      </c>
      <c r="K5" s="33">
        <f>(9*(D5*0.006241509)*((C3*4/SQRT(3))^3/8)/B3)^(1/2)</f>
        <v>7.1658547214521704</v>
      </c>
      <c r="L5" s="33">
        <f>(9*(D5*0.006241509)*((C3*2)^3/8)/B3)^(1/2)</f>
        <v>5.7751590146161975</v>
      </c>
      <c r="M5" s="33">
        <f>(9*(D5*0.006241509)*((C3)^3/1)/B3)^(1/2)</f>
        <v>5.7751590146161975</v>
      </c>
      <c r="N5" t="s">
        <v>133</v>
      </c>
      <c r="Q5" s="6"/>
      <c r="R5" t="s">
        <v>253</v>
      </c>
    </row>
    <row r="6" spans="1:34" x14ac:dyDescent="0.4">
      <c r="A6" s="35" t="s">
        <v>19</v>
      </c>
      <c r="B6" s="35" t="s">
        <v>17</v>
      </c>
      <c r="C6" s="14" t="s">
        <v>18</v>
      </c>
      <c r="D6" s="35" t="s">
        <v>16</v>
      </c>
      <c r="E6" s="35" t="s">
        <v>27</v>
      </c>
      <c r="F6" s="17" t="s">
        <v>28</v>
      </c>
      <c r="G6" s="18" t="s">
        <v>260</v>
      </c>
      <c r="J6" s="14" t="s">
        <v>36</v>
      </c>
      <c r="Q6" s="6"/>
      <c r="X6" s="2" t="s">
        <v>255</v>
      </c>
      <c r="Y6" s="3"/>
      <c r="Z6" s="3"/>
      <c r="AA6" s="3"/>
      <c r="AB6" s="4"/>
    </row>
    <row r="7" spans="1:34" x14ac:dyDescent="0.4">
      <c r="A7" s="35">
        <f>IFERROR(VLOOKUP(A3, data!A:C, 2, FALSE), "")</f>
        <v>26</v>
      </c>
      <c r="B7" s="35">
        <f>IFERROR(VLOOKUP(A3, data!A:C, 3, FALSE), "")</f>
        <v>55.844999999999999</v>
      </c>
      <c r="C7" s="13" t="s">
        <v>440</v>
      </c>
      <c r="D7" s="35">
        <f>IF(C7="fcc", 12, IF(C7="bcc", 8, IF(C7="hcp", 12, IF(C7="dim", 1, IF(C7="dia", 4, IF(C7="sc", 6, ""))))))</f>
        <v>12</v>
      </c>
      <c r="E7" s="35">
        <f>IF(C7="fcc", SQRT(2), IF(C7="bcc", 2/SQRT(3), IF(C7="hcp", 1, IF(C7="dim", 1, IF(C7="dia", 4/SQRT(3), IF(C7="sc", 1, ""))))))</f>
        <v>1.4142135623730951</v>
      </c>
      <c r="F7" s="11">
        <v>3</v>
      </c>
      <c r="G7" s="8" t="s">
        <v>232</v>
      </c>
      <c r="H7" s="8"/>
      <c r="I7" s="8"/>
      <c r="J7" s="11">
        <f>SQRT(8/3)</f>
        <v>1.6329931618554521</v>
      </c>
      <c r="K7" s="8" t="s">
        <v>127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256</v>
      </c>
      <c r="AB7" s="6"/>
    </row>
    <row r="8" spans="1:34" x14ac:dyDescent="0.4">
      <c r="A8" t="s">
        <v>143</v>
      </c>
      <c r="C8" s="1"/>
      <c r="M8" s="2"/>
      <c r="R8" s="4"/>
      <c r="X8" s="5" t="s">
        <v>257</v>
      </c>
      <c r="AB8" s="6"/>
    </row>
    <row r="9" spans="1:34" x14ac:dyDescent="0.4">
      <c r="A9" t="s">
        <v>234</v>
      </c>
      <c r="M9" s="5"/>
      <c r="P9" s="36" t="s">
        <v>264</v>
      </c>
      <c r="Q9" s="43"/>
      <c r="R9" s="6"/>
      <c r="X9" s="5" t="s">
        <v>258</v>
      </c>
      <c r="AB9" s="6"/>
    </row>
    <row r="10" spans="1:34" x14ac:dyDescent="0.4">
      <c r="B10" t="s">
        <v>442</v>
      </c>
      <c r="M10" s="5"/>
      <c r="P10" s="2" t="s">
        <v>71</v>
      </c>
      <c r="Q10" s="4" t="str">
        <f>N12</f>
        <v>Hf-Ni</v>
      </c>
      <c r="R10" s="6"/>
      <c r="X10" s="7" t="s">
        <v>259</v>
      </c>
      <c r="Y10" s="8"/>
      <c r="Z10" s="8"/>
      <c r="AA10" s="8"/>
      <c r="AB10" s="9"/>
    </row>
    <row r="11" spans="1:34" x14ac:dyDescent="0.4">
      <c r="A11" s="41" t="s">
        <v>21</v>
      </c>
      <c r="B11" s="42"/>
      <c r="C11" s="42"/>
      <c r="D11" s="42"/>
      <c r="E11" s="42"/>
      <c r="F11" s="42"/>
      <c r="G11" s="42"/>
      <c r="H11" s="43"/>
      <c r="J11" s="41" t="s">
        <v>22</v>
      </c>
      <c r="K11" s="43"/>
      <c r="M11" s="45" t="s">
        <v>104</v>
      </c>
      <c r="N11" s="43"/>
      <c r="P11" s="5" t="s">
        <v>80</v>
      </c>
      <c r="Q11" s="6">
        <v>0</v>
      </c>
      <c r="R11" s="6"/>
      <c r="S11" s="7"/>
      <c r="T11" s="8"/>
      <c r="U11" s="8"/>
      <c r="V11" s="8"/>
      <c r="W11" s="8"/>
      <c r="X11" s="8"/>
      <c r="Y11" s="8"/>
      <c r="Z11" s="8"/>
      <c r="AA11" s="8"/>
    </row>
    <row r="12" spans="1:34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</v>
      </c>
      <c r="M12" s="11" t="s">
        <v>78</v>
      </c>
      <c r="N12" s="11" t="s">
        <v>76</v>
      </c>
      <c r="P12" s="5" t="s">
        <v>81</v>
      </c>
      <c r="Q12" s="6">
        <v>1</v>
      </c>
      <c r="R12" s="6"/>
      <c r="S12" t="s">
        <v>359</v>
      </c>
      <c r="Y12" t="s">
        <v>409</v>
      </c>
      <c r="AB12" s="3"/>
      <c r="AC12" s="3"/>
      <c r="AD12" s="4"/>
      <c r="AF12" s="2" t="s">
        <v>250</v>
      </c>
      <c r="AG12" s="3" t="s">
        <v>411</v>
      </c>
      <c r="AH12" s="4" t="s">
        <v>433</v>
      </c>
    </row>
    <row r="13" spans="1:34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1" t="s">
        <v>77</v>
      </c>
      <c r="N13" s="11" t="s">
        <v>48</v>
      </c>
      <c r="P13" s="5" t="s">
        <v>85</v>
      </c>
      <c r="Q13" s="6" t="str">
        <f t="shared" ref="Q13:Q18" si="0">N13</f>
        <v>b2</v>
      </c>
      <c r="R13" s="6"/>
      <c r="S13" s="83" t="s">
        <v>365</v>
      </c>
      <c r="T13" s="11">
        <v>280</v>
      </c>
      <c r="V13" t="s">
        <v>413</v>
      </c>
      <c r="W13" s="35" t="s">
        <v>387</v>
      </c>
      <c r="Y13" t="s">
        <v>410</v>
      </c>
      <c r="AB13" t="s">
        <v>403</v>
      </c>
      <c r="AD13" s="6"/>
      <c r="AF13" s="5" t="s">
        <v>434</v>
      </c>
      <c r="AG13">
        <v>280.87</v>
      </c>
      <c r="AH13" s="6">
        <v>1.41</v>
      </c>
    </row>
    <row r="14" spans="1:34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1" t="s">
        <v>0</v>
      </c>
      <c r="N14" s="26">
        <v>6.4</v>
      </c>
      <c r="P14" s="5" t="s">
        <v>82</v>
      </c>
      <c r="Q14" s="21">
        <f t="shared" si="0"/>
        <v>6.4</v>
      </c>
      <c r="R14" s="6"/>
      <c r="S14" s="83" t="s">
        <v>366</v>
      </c>
      <c r="T14" s="11">
        <v>115.3</v>
      </c>
      <c r="V14" s="35" t="s">
        <v>360</v>
      </c>
      <c r="W14" s="80">
        <f>T15*0.006241509</f>
        <v>0.51180373800000001</v>
      </c>
      <c r="X14" t="s">
        <v>437</v>
      </c>
      <c r="Y14" s="14" t="s">
        <v>411</v>
      </c>
      <c r="Z14" s="11">
        <v>1</v>
      </c>
      <c r="AB14" s="14" t="s">
        <v>402</v>
      </c>
      <c r="AC14" s="30">
        <v>1811</v>
      </c>
      <c r="AD14" s="48"/>
      <c r="AF14" s="5" t="s">
        <v>435</v>
      </c>
      <c r="AG14">
        <v>200.98</v>
      </c>
      <c r="AH14" s="6">
        <v>1.98</v>
      </c>
    </row>
    <row r="15" spans="1:34" x14ac:dyDescent="0.4">
      <c r="A15" s="2" t="str">
        <f>A3</f>
        <v>Fe</v>
      </c>
      <c r="B15" s="3" t="str">
        <f>C7</f>
        <v>fcc</v>
      </c>
      <c r="C15" s="3">
        <f>D7</f>
        <v>12</v>
      </c>
      <c r="D15" s="3">
        <f>A7</f>
        <v>26</v>
      </c>
      <c r="E15" s="3">
        <f>B7</f>
        <v>55.844999999999999</v>
      </c>
      <c r="F15" s="3"/>
      <c r="G15" s="3"/>
      <c r="H15" s="4"/>
      <c r="J15" s="5" t="s">
        <v>38</v>
      </c>
      <c r="K15" s="6">
        <v>2</v>
      </c>
      <c r="M15" s="11" t="s">
        <v>1</v>
      </c>
      <c r="N15" s="25">
        <v>2.72</v>
      </c>
      <c r="P15" s="5" t="s">
        <v>83</v>
      </c>
      <c r="Q15" s="23">
        <f t="shared" si="0"/>
        <v>2.72</v>
      </c>
      <c r="R15" s="6"/>
      <c r="S15" s="83" t="s">
        <v>364</v>
      </c>
      <c r="T15" s="11">
        <v>82</v>
      </c>
      <c r="V15" s="35" t="s">
        <v>361</v>
      </c>
      <c r="W15" s="80">
        <f>(T13-T14)/2*0.006241509</f>
        <v>0.51398826614999993</v>
      </c>
      <c r="X15" t="s">
        <v>438</v>
      </c>
      <c r="Y15" s="35" t="s">
        <v>2</v>
      </c>
      <c r="Z15" s="80">
        <f>(Z14/B3)^0.5*C3</f>
        <v>1.1973383379693041</v>
      </c>
      <c r="AB15" s="14" t="s">
        <v>386</v>
      </c>
      <c r="AC15" s="80">
        <f>AD15</f>
        <v>1.5605990537482</v>
      </c>
      <c r="AD15" s="88">
        <f>AC14*10*0.00008617333262</f>
        <v>1.5605990537482</v>
      </c>
      <c r="AF15" s="7" t="s">
        <v>436</v>
      </c>
      <c r="AG15" s="8">
        <v>151.63999999999999</v>
      </c>
      <c r="AH15" s="9">
        <v>2.2799999999999998</v>
      </c>
    </row>
    <row r="16" spans="1:34" x14ac:dyDescent="0.4">
      <c r="A16" s="32">
        <f>D3</f>
        <v>4.8563105129109356</v>
      </c>
      <c r="B16" s="20">
        <f>F3</f>
        <v>2.94</v>
      </c>
      <c r="C16" s="20">
        <f>G3</f>
        <v>1</v>
      </c>
      <c r="D16" s="20">
        <f>H3</f>
        <v>1</v>
      </c>
      <c r="E16" s="20">
        <f>I3</f>
        <v>1</v>
      </c>
      <c r="F16" s="31">
        <f>C3*E7</f>
        <v>3.5072000000000001</v>
      </c>
      <c r="G16" s="16">
        <f>B3</f>
        <v>4.29</v>
      </c>
      <c r="H16" s="23">
        <f>E3</f>
        <v>0.89</v>
      </c>
      <c r="J16" s="5" t="s">
        <v>68</v>
      </c>
      <c r="K16" s="6">
        <v>2</v>
      </c>
      <c r="M16" s="11" t="s">
        <v>2</v>
      </c>
      <c r="N16" s="25">
        <v>5</v>
      </c>
      <c r="P16" s="5" t="s">
        <v>84</v>
      </c>
      <c r="Q16" s="23">
        <f t="shared" si="0"/>
        <v>5</v>
      </c>
      <c r="R16" s="6"/>
      <c r="V16" s="35" t="s">
        <v>33</v>
      </c>
      <c r="W16" s="80">
        <f>(T13+2*T14)/3*0.006241509</f>
        <v>1.0623048318000001</v>
      </c>
      <c r="X16" t="s">
        <v>439</v>
      </c>
      <c r="AD16" s="4"/>
    </row>
    <row r="17" spans="1:30" x14ac:dyDescent="0.4">
      <c r="A17" s="28">
        <f>J3</f>
        <v>1</v>
      </c>
      <c r="B17" s="22">
        <f>K3</f>
        <v>3.94</v>
      </c>
      <c r="C17" s="22">
        <f>L3</f>
        <v>4.12</v>
      </c>
      <c r="D17" s="22">
        <f>M3</f>
        <v>-1.5</v>
      </c>
      <c r="E17" s="22">
        <f>T3</f>
        <v>1</v>
      </c>
      <c r="F17" s="8">
        <f>F7</f>
        <v>3</v>
      </c>
      <c r="G17" s="8"/>
      <c r="H17" s="9"/>
      <c r="J17" s="5"/>
      <c r="K17" s="6"/>
      <c r="M17" s="11" t="s">
        <v>75</v>
      </c>
      <c r="N17" s="11">
        <v>2.5000000000000001E-2</v>
      </c>
      <c r="P17" s="5" t="s">
        <v>87</v>
      </c>
      <c r="Q17" s="6">
        <f t="shared" si="0"/>
        <v>2.5000000000000001E-2</v>
      </c>
      <c r="R17" s="6"/>
      <c r="S17" t="s">
        <v>362</v>
      </c>
      <c r="U17" t="s">
        <v>412</v>
      </c>
      <c r="X17" t="s">
        <v>263</v>
      </c>
      <c r="AB17" s="11" t="s">
        <v>420</v>
      </c>
      <c r="AC17" s="11" t="s">
        <v>368</v>
      </c>
      <c r="AD17" s="11" t="s">
        <v>377</v>
      </c>
    </row>
    <row r="18" spans="1:30" x14ac:dyDescent="0.4">
      <c r="A18" s="8"/>
      <c r="B18" s="8"/>
      <c r="C18" s="8"/>
      <c r="D18" s="8"/>
      <c r="E18" s="8"/>
      <c r="F18" s="8"/>
      <c r="G18" s="8"/>
      <c r="H18" s="8"/>
      <c r="I18" s="8"/>
      <c r="J18" s="5" t="s">
        <v>71</v>
      </c>
      <c r="K18" s="6" t="str">
        <f>A3</f>
        <v>Fe</v>
      </c>
      <c r="M18" s="18" t="s">
        <v>86</v>
      </c>
      <c r="N18" s="18">
        <v>2.5000000000000001E-2</v>
      </c>
      <c r="P18" s="5" t="s">
        <v>88</v>
      </c>
      <c r="Q18" s="6">
        <f t="shared" si="0"/>
        <v>2.5000000000000001E-2</v>
      </c>
      <c r="R18" s="6"/>
      <c r="S18" s="50" t="s">
        <v>4</v>
      </c>
      <c r="T18" s="39" t="s">
        <v>5</v>
      </c>
      <c r="U18" s="39" t="s">
        <v>6</v>
      </c>
      <c r="V18" s="39" t="s">
        <v>7</v>
      </c>
      <c r="X18" s="39" t="s">
        <v>9</v>
      </c>
      <c r="Y18" s="35" t="s">
        <v>10</v>
      </c>
      <c r="Z18" s="39" t="s">
        <v>11</v>
      </c>
      <c r="AB18" s="14" t="s">
        <v>419</v>
      </c>
      <c r="AC18" s="11">
        <v>3.505798</v>
      </c>
      <c r="AD18" s="92"/>
    </row>
    <row r="19" spans="1:30" x14ac:dyDescent="0.4">
      <c r="A19" t="s">
        <v>250</v>
      </c>
      <c r="J19" s="5" t="s">
        <v>69</v>
      </c>
      <c r="K19" s="6">
        <v>0</v>
      </c>
      <c r="M19" s="11" t="s">
        <v>105</v>
      </c>
      <c r="N19" s="25">
        <v>0.4</v>
      </c>
      <c r="P19" s="5" t="s">
        <v>90</v>
      </c>
      <c r="Q19" s="23">
        <f>N19</f>
        <v>0.4</v>
      </c>
      <c r="R19" s="6"/>
      <c r="S19" s="89" t="e">
        <f>((D3^2-2*D7*W15*C5/B3)/E3)^(1/2)</f>
        <v>#NUM!</v>
      </c>
      <c r="T19" s="30">
        <v>2.2000000000000002</v>
      </c>
      <c r="U19" s="30">
        <v>6</v>
      </c>
      <c r="V19" s="30">
        <v>2.2000000000000002</v>
      </c>
      <c r="W19" t="s">
        <v>368</v>
      </c>
      <c r="X19" s="25">
        <f>(24/E3)*(AC15/B3-1+(23/24)*E3)-(2/3)*Y19-Z19</f>
        <v>72.907830976378108</v>
      </c>
      <c r="Y19" s="25">
        <f>((W14-2*W15)*D7^2*C5)/(2*E3*B3*(H3-2)^2)</f>
        <v>-104.97887498775893</v>
      </c>
      <c r="Z19" s="25">
        <f>AB22/((E3*B3)/(216*3^0.5*C3^2))</f>
        <v>2.921483521355936</v>
      </c>
      <c r="AB19" s="14" t="s">
        <v>430</v>
      </c>
      <c r="AC19" s="11">
        <v>-5.7797999999999998</v>
      </c>
      <c r="AD19" s="11">
        <v>-5.7539999999999996</v>
      </c>
    </row>
    <row r="20" spans="1:30" x14ac:dyDescent="0.4">
      <c r="J20" s="5" t="s">
        <v>70</v>
      </c>
      <c r="K20" s="6">
        <v>1</v>
      </c>
      <c r="M20" s="11" t="s">
        <v>261</v>
      </c>
      <c r="N20" s="11">
        <v>0.67</v>
      </c>
      <c r="P20" s="5" t="s">
        <v>91</v>
      </c>
      <c r="Q20" s="23">
        <f t="shared" ref="Q20:Q26" si="1">N20</f>
        <v>0.67</v>
      </c>
      <c r="R20" s="6"/>
      <c r="S20" s="89">
        <f>((D3^2-D7*W14*C5/B3)/E3)^(1/2)</f>
        <v>3.0249321174593247</v>
      </c>
      <c r="T20" s="30">
        <v>1</v>
      </c>
      <c r="U20" s="30">
        <v>2</v>
      </c>
      <c r="V20" s="30">
        <v>1</v>
      </c>
      <c r="W20" t="s">
        <v>368</v>
      </c>
      <c r="X20" s="25">
        <f>(24/E3)*(AC15/B3-1+(23/24)*E3)-(2/3)*Y20-Z20</f>
        <v>-2.6769590148083133</v>
      </c>
      <c r="Y20" s="25">
        <f>((2*W15-W14)*D7^2*C5)/(E3*B3*(H3-6)^2)</f>
        <v>8.3983099990207144</v>
      </c>
      <c r="Z20" s="25">
        <f>AB22/((E3*B3)/(216*3^0.5*C3^2))</f>
        <v>2.921483521355936</v>
      </c>
      <c r="AD20" s="4"/>
    </row>
    <row r="21" spans="1:30" x14ac:dyDescent="0.4">
      <c r="A21" t="s">
        <v>53</v>
      </c>
      <c r="J21" s="5" t="s">
        <v>89</v>
      </c>
      <c r="K21" s="23">
        <f>T3</f>
        <v>1</v>
      </c>
      <c r="M21" s="11" t="s">
        <v>79</v>
      </c>
      <c r="N21" s="25">
        <v>0.6</v>
      </c>
      <c r="P21" s="5" t="s">
        <v>92</v>
      </c>
      <c r="Q21" s="23">
        <f t="shared" si="1"/>
        <v>0.6</v>
      </c>
      <c r="R21" s="6"/>
      <c r="S21" s="89">
        <f>((D3^2-9*D7*W14*C5/(8*B3))/E3)^(1/2)</f>
        <v>2.6422843173924382</v>
      </c>
      <c r="T21" s="30">
        <v>1</v>
      </c>
      <c r="U21" s="30">
        <v>1</v>
      </c>
      <c r="V21" s="30">
        <v>1</v>
      </c>
      <c r="W21" t="s">
        <v>367</v>
      </c>
      <c r="X21" s="93">
        <f>(16/E3)*(AC15/B3-1+(15/16)*E3)-(2/3)*Y21-Z21</f>
        <v>-4.2592770666907684</v>
      </c>
      <c r="Y21" s="25">
        <f>(9*W15*D7^2*C5)/(256*E3*B3)</f>
        <v>7.3500881572303456</v>
      </c>
      <c r="Z21" s="25">
        <f>AB22/((E3*B3)/(216*3^0.5*C3^2))</f>
        <v>2.921483521355936</v>
      </c>
      <c r="AB21" s="35" t="s">
        <v>422</v>
      </c>
      <c r="AD21" s="6"/>
    </row>
    <row r="22" spans="1:30" x14ac:dyDescent="0.4">
      <c r="A22" t="s">
        <v>54</v>
      </c>
      <c r="J22" s="5" t="s">
        <v>123</v>
      </c>
      <c r="K22" s="21">
        <f>B3</f>
        <v>4.29</v>
      </c>
      <c r="M22" s="11" t="s">
        <v>106</v>
      </c>
      <c r="N22" s="25">
        <v>0.4</v>
      </c>
      <c r="P22" s="5" t="s">
        <v>96</v>
      </c>
      <c r="Q22" s="23">
        <f t="shared" si="1"/>
        <v>0.4</v>
      </c>
      <c r="R22" s="6"/>
      <c r="S22" s="93" t="e">
        <f>(S19-S20)*(U22-2)/(6-2)+S20</f>
        <v>#NUM!</v>
      </c>
      <c r="T22" s="30">
        <v>5.5</v>
      </c>
      <c r="U22" s="30">
        <v>5.5</v>
      </c>
      <c r="V22" s="30">
        <v>5.5</v>
      </c>
      <c r="W22" s="5" t="s">
        <v>426</v>
      </c>
      <c r="X22" s="93">
        <f>(8/E3)*(AC15/B3-1+(7/8)*E3)-(2/3)*Y21-Z21</f>
        <v>-6.5404096797667997</v>
      </c>
      <c r="Y22" s="93">
        <f>(Y19-Y20)*(U22-2)/(6-2)+Y20</f>
        <v>-90.806726864411473</v>
      </c>
      <c r="Z22" s="93">
        <f>AB22/((E3*B3)/(216*3^0.5*C3^2))</f>
        <v>2.921483521355936</v>
      </c>
      <c r="AB22" s="11">
        <f>(AD19-AC19)/(3^0.5/2*(AC18*(2^0.5/2))^2)</f>
        <v>4.8478066719197348E-3</v>
      </c>
      <c r="AC22" t="s">
        <v>423</v>
      </c>
      <c r="AD22" s="6"/>
    </row>
    <row r="23" spans="1:30" x14ac:dyDescent="0.4">
      <c r="A23" t="s">
        <v>55</v>
      </c>
      <c r="J23" s="5" t="s">
        <v>124</v>
      </c>
      <c r="K23" s="21">
        <f>C3</f>
        <v>2.4799649029774593</v>
      </c>
      <c r="M23" s="11" t="s">
        <v>108</v>
      </c>
      <c r="N23" s="25">
        <v>2.8</v>
      </c>
      <c r="P23" s="5" t="s">
        <v>93</v>
      </c>
      <c r="Q23" s="23">
        <f t="shared" si="1"/>
        <v>2.8</v>
      </c>
      <c r="R23" s="6"/>
      <c r="S23" s="93" t="e">
        <f>(S19-S20)*(U23-2)/(6-2)+S20</f>
        <v>#NUM!</v>
      </c>
      <c r="T23" s="11">
        <v>6.5</v>
      </c>
      <c r="U23" s="11">
        <v>6.5</v>
      </c>
      <c r="V23" s="30">
        <v>0</v>
      </c>
      <c r="W23" s="5" t="s">
        <v>429</v>
      </c>
      <c r="X23" s="93">
        <v>0.1</v>
      </c>
      <c r="Y23" s="93">
        <v>0.1</v>
      </c>
      <c r="Z23" s="25">
        <v>0</v>
      </c>
    </row>
    <row r="24" spans="1:30" x14ac:dyDescent="0.4">
      <c r="A24" t="s">
        <v>56</v>
      </c>
      <c r="J24" s="5" t="s">
        <v>125</v>
      </c>
      <c r="K24" s="29">
        <f>D3</f>
        <v>4.8563105129109356</v>
      </c>
      <c r="M24" s="11" t="s">
        <v>262</v>
      </c>
      <c r="N24" s="25">
        <v>1.7</v>
      </c>
      <c r="P24" s="5" t="s">
        <v>94</v>
      </c>
      <c r="Q24" s="23">
        <f t="shared" si="1"/>
        <v>1.7</v>
      </c>
      <c r="R24" s="6"/>
      <c r="S24" s="43" t="s">
        <v>369</v>
      </c>
      <c r="T24" s="11" t="s">
        <v>370</v>
      </c>
      <c r="U24" s="11" t="s">
        <v>371</v>
      </c>
      <c r="V24" s="11" t="s">
        <v>372</v>
      </c>
      <c r="W24" s="5" t="s">
        <v>373</v>
      </c>
      <c r="X24" t="s">
        <v>375</v>
      </c>
    </row>
    <row r="25" spans="1:30" x14ac:dyDescent="0.4">
      <c r="A25" t="s">
        <v>57</v>
      </c>
      <c r="J25" s="5" t="s">
        <v>73</v>
      </c>
      <c r="K25" s="23">
        <f>S3</f>
        <v>0.05</v>
      </c>
      <c r="M25" s="11" t="s">
        <v>107</v>
      </c>
      <c r="N25" s="25">
        <v>1.9</v>
      </c>
      <c r="P25" s="5" t="s">
        <v>95</v>
      </c>
      <c r="Q25" s="23">
        <f t="shared" si="1"/>
        <v>1.9</v>
      </c>
      <c r="R25" s="6"/>
      <c r="X25" t="s">
        <v>376</v>
      </c>
    </row>
    <row r="26" spans="1:30" x14ac:dyDescent="0.4">
      <c r="A26" t="s">
        <v>58</v>
      </c>
      <c r="J26" s="5" t="s">
        <v>72</v>
      </c>
      <c r="K26" s="23">
        <f>R3</f>
        <v>0.05</v>
      </c>
      <c r="M26" s="11" t="s">
        <v>109</v>
      </c>
      <c r="N26" s="25">
        <v>1.8</v>
      </c>
      <c r="P26" s="7" t="s">
        <v>97</v>
      </c>
      <c r="Q26" s="24">
        <f t="shared" si="1"/>
        <v>1.8</v>
      </c>
      <c r="R26" s="18"/>
      <c r="S26" t="s">
        <v>424</v>
      </c>
      <c r="X26" t="s">
        <v>374</v>
      </c>
      <c r="AD26" s="6"/>
    </row>
    <row r="27" spans="1:30" x14ac:dyDescent="0.4">
      <c r="A27" t="s">
        <v>59</v>
      </c>
      <c r="J27" s="5" t="s">
        <v>25</v>
      </c>
      <c r="K27" s="23">
        <f>N3</f>
        <v>2</v>
      </c>
      <c r="M27" s="5" t="s">
        <v>266</v>
      </c>
      <c r="P27" s="5" t="s">
        <v>265</v>
      </c>
      <c r="Q27" s="20"/>
      <c r="R27" s="6"/>
      <c r="S27" t="s">
        <v>414</v>
      </c>
      <c r="X27" t="s">
        <v>432</v>
      </c>
      <c r="AD27" s="6"/>
    </row>
    <row r="28" spans="1:30" x14ac:dyDescent="0.4">
      <c r="J28" s="7" t="s">
        <v>24</v>
      </c>
      <c r="K28" s="24">
        <f>O3</f>
        <v>2.8</v>
      </c>
      <c r="M28" s="5"/>
      <c r="Q28" s="20"/>
      <c r="R28" s="6"/>
      <c r="S28" s="5" t="s">
        <v>415</v>
      </c>
      <c r="V28" t="s">
        <v>431</v>
      </c>
      <c r="AD28" s="6"/>
    </row>
    <row r="29" spans="1:30" x14ac:dyDescent="0.4">
      <c r="A29" t="s">
        <v>67</v>
      </c>
      <c r="J29" s="5"/>
      <c r="M29" s="5"/>
      <c r="Q29" s="20"/>
      <c r="R29" s="6"/>
      <c r="S29" s="8" t="s">
        <v>408</v>
      </c>
      <c r="T29" s="8"/>
      <c r="U29" s="8"/>
      <c r="V29" s="8"/>
      <c r="W29" s="8"/>
      <c r="X29" s="8"/>
      <c r="Y29" s="8"/>
      <c r="Z29" s="8"/>
      <c r="AA29" s="8"/>
      <c r="AD29" s="6"/>
    </row>
    <row r="30" spans="1:30" x14ac:dyDescent="0.4">
      <c r="J30" s="5"/>
      <c r="M30" s="5"/>
      <c r="Q30" s="20"/>
      <c r="R30" s="6"/>
      <c r="S30" t="s">
        <v>377</v>
      </c>
      <c r="T30" s="48"/>
      <c r="U30" s="82" t="s">
        <v>387</v>
      </c>
      <c r="X30" s="82" t="s">
        <v>387</v>
      </c>
      <c r="AB30" s="3"/>
      <c r="AC30" s="3"/>
      <c r="AD30" s="4"/>
    </row>
    <row r="31" spans="1:30" x14ac:dyDescent="0.4">
      <c r="A31" t="s">
        <v>66</v>
      </c>
      <c r="J31" s="5"/>
      <c r="M31" s="5"/>
      <c r="R31" s="6"/>
      <c r="S31" s="84" t="s">
        <v>365</v>
      </c>
      <c r="T31" s="30">
        <v>60</v>
      </c>
      <c r="U31" s="81">
        <f>T31*0.006241509</f>
        <v>0.37449053999999998</v>
      </c>
      <c r="W31" s="35" t="s">
        <v>33</v>
      </c>
      <c r="X31" s="80">
        <f>(1/9)*(2*U31+U34+2*U32+4*U33)</f>
        <v>0.21914631600000001</v>
      </c>
      <c r="Z31" s="11" t="s">
        <v>393</v>
      </c>
      <c r="AD31" s="6"/>
    </row>
    <row r="32" spans="1:30" x14ac:dyDescent="0.4">
      <c r="A32" t="s">
        <v>60</v>
      </c>
      <c r="J32" s="5"/>
      <c r="M32" s="5"/>
      <c r="R32" s="6"/>
      <c r="S32" s="84" t="s">
        <v>366</v>
      </c>
      <c r="T32" s="30">
        <v>16</v>
      </c>
      <c r="U32" s="81">
        <f t="shared" ref="U32:U36" si="2">T32*0.006241509</f>
        <v>9.9864144000000002E-2</v>
      </c>
      <c r="W32" s="35" t="s">
        <v>161</v>
      </c>
      <c r="X32" s="80">
        <f>(1/2)*(U31-U32)</f>
        <v>0.137313198</v>
      </c>
      <c r="Y32" s="86">
        <f>U36</f>
        <v>0.137313198</v>
      </c>
      <c r="Z32" s="81">
        <f>(5/8)*X31+(E3*B3)/(2*Y47^2*C5)*(-20*S43^2+(1/6)*X43*(T43+1)^2+(25/9)*Y43*(U43-14/5)^2+(1/9)*Z43*((11/8)*V43^2+(125/12)*V43+115/8))</f>
        <v>0.18483124030851428</v>
      </c>
      <c r="AD32" s="6"/>
    </row>
    <row r="33" spans="1:30" x14ac:dyDescent="0.4">
      <c r="A33" t="s">
        <v>61</v>
      </c>
      <c r="J33" s="5"/>
      <c r="M33" s="7"/>
      <c r="N33" s="8"/>
      <c r="O33" s="8"/>
      <c r="P33" s="8"/>
      <c r="Q33" s="8"/>
      <c r="R33" s="9"/>
      <c r="S33" s="84" t="s">
        <v>378</v>
      </c>
      <c r="T33" s="30">
        <v>25</v>
      </c>
      <c r="U33" s="81">
        <f t="shared" si="2"/>
        <v>0.15603772500000002</v>
      </c>
      <c r="W33" s="35" t="s">
        <v>382</v>
      </c>
      <c r="X33" s="80">
        <f>U35</f>
        <v>9.9864144000000002E-2</v>
      </c>
      <c r="Z33" s="81">
        <f>(1/2)*X31+(E3*B3)/(2*Y47^2*C5)*(-16*S43^2+(16/9)*Y43*(U43-4)^2+(1/9)*Z43*(44*V43^2+(193/12)*V43+17/2))</f>
        <v>0.13947587190509483</v>
      </c>
      <c r="AD33" s="6"/>
    </row>
    <row r="34" spans="1:30" x14ac:dyDescent="0.4">
      <c r="A34" t="s">
        <v>62</v>
      </c>
      <c r="J34" s="5"/>
      <c r="R34" s="4"/>
      <c r="S34" s="84" t="s">
        <v>379</v>
      </c>
      <c r="T34" s="30">
        <v>64</v>
      </c>
      <c r="U34" s="81">
        <f t="shared" si="2"/>
        <v>0.39945657600000001</v>
      </c>
      <c r="W34" s="35" t="s">
        <v>383</v>
      </c>
      <c r="X34" s="80">
        <f>(1/6)*(U31+2*U34+U32-4*U33)</f>
        <v>0.10818615599999999</v>
      </c>
      <c r="Z34" s="81">
        <f>(3/4)*X31+(E3*B3)/(2*Y47^2*C5)*(-24*S43^2+4*Y43*(U43-2)^2+(1/9)*(Z43*(23/2)*V43+33))</f>
        <v>0.20905776228931974</v>
      </c>
      <c r="AD34" s="6"/>
    </row>
    <row r="35" spans="1:30" x14ac:dyDescent="0.4">
      <c r="A35" t="s">
        <v>63</v>
      </c>
      <c r="J35" s="5"/>
      <c r="R35" s="6"/>
      <c r="S35" s="84" t="s">
        <v>364</v>
      </c>
      <c r="T35" s="30">
        <v>16</v>
      </c>
      <c r="U35" s="81">
        <f t="shared" si="2"/>
        <v>9.9864144000000002E-2</v>
      </c>
      <c r="W35" s="35" t="s">
        <v>384</v>
      </c>
      <c r="X35" s="80">
        <f>(1/3)*(U31-U34+U32-U33)</f>
        <v>-2.7046539000000012E-2</v>
      </c>
      <c r="Z35" s="81">
        <f>(E3*B3)/(2*Y47^2*C5)*(-(2/9)*Z43*(V43^2+6*V43+3))</f>
        <v>4.8860562114196385E-3</v>
      </c>
      <c r="AA35" s="35">
        <f>(1/2)*(U31-3*X32-3*X31-X34)</f>
        <v>-0.40153707900000007</v>
      </c>
      <c r="AD35" s="6"/>
    </row>
    <row r="36" spans="1:30" x14ac:dyDescent="0.4">
      <c r="A36" t="s">
        <v>64</v>
      </c>
      <c r="J36" s="5"/>
      <c r="R36" s="6"/>
      <c r="S36" s="84" t="s">
        <v>380</v>
      </c>
      <c r="T36" s="30">
        <v>22</v>
      </c>
      <c r="U36" s="81">
        <f t="shared" si="2"/>
        <v>0.137313198</v>
      </c>
      <c r="AD36" s="6"/>
    </row>
    <row r="37" spans="1:30" x14ac:dyDescent="0.4">
      <c r="A37" t="s">
        <v>65</v>
      </c>
      <c r="J37" s="5"/>
      <c r="R37" s="6"/>
      <c r="Y37" s="11" t="s">
        <v>393</v>
      </c>
      <c r="AB37" s="11" t="s">
        <v>420</v>
      </c>
      <c r="AC37" s="11" t="s">
        <v>377</v>
      </c>
      <c r="AD37" s="11" t="s">
        <v>368</v>
      </c>
    </row>
    <row r="38" spans="1:30" x14ac:dyDescent="0.4">
      <c r="J38" s="5"/>
      <c r="R38" s="6"/>
      <c r="S38" s="14" t="s">
        <v>402</v>
      </c>
      <c r="T38" s="30">
        <v>1345</v>
      </c>
      <c r="U38" t="s">
        <v>403</v>
      </c>
      <c r="X38" s="14" t="s">
        <v>404</v>
      </c>
      <c r="Y38" s="80">
        <f>0.0103636*285</f>
        <v>2.9536260000000003</v>
      </c>
      <c r="Z38" t="s">
        <v>406</v>
      </c>
      <c r="AB38" s="14" t="s">
        <v>419</v>
      </c>
      <c r="AC38" s="11">
        <v>3.6819999999999999</v>
      </c>
      <c r="AD38" s="92"/>
    </row>
    <row r="39" spans="1:30" x14ac:dyDescent="0.4">
      <c r="A39" t="s">
        <v>110</v>
      </c>
      <c r="J39" s="5"/>
      <c r="R39" s="6"/>
      <c r="S39" s="83" t="s">
        <v>386</v>
      </c>
      <c r="T39" s="80">
        <f>V39</f>
        <v>1.159031323739</v>
      </c>
      <c r="U39" s="81">
        <f>B3*(1-(23/24)*E3+(1/24)*E3*(X43+(2/3)*Y43+Z43))</f>
        <v>1.159031323739</v>
      </c>
      <c r="V39" s="88">
        <f>T38*10*0.00008617333262</f>
        <v>1.159031323739</v>
      </c>
      <c r="X39" s="35" t="s">
        <v>229</v>
      </c>
      <c r="Y39" s="80">
        <f>Y38*1.16</f>
        <v>3.42620616</v>
      </c>
      <c r="Z39" t="s">
        <v>405</v>
      </c>
      <c r="AB39" s="14" t="s">
        <v>430</v>
      </c>
      <c r="AC39" s="11">
        <v>-4.6965000000000003</v>
      </c>
      <c r="AD39" s="11">
        <v>-4.7081</v>
      </c>
    </row>
    <row r="40" spans="1:30" x14ac:dyDescent="0.4">
      <c r="A40" t="s">
        <v>111</v>
      </c>
      <c r="J40" s="5"/>
      <c r="R40" s="6"/>
      <c r="AD40" s="4"/>
    </row>
    <row r="41" spans="1:30" x14ac:dyDescent="0.4">
      <c r="A41" t="s">
        <v>112</v>
      </c>
      <c r="J41" s="5"/>
      <c r="R41" s="6"/>
      <c r="S41" t="s">
        <v>362</v>
      </c>
      <c r="T41" t="s">
        <v>392</v>
      </c>
      <c r="V41" t="s">
        <v>385</v>
      </c>
      <c r="AD41" s="6"/>
    </row>
    <row r="42" spans="1:30" x14ac:dyDescent="0.4">
      <c r="A42" t="s">
        <v>113</v>
      </c>
      <c r="J42" s="5"/>
      <c r="R42" s="6"/>
      <c r="S42" s="85" t="s">
        <v>4</v>
      </c>
      <c r="T42" s="33" t="s">
        <v>5</v>
      </c>
      <c r="U42" s="50" t="s">
        <v>6</v>
      </c>
      <c r="V42" s="39" t="s">
        <v>7</v>
      </c>
      <c r="X42" s="35" t="s">
        <v>9</v>
      </c>
      <c r="Y42" s="35" t="s">
        <v>10</v>
      </c>
      <c r="Z42" s="35" t="s">
        <v>11</v>
      </c>
      <c r="AB42" s="35" t="s">
        <v>422</v>
      </c>
    </row>
    <row r="43" spans="1:30" x14ac:dyDescent="0.4">
      <c r="A43" t="s">
        <v>114</v>
      </c>
      <c r="J43" s="5"/>
      <c r="R43" s="6"/>
      <c r="S43" s="90">
        <f>((D3^2-2*D7*X32*C5/B3)/E3)^(1/2)</f>
        <v>4.1460473916383345</v>
      </c>
      <c r="T43" s="91">
        <v>0</v>
      </c>
      <c r="U43" s="89">
        <f>(8-6*U47^0.5)/(2-3*U47^0.5)</f>
        <v>-4.9752339872010296</v>
      </c>
      <c r="V43" s="25">
        <v>3</v>
      </c>
      <c r="W43" t="s">
        <v>377</v>
      </c>
      <c r="X43" s="25">
        <f>(24/E3)*(T39/B3-1+(23/24)*E3)-(2/3)*Y43-Z43</f>
        <v>2.3817435650564676</v>
      </c>
      <c r="Y43" s="25">
        <f>((3/8)*(2*Y47^2*C5/(E3*B3))*(2*X34-3*X33)+Z43*((4/3)*V43^2+(101/36)*V43-9/2))/(U43^2+4*U43-20)</f>
        <v>2.2993089805532199</v>
      </c>
      <c r="Z43" s="25">
        <f>AB43/((-E3*B3)/(216*3^0.5*C3^2))</f>
        <v>-0.59541248660492241</v>
      </c>
      <c r="AB43" s="11">
        <f>(AC39-AD39)/(3^0.5/2*AC38^2)</f>
        <v>9.8800647137245847E-4</v>
      </c>
      <c r="AC43" t="s">
        <v>423</v>
      </c>
      <c r="AD43" s="6"/>
    </row>
    <row r="44" spans="1:30" x14ac:dyDescent="0.4">
      <c r="J44" s="5"/>
      <c r="R44" s="6"/>
      <c r="S44" s="42" t="s">
        <v>369</v>
      </c>
      <c r="T44" s="33" t="s">
        <v>370</v>
      </c>
      <c r="U44" s="43" t="s">
        <v>371</v>
      </c>
      <c r="V44" s="11" t="s">
        <v>372</v>
      </c>
      <c r="W44" s="5" t="s">
        <v>373</v>
      </c>
      <c r="Z44" s="11" t="s">
        <v>391</v>
      </c>
      <c r="AD44" s="6"/>
    </row>
    <row r="45" spans="1:30" x14ac:dyDescent="0.4">
      <c r="A45" t="s">
        <v>115</v>
      </c>
      <c r="J45" s="5"/>
      <c r="R45" s="6"/>
      <c r="U45" t="s">
        <v>428</v>
      </c>
      <c r="Z45" t="s">
        <v>394</v>
      </c>
      <c r="AD45" s="6"/>
    </row>
    <row r="46" spans="1:30" x14ac:dyDescent="0.4">
      <c r="A46" t="s">
        <v>116</v>
      </c>
      <c r="J46" s="5"/>
      <c r="R46" s="6"/>
      <c r="U46" s="35" t="s">
        <v>390</v>
      </c>
      <c r="V46" s="35" t="s">
        <v>388</v>
      </c>
      <c r="W46" s="35" t="s">
        <v>389</v>
      </c>
      <c r="Y46" s="35" t="s">
        <v>381</v>
      </c>
      <c r="AA46" s="35" t="s">
        <v>230</v>
      </c>
      <c r="AD46" s="6"/>
    </row>
    <row r="47" spans="1:30" x14ac:dyDescent="0.4">
      <c r="A47" t="s">
        <v>117</v>
      </c>
      <c r="J47" s="5"/>
      <c r="R47" s="6"/>
      <c r="U47" s="80">
        <f>V47/W47</f>
        <v>0.73585370267817918</v>
      </c>
      <c r="V47" s="80">
        <f>(2*Y47^2*C5)/(E3*B3)*(X33-(1/2)*X31)+16*S43^2-(1/9)*Z43*(4*V43^2+(193/12)*V43+17/2)</f>
        <v>273.28382784251556</v>
      </c>
      <c r="W47" s="80">
        <f>(2*Y47^2*C5)/(E3*B3)*(X34-(3/4)*X31)+24*S43^2-(1/9)*Z43*((23/2)*V43+33)</f>
        <v>371.38336988437288</v>
      </c>
      <c r="Y47" s="80">
        <f>12*EXP(Z43/864)</f>
        <v>11.991733230916871</v>
      </c>
      <c r="AA47" s="26">
        <f>(2^0.5*C5)^(1/3)</f>
        <v>2.4799649029774598</v>
      </c>
      <c r="AD47" s="6"/>
    </row>
    <row r="48" spans="1:30" x14ac:dyDescent="0.4">
      <c r="A48" t="s">
        <v>118</v>
      </c>
      <c r="J48" s="5"/>
      <c r="R48" s="6"/>
      <c r="T48" s="11" t="s">
        <v>393</v>
      </c>
      <c r="U48" t="s">
        <v>427</v>
      </c>
      <c r="AD48" s="6"/>
    </row>
    <row r="49" spans="1:30" x14ac:dyDescent="0.4">
      <c r="A49" t="s">
        <v>119</v>
      </c>
      <c r="J49" s="5"/>
      <c r="R49" s="6"/>
      <c r="S49" s="36" t="s">
        <v>399</v>
      </c>
      <c r="T49" s="26">
        <f>B3*(1-(23/24)*E3+(1/24)*E3*(X43+(2/3)*Y43+Z43))</f>
        <v>1.159031323739</v>
      </c>
      <c r="U49" t="s">
        <v>395</v>
      </c>
      <c r="AD49" s="6"/>
    </row>
    <row r="50" spans="1:30" x14ac:dyDescent="0.4">
      <c r="A50" t="s">
        <v>120</v>
      </c>
      <c r="J50" s="5"/>
      <c r="R50" s="6"/>
      <c r="S50" s="35" t="s">
        <v>400</v>
      </c>
      <c r="T50" s="87">
        <f>(1/6)*B3*(1-1.139*E3-0.0378*E3*(X43-(17/15)*Y43-(7/10)*Z43))</f>
        <v>-1.4436629879631109E-2</v>
      </c>
      <c r="U50" t="s">
        <v>396</v>
      </c>
      <c r="AD50" s="6"/>
    </row>
    <row r="51" spans="1:30" x14ac:dyDescent="0.4">
      <c r="J51" s="5"/>
      <c r="R51" s="6"/>
      <c r="S51" s="35" t="s">
        <v>421</v>
      </c>
      <c r="T51" s="26">
        <f>(-E3*B3)/(216*3^0.5*C3^2)*Z43</f>
        <v>9.8800647137245847E-4</v>
      </c>
      <c r="U51" t="s">
        <v>397</v>
      </c>
      <c r="AD51" s="6"/>
    </row>
    <row r="52" spans="1:30" x14ac:dyDescent="0.4">
      <c r="A52" t="s">
        <v>121</v>
      </c>
      <c r="J52" s="5"/>
      <c r="S52" s="35" t="s">
        <v>401</v>
      </c>
      <c r="T52" s="26">
        <f>(B3/(2*3^0.5*C3^2))*(1+3*LN(3/4)*E3+(1/9)*(1+LN(3/4))*E3*(X43+(1/4)*Y43+(1/2)*Z43))</f>
        <v>8.4406582907138678E-2</v>
      </c>
      <c r="U52" t="s">
        <v>398</v>
      </c>
      <c r="AD52" s="6"/>
    </row>
    <row r="53" spans="1:30" x14ac:dyDescent="0.4">
      <c r="A53" t="s">
        <v>122</v>
      </c>
      <c r="J53" s="5"/>
      <c r="U53" t="s">
        <v>425</v>
      </c>
      <c r="AD53" s="6"/>
    </row>
    <row r="54" spans="1:30" x14ac:dyDescent="0.4">
      <c r="A54" t="s">
        <v>129</v>
      </c>
      <c r="J54" s="5"/>
      <c r="S54" s="7" t="s">
        <v>407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9"/>
    </row>
    <row r="55" spans="1:30" x14ac:dyDescent="0.4">
      <c r="A55" t="s">
        <v>130</v>
      </c>
      <c r="J55" s="5"/>
      <c r="S55" s="5" t="s">
        <v>263</v>
      </c>
      <c r="AB55" s="6"/>
    </row>
    <row r="56" spans="1:30" s="8" customFormat="1" x14ac:dyDescent="0.4">
      <c r="A56" s="8" t="s">
        <v>128</v>
      </c>
      <c r="I56" s="9"/>
      <c r="J56" s="7"/>
      <c r="R56" s="9"/>
      <c r="S56" s="67" t="s">
        <v>416</v>
      </c>
      <c r="T56"/>
      <c r="U56"/>
      <c r="V56"/>
      <c r="W56"/>
      <c r="X56"/>
      <c r="Y56"/>
      <c r="Z56"/>
      <c r="AA56"/>
      <c r="AB56" s="6"/>
      <c r="AC56"/>
      <c r="AD56"/>
    </row>
    <row r="57" spans="1:30" x14ac:dyDescent="0.4">
      <c r="A57" t="s">
        <v>251</v>
      </c>
      <c r="S57" s="67" t="s">
        <v>417</v>
      </c>
      <c r="AB57" s="6"/>
    </row>
    <row r="58" spans="1:30" x14ac:dyDescent="0.4">
      <c r="A58" t="s">
        <v>270</v>
      </c>
      <c r="S58" s="67" t="s">
        <v>418</v>
      </c>
      <c r="AB58" s="6"/>
    </row>
    <row r="59" spans="1:30" x14ac:dyDescent="0.4">
      <c r="A59" s="11" t="s">
        <v>235</v>
      </c>
      <c r="B59" s="14" t="s">
        <v>267</v>
      </c>
      <c r="C59" s="14" t="s">
        <v>268</v>
      </c>
      <c r="D59" s="14" t="s">
        <v>269</v>
      </c>
      <c r="F59" s="71" t="s">
        <v>326</v>
      </c>
      <c r="S59" s="8" t="s">
        <v>408</v>
      </c>
      <c r="T59" s="8"/>
      <c r="U59" s="8"/>
      <c r="V59" s="8"/>
      <c r="W59" s="8"/>
      <c r="X59" s="8"/>
      <c r="Y59" s="8"/>
      <c r="Z59" s="8"/>
      <c r="AA59" s="8"/>
      <c r="AB59" s="9"/>
      <c r="AC59" s="8"/>
      <c r="AD59" s="8"/>
    </row>
    <row r="60" spans="1:30" x14ac:dyDescent="0.4">
      <c r="A60" s="11" t="s">
        <v>13</v>
      </c>
      <c r="B60" s="15">
        <v>0.49</v>
      </c>
      <c r="C60" s="12">
        <v>0.49</v>
      </c>
      <c r="D60" s="39">
        <v>0.49</v>
      </c>
      <c r="F60" t="s">
        <v>327</v>
      </c>
    </row>
    <row r="61" spans="1:30" x14ac:dyDescent="0.4">
      <c r="A61" s="11" t="s">
        <v>12</v>
      </c>
      <c r="B61" s="38">
        <v>2.8</v>
      </c>
      <c r="C61" s="46">
        <v>2.8</v>
      </c>
      <c r="D61" s="40">
        <v>2.8</v>
      </c>
    </row>
    <row r="63" spans="1:30" x14ac:dyDescent="0.4">
      <c r="B63" s="56" t="s">
        <v>272</v>
      </c>
      <c r="C63" s="57"/>
      <c r="J63" s="63" t="s">
        <v>273</v>
      </c>
      <c r="K63" s="64"/>
    </row>
    <row r="64" spans="1:30" x14ac:dyDescent="0.4">
      <c r="A64" s="47" t="s">
        <v>295</v>
      </c>
      <c r="B64" s="58" t="s">
        <v>296</v>
      </c>
      <c r="C64" s="59"/>
      <c r="D64" t="s">
        <v>263</v>
      </c>
      <c r="I64" s="47" t="s">
        <v>295</v>
      </c>
      <c r="J64" s="41" t="s">
        <v>296</v>
      </c>
      <c r="K64" s="65"/>
      <c r="L64" t="s">
        <v>263</v>
      </c>
    </row>
    <row r="65" spans="1:12" x14ac:dyDescent="0.4">
      <c r="A65" s="47" t="s">
        <v>297</v>
      </c>
      <c r="B65" s="56" t="s">
        <v>90</v>
      </c>
      <c r="C65" s="60">
        <f>B60</f>
        <v>0.49</v>
      </c>
      <c r="D65" t="s">
        <v>274</v>
      </c>
      <c r="I65" s="47" t="s">
        <v>305</v>
      </c>
      <c r="J65" s="63" t="s">
        <v>238</v>
      </c>
      <c r="K65" s="66">
        <f>B60</f>
        <v>0.49</v>
      </c>
      <c r="L65" t="s">
        <v>274</v>
      </c>
    </row>
    <row r="66" spans="1:12" x14ac:dyDescent="0.4">
      <c r="A66" s="18" t="s">
        <v>298</v>
      </c>
      <c r="B66" s="61" t="s">
        <v>91</v>
      </c>
      <c r="C66" s="62">
        <f>C60</f>
        <v>0.49</v>
      </c>
      <c r="D66" t="s">
        <v>275</v>
      </c>
      <c r="I66" s="18" t="s">
        <v>306</v>
      </c>
      <c r="J66" s="67" t="s">
        <v>239</v>
      </c>
      <c r="K66" s="68">
        <f>D60</f>
        <v>0.49</v>
      </c>
      <c r="L66" t="s">
        <v>282</v>
      </c>
    </row>
    <row r="67" spans="1:12" x14ac:dyDescent="0.4">
      <c r="A67" s="18" t="s">
        <v>299</v>
      </c>
      <c r="B67" s="61" t="s">
        <v>92</v>
      </c>
      <c r="C67" s="62">
        <f>(0.5*B60^0.5+0.5*C66^0.5)^2</f>
        <v>0.48999999999999994</v>
      </c>
      <c r="D67" t="s">
        <v>276</v>
      </c>
      <c r="I67" s="18" t="s">
        <v>307</v>
      </c>
      <c r="J67" s="67" t="s">
        <v>236</v>
      </c>
      <c r="K67" s="68">
        <f>(0.5*B60^0.5+0.5*K66^0.5)^2</f>
        <v>0.48999999999999994</v>
      </c>
      <c r="L67" t="s">
        <v>283</v>
      </c>
    </row>
    <row r="68" spans="1:12" x14ac:dyDescent="0.4">
      <c r="A68" s="48" t="s">
        <v>300</v>
      </c>
      <c r="B68" s="19" t="s">
        <v>96</v>
      </c>
      <c r="C68" s="27">
        <f>(0.5*C65^0.5+0.5*C60^0.5)^2</f>
        <v>0.48999999999999994</v>
      </c>
      <c r="D68" t="s">
        <v>277</v>
      </c>
      <c r="I68" s="48" t="s">
        <v>308</v>
      </c>
      <c r="J68" s="69" t="s">
        <v>237</v>
      </c>
      <c r="K68" s="70">
        <f>(0.5*K65^0.5+0.5*D60^0.5)^2</f>
        <v>0.48999999999999994</v>
      </c>
      <c r="L68" t="s">
        <v>284</v>
      </c>
    </row>
    <row r="69" spans="1:12" x14ac:dyDescent="0.4">
      <c r="A69" s="18" t="s">
        <v>301</v>
      </c>
      <c r="B69" s="61" t="s">
        <v>93</v>
      </c>
      <c r="C69" s="62">
        <f>B61</f>
        <v>2.8</v>
      </c>
      <c r="D69" t="s">
        <v>278</v>
      </c>
      <c r="I69" s="18" t="s">
        <v>309</v>
      </c>
      <c r="J69" s="67" t="s">
        <v>271</v>
      </c>
      <c r="K69" s="68">
        <f>B61</f>
        <v>2.8</v>
      </c>
      <c r="L69" t="s">
        <v>278</v>
      </c>
    </row>
    <row r="70" spans="1:12" x14ac:dyDescent="0.4">
      <c r="A70" s="18" t="s">
        <v>302</v>
      </c>
      <c r="B70" s="61" t="s">
        <v>94</v>
      </c>
      <c r="C70" s="62">
        <f>C61</f>
        <v>2.8</v>
      </c>
      <c r="D70" t="s">
        <v>279</v>
      </c>
      <c r="I70" s="18" t="s">
        <v>310</v>
      </c>
      <c r="J70" s="67" t="s">
        <v>248</v>
      </c>
      <c r="K70" s="68">
        <f>D61</f>
        <v>2.8</v>
      </c>
      <c r="L70" t="s">
        <v>285</v>
      </c>
    </row>
    <row r="71" spans="1:12" x14ac:dyDescent="0.4">
      <c r="A71" s="18" t="s">
        <v>303</v>
      </c>
      <c r="B71" s="61" t="s">
        <v>95</v>
      </c>
      <c r="C71" s="62">
        <f>(0.5*B61^0.5+0.5*C70^0.5)^2</f>
        <v>2.8000000000000003</v>
      </c>
      <c r="D71" t="s">
        <v>280</v>
      </c>
      <c r="I71" s="18" t="s">
        <v>311</v>
      </c>
      <c r="J71" s="67" t="s">
        <v>240</v>
      </c>
      <c r="K71" s="68">
        <f>(0.5*B61^0.5+0.5*K70^0.5)^2</f>
        <v>2.8000000000000003</v>
      </c>
      <c r="L71" t="s">
        <v>286</v>
      </c>
    </row>
    <row r="72" spans="1:12" x14ac:dyDescent="0.4">
      <c r="A72" s="48" t="s">
        <v>304</v>
      </c>
      <c r="B72" s="19" t="s">
        <v>97</v>
      </c>
      <c r="C72" s="27">
        <f>(0.5*C69^0.5+0.5*C61^0.5)^2</f>
        <v>2.8000000000000003</v>
      </c>
      <c r="D72" t="s">
        <v>281</v>
      </c>
      <c r="I72" s="48" t="s">
        <v>312</v>
      </c>
      <c r="J72" s="69" t="s">
        <v>241</v>
      </c>
      <c r="K72" s="70">
        <f>(0.5*K69^0.5+0.5*D61^0.5)^2</f>
        <v>2.8000000000000003</v>
      </c>
      <c r="L72" t="s">
        <v>287</v>
      </c>
    </row>
    <row r="74" spans="1:12" x14ac:dyDescent="0.4">
      <c r="B74" s="37" t="s">
        <v>288</v>
      </c>
      <c r="C74" s="49"/>
      <c r="J74" s="72" t="s">
        <v>348</v>
      </c>
      <c r="K74" s="73"/>
    </row>
    <row r="75" spans="1:12" x14ac:dyDescent="0.4">
      <c r="A75" s="47" t="s">
        <v>295</v>
      </c>
      <c r="B75" s="36" t="s">
        <v>296</v>
      </c>
      <c r="C75" s="50"/>
      <c r="D75" t="s">
        <v>263</v>
      </c>
      <c r="I75" s="2" t="s">
        <v>295</v>
      </c>
      <c r="J75" s="72" t="s">
        <v>296</v>
      </c>
      <c r="K75" s="73"/>
      <c r="L75" t="s">
        <v>263</v>
      </c>
    </row>
    <row r="76" spans="1:12" x14ac:dyDescent="0.4">
      <c r="A76" s="47" t="s">
        <v>313</v>
      </c>
      <c r="B76" s="37" t="s">
        <v>244</v>
      </c>
      <c r="C76" s="51">
        <f>C60</f>
        <v>0.49</v>
      </c>
      <c r="D76" t="s">
        <v>275</v>
      </c>
      <c r="I76" s="2" t="s">
        <v>328</v>
      </c>
      <c r="J76" s="72" t="s">
        <v>98</v>
      </c>
      <c r="K76" s="79">
        <f>(0.5*K65^0.5+0.5*C76^0.5)^2</f>
        <v>0.48999999999999994</v>
      </c>
      <c r="L76" t="s">
        <v>294</v>
      </c>
    </row>
    <row r="77" spans="1:12" x14ac:dyDescent="0.4">
      <c r="A77" s="18" t="s">
        <v>314</v>
      </c>
      <c r="B77" s="52" t="s">
        <v>245</v>
      </c>
      <c r="C77" s="53">
        <f>D60</f>
        <v>0.49</v>
      </c>
      <c r="D77" t="s">
        <v>282</v>
      </c>
      <c r="I77" s="5" t="s">
        <v>329</v>
      </c>
      <c r="J77" s="74" t="s">
        <v>99</v>
      </c>
      <c r="K77" s="77">
        <f>(0.5*C65^0.5+0.5*C77^0.5)^2</f>
        <v>0.48999999999999994</v>
      </c>
      <c r="L77" t="s">
        <v>321</v>
      </c>
    </row>
    <row r="78" spans="1:12" x14ac:dyDescent="0.4">
      <c r="A78" s="18" t="s">
        <v>315</v>
      </c>
      <c r="B78" s="52" t="s">
        <v>242</v>
      </c>
      <c r="C78" s="53">
        <f>(0.5*C60^0.5+0.5*C77^0.5)^2</f>
        <v>0.48999999999999994</v>
      </c>
      <c r="D78" t="s">
        <v>289</v>
      </c>
      <c r="I78" s="7" t="s">
        <v>330</v>
      </c>
      <c r="J78" s="75" t="s">
        <v>100</v>
      </c>
      <c r="K78" s="78">
        <f>(0.5*C66^0.5+0.5*K66^0.5)^2</f>
        <v>0.48999999999999994</v>
      </c>
      <c r="L78" t="s">
        <v>322</v>
      </c>
    </row>
    <row r="79" spans="1:12" x14ac:dyDescent="0.4">
      <c r="A79" s="48" t="s">
        <v>316</v>
      </c>
      <c r="B79" s="54" t="s">
        <v>243</v>
      </c>
      <c r="C79" s="55">
        <f>(0.5*C76^0.5+0.5*D60^0.5)^2</f>
        <v>0.48999999999999994</v>
      </c>
      <c r="D79" t="s">
        <v>290</v>
      </c>
      <c r="I79" s="5" t="s">
        <v>331</v>
      </c>
      <c r="J79" s="74" t="s">
        <v>101</v>
      </c>
      <c r="K79" s="77">
        <f>(0.5*K69^0.5+0.5*C80^0.5)^2</f>
        <v>2.8000000000000003</v>
      </c>
      <c r="L79" t="s">
        <v>323</v>
      </c>
    </row>
    <row r="80" spans="1:12" x14ac:dyDescent="0.4">
      <c r="A80" s="18" t="s">
        <v>317</v>
      </c>
      <c r="B80" s="52" t="s">
        <v>293</v>
      </c>
      <c r="C80" s="53">
        <f>C61</f>
        <v>2.8</v>
      </c>
      <c r="D80" t="s">
        <v>279</v>
      </c>
      <c r="I80" s="5" t="s">
        <v>332</v>
      </c>
      <c r="J80" s="74" t="s">
        <v>102</v>
      </c>
      <c r="K80" s="77">
        <f>(0.5*C69^0.5+0.5*C81^0.5)^2</f>
        <v>2.8000000000000003</v>
      </c>
      <c r="L80" t="s">
        <v>324</v>
      </c>
    </row>
    <row r="81" spans="1:12" x14ac:dyDescent="0.4">
      <c r="A81" s="18" t="s">
        <v>318</v>
      </c>
      <c r="B81" s="52" t="s">
        <v>249</v>
      </c>
      <c r="C81" s="53">
        <f>D61</f>
        <v>2.8</v>
      </c>
      <c r="D81" t="s">
        <v>285</v>
      </c>
      <c r="I81" s="7" t="s">
        <v>333</v>
      </c>
      <c r="J81" s="75" t="s">
        <v>103</v>
      </c>
      <c r="K81" s="78">
        <f>(0.5*C70^0.5+0.5*K70^0.5)^2</f>
        <v>2.8000000000000003</v>
      </c>
      <c r="L81" t="s">
        <v>325</v>
      </c>
    </row>
    <row r="82" spans="1:12" x14ac:dyDescent="0.4">
      <c r="A82" s="18" t="s">
        <v>319</v>
      </c>
      <c r="B82" s="52" t="s">
        <v>246</v>
      </c>
      <c r="C82" s="53">
        <f>(0.5*C61^0.5+0.5*C81^0.5)^2</f>
        <v>2.8000000000000003</v>
      </c>
      <c r="D82" t="s">
        <v>291</v>
      </c>
    </row>
    <row r="83" spans="1:12" x14ac:dyDescent="0.4">
      <c r="A83" s="48" t="s">
        <v>320</v>
      </c>
      <c r="B83" s="54" t="s">
        <v>247</v>
      </c>
      <c r="C83" s="55">
        <f>(0.5*C80^0.5+0.5*D61^0.5)^2</f>
        <v>2.8000000000000003</v>
      </c>
      <c r="D83" t="s">
        <v>292</v>
      </c>
      <c r="J83" s="72" t="s">
        <v>349</v>
      </c>
      <c r="K83" s="73"/>
    </row>
    <row r="84" spans="1:12" x14ac:dyDescent="0.4">
      <c r="I84" s="2" t="s">
        <v>295</v>
      </c>
      <c r="J84" s="72" t="s">
        <v>296</v>
      </c>
      <c r="K84" s="73"/>
      <c r="L84" t="s">
        <v>263</v>
      </c>
    </row>
    <row r="85" spans="1:12" x14ac:dyDescent="0.4">
      <c r="I85" s="2" t="s">
        <v>328</v>
      </c>
      <c r="J85" s="72" t="s">
        <v>98</v>
      </c>
      <c r="K85" s="79">
        <f>(0.5*K65^0.5+0.5*C76^0.5)^2</f>
        <v>0.48999999999999994</v>
      </c>
      <c r="L85" t="s">
        <v>294</v>
      </c>
    </row>
    <row r="86" spans="1:12" x14ac:dyDescent="0.4">
      <c r="I86" s="5" t="s">
        <v>329</v>
      </c>
      <c r="J86" s="74" t="s">
        <v>99</v>
      </c>
      <c r="K86" s="77">
        <f>(0.5*K67^0.5+0.5*C78^0.5)^2</f>
        <v>0.48999999999999994</v>
      </c>
      <c r="L86" t="s">
        <v>351</v>
      </c>
    </row>
    <row r="87" spans="1:12" x14ac:dyDescent="0.4">
      <c r="I87" s="7" t="s">
        <v>330</v>
      </c>
      <c r="J87" s="75" t="s">
        <v>100</v>
      </c>
      <c r="K87" s="78">
        <f>(0.5*K67^0.5+0.5*C78^0.5)^2</f>
        <v>0.48999999999999994</v>
      </c>
      <c r="L87" t="s">
        <v>351</v>
      </c>
    </row>
    <row r="88" spans="1:12" x14ac:dyDescent="0.4">
      <c r="I88" s="5" t="s">
        <v>331</v>
      </c>
      <c r="J88" s="74" t="s">
        <v>101</v>
      </c>
      <c r="K88" s="77">
        <f>(0.5*K69^0.5+0.5*C80^0.5)^2</f>
        <v>2.8000000000000003</v>
      </c>
      <c r="L88" t="s">
        <v>323</v>
      </c>
    </row>
    <row r="89" spans="1:12" x14ac:dyDescent="0.4">
      <c r="I89" s="5" t="s">
        <v>332</v>
      </c>
      <c r="J89" s="74" t="s">
        <v>102</v>
      </c>
      <c r="K89" s="77">
        <f>(0.5*K71^0.5+0.5*C82^0.5)^2</f>
        <v>2.8000000000000003</v>
      </c>
      <c r="L89" t="s">
        <v>350</v>
      </c>
    </row>
    <row r="90" spans="1:12" x14ac:dyDescent="0.4">
      <c r="I90" s="7" t="s">
        <v>333</v>
      </c>
      <c r="J90" s="75" t="s">
        <v>103</v>
      </c>
      <c r="K90" s="78">
        <f>(0.5*K71^0.5+0.5*C82^0.5)^2</f>
        <v>2.8000000000000003</v>
      </c>
      <c r="L90" t="s">
        <v>350</v>
      </c>
    </row>
    <row r="92" spans="1:12" x14ac:dyDescent="0.4">
      <c r="J92" s="72" t="s">
        <v>352</v>
      </c>
      <c r="K92" s="73"/>
    </row>
    <row r="93" spans="1:12" x14ac:dyDescent="0.4">
      <c r="I93" s="2" t="s">
        <v>295</v>
      </c>
      <c r="J93" s="72" t="s">
        <v>296</v>
      </c>
      <c r="K93" s="73"/>
      <c r="L93" t="s">
        <v>263</v>
      </c>
    </row>
    <row r="94" spans="1:12" x14ac:dyDescent="0.4">
      <c r="I94" s="2" t="s">
        <v>328</v>
      </c>
      <c r="J94" s="72" t="s">
        <v>98</v>
      </c>
      <c r="K94" s="79">
        <f>((C76^0.5 + K65^0.5 + K68^0.5 + C68^0.5 + C79^0.5 + C67^0.5)/6)^2</f>
        <v>0.4900000000000001</v>
      </c>
      <c r="L94" t="s">
        <v>353</v>
      </c>
    </row>
    <row r="95" spans="1:12" x14ac:dyDescent="0.4">
      <c r="I95" s="5" t="s">
        <v>329</v>
      </c>
      <c r="J95" s="74" t="s">
        <v>99</v>
      </c>
      <c r="K95" s="77">
        <f>((C65^0.5 + C77^0.5 + K67^0.5 + C78^0.5 + K68^0.5 + C68^0.5)/6)^2</f>
        <v>0.4900000000000001</v>
      </c>
      <c r="L95" t="s">
        <v>354</v>
      </c>
    </row>
    <row r="96" spans="1:12" x14ac:dyDescent="0.4">
      <c r="I96" s="7" t="s">
        <v>330</v>
      </c>
      <c r="J96" s="75" t="s">
        <v>100</v>
      </c>
      <c r="K96" s="78">
        <f xml:space="preserve"> ((C66^0.5 + K66^0.5 + C78^0.5 + K67^0.5 + C79^0.5 + C67^0.5)/6)^2</f>
        <v>0.4900000000000001</v>
      </c>
      <c r="L96" t="s">
        <v>355</v>
      </c>
    </row>
    <row r="97" spans="9:12" x14ac:dyDescent="0.4">
      <c r="I97" s="5" t="s">
        <v>331</v>
      </c>
      <c r="J97" s="74" t="s">
        <v>101</v>
      </c>
      <c r="K97" s="77">
        <f>((C80^0.5 + K69^0.5 + K72^0.5 + C72^0.5 + C83^0.5 + C71^0.5)/6)^2</f>
        <v>2.8000000000000003</v>
      </c>
      <c r="L97" t="s">
        <v>356</v>
      </c>
    </row>
    <row r="98" spans="9:12" x14ac:dyDescent="0.4">
      <c r="I98" s="5" t="s">
        <v>332</v>
      </c>
      <c r="J98" s="74" t="s">
        <v>102</v>
      </c>
      <c r="K98" s="77">
        <f>((C69^0.5 + C81^0.5 + K71^0.5 + C82^0.5 + K72^0.5 + C72^0.5)/6)^2</f>
        <v>2.8000000000000003</v>
      </c>
      <c r="L98" t="s">
        <v>357</v>
      </c>
    </row>
    <row r="99" spans="9:12" x14ac:dyDescent="0.4">
      <c r="I99" s="7" t="s">
        <v>333</v>
      </c>
      <c r="J99" s="75" t="s">
        <v>103</v>
      </c>
      <c r="K99" s="78">
        <f xml:space="preserve"> ((C70^0.5 + K70^0.5 + C82^0.5 + K71^0.5 + C83^0.5 + C71^0.5)/6)^2</f>
        <v>2.8000000000000003</v>
      </c>
      <c r="L99" t="s">
        <v>358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workbookViewId="0">
      <selection activeCell="D1" sqref="D1"/>
    </sheetView>
  </sheetViews>
  <sheetFormatPr defaultRowHeight="18.75" x14ac:dyDescent="0.4"/>
  <sheetData>
    <row r="1" spans="1:3" x14ac:dyDescent="0.4">
      <c r="A1" t="s">
        <v>144</v>
      </c>
      <c r="B1">
        <v>1</v>
      </c>
      <c r="C1">
        <v>1.008</v>
      </c>
    </row>
    <row r="2" spans="1:3" x14ac:dyDescent="0.4">
      <c r="A2" t="s">
        <v>145</v>
      </c>
      <c r="B2">
        <v>2</v>
      </c>
      <c r="C2">
        <v>4.0026000000000002</v>
      </c>
    </row>
    <row r="3" spans="1:3" x14ac:dyDescent="0.4">
      <c r="A3" t="s">
        <v>146</v>
      </c>
      <c r="B3">
        <v>3</v>
      </c>
      <c r="C3">
        <v>6.94</v>
      </c>
    </row>
    <row r="4" spans="1:3" x14ac:dyDescent="0.4">
      <c r="A4" t="s">
        <v>147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142</v>
      </c>
      <c r="B6">
        <v>6</v>
      </c>
      <c r="C6">
        <v>12.010999999999999</v>
      </c>
    </row>
    <row r="7" spans="1:3" x14ac:dyDescent="0.4">
      <c r="A7" t="s">
        <v>148</v>
      </c>
      <c r="B7">
        <v>7</v>
      </c>
      <c r="C7">
        <v>14.007</v>
      </c>
    </row>
    <row r="8" spans="1:3" x14ac:dyDescent="0.4">
      <c r="A8" t="s">
        <v>149</v>
      </c>
      <c r="B8">
        <v>8</v>
      </c>
      <c r="C8">
        <v>15.999000000000001</v>
      </c>
    </row>
    <row r="9" spans="1:3" x14ac:dyDescent="0.4">
      <c r="A9" t="s">
        <v>150</v>
      </c>
      <c r="B9">
        <v>9</v>
      </c>
      <c r="C9">
        <v>18.998000000000001</v>
      </c>
    </row>
    <row r="10" spans="1:3" x14ac:dyDescent="0.4">
      <c r="A10" t="s">
        <v>151</v>
      </c>
      <c r="B10">
        <v>10</v>
      </c>
      <c r="C10">
        <v>20.18</v>
      </c>
    </row>
    <row r="11" spans="1:3" x14ac:dyDescent="0.4">
      <c r="A11" t="s">
        <v>152</v>
      </c>
      <c r="B11">
        <v>11</v>
      </c>
      <c r="C11">
        <v>22.99</v>
      </c>
    </row>
    <row r="12" spans="1:3" x14ac:dyDescent="0.4">
      <c r="A12" t="s">
        <v>153</v>
      </c>
      <c r="B12">
        <v>12</v>
      </c>
      <c r="C12">
        <v>24.305</v>
      </c>
    </row>
    <row r="13" spans="1:3" x14ac:dyDescent="0.4">
      <c r="A13" t="s">
        <v>154</v>
      </c>
      <c r="B13">
        <v>13</v>
      </c>
      <c r="C13">
        <v>26.981999999999999</v>
      </c>
    </row>
    <row r="14" spans="1:3" x14ac:dyDescent="0.4">
      <c r="A14" t="s">
        <v>155</v>
      </c>
      <c r="B14">
        <v>14</v>
      </c>
      <c r="C14">
        <v>28.085000000000001</v>
      </c>
    </row>
    <row r="15" spans="1:3" x14ac:dyDescent="0.4">
      <c r="A15" t="s">
        <v>156</v>
      </c>
      <c r="B15">
        <v>15</v>
      </c>
      <c r="C15">
        <v>30.974</v>
      </c>
    </row>
    <row r="16" spans="1:3" x14ac:dyDescent="0.4">
      <c r="A16" t="s">
        <v>158</v>
      </c>
      <c r="B16">
        <v>16</v>
      </c>
      <c r="C16">
        <v>32.06</v>
      </c>
    </row>
    <row r="17" spans="1:3" x14ac:dyDescent="0.4">
      <c r="A17" t="s">
        <v>157</v>
      </c>
      <c r="B17">
        <v>17</v>
      </c>
      <c r="C17">
        <v>35.450000000000003</v>
      </c>
    </row>
    <row r="18" spans="1:3" x14ac:dyDescent="0.4">
      <c r="A18" t="s">
        <v>159</v>
      </c>
      <c r="B18">
        <v>18</v>
      </c>
      <c r="C18">
        <v>39.948</v>
      </c>
    </row>
    <row r="19" spans="1:3" x14ac:dyDescent="0.4">
      <c r="A19" t="s">
        <v>160</v>
      </c>
      <c r="B19">
        <v>19</v>
      </c>
      <c r="C19">
        <v>39.097999999999999</v>
      </c>
    </row>
    <row r="20" spans="1:3" x14ac:dyDescent="0.4">
      <c r="A20" t="s">
        <v>161</v>
      </c>
      <c r="B20">
        <v>20</v>
      </c>
      <c r="C20">
        <v>40.078000000000003</v>
      </c>
    </row>
    <row r="21" spans="1:3" x14ac:dyDescent="0.4">
      <c r="A21" t="s">
        <v>162</v>
      </c>
      <c r="B21">
        <v>21</v>
      </c>
      <c r="C21">
        <v>44.956000000000003</v>
      </c>
    </row>
    <row r="22" spans="1:3" x14ac:dyDescent="0.4">
      <c r="A22" t="s">
        <v>138</v>
      </c>
      <c r="B22">
        <v>22</v>
      </c>
      <c r="C22">
        <v>47.866999999999997</v>
      </c>
    </row>
    <row r="23" spans="1:3" x14ac:dyDescent="0.4">
      <c r="A23" t="s">
        <v>135</v>
      </c>
      <c r="B23">
        <v>23</v>
      </c>
      <c r="C23">
        <v>50.942</v>
      </c>
    </row>
    <row r="24" spans="1:3" x14ac:dyDescent="0.4">
      <c r="A24" t="s">
        <v>140</v>
      </c>
      <c r="B24">
        <v>24</v>
      </c>
      <c r="C24">
        <v>51.996000000000002</v>
      </c>
    </row>
    <row r="25" spans="1:3" x14ac:dyDescent="0.4">
      <c r="A25" t="s">
        <v>163</v>
      </c>
      <c r="B25">
        <v>25</v>
      </c>
      <c r="C25">
        <v>54.938000000000002</v>
      </c>
    </row>
    <row r="26" spans="1:3" x14ac:dyDescent="0.4">
      <c r="A26" t="s">
        <v>139</v>
      </c>
      <c r="B26">
        <v>26</v>
      </c>
      <c r="C26">
        <v>55.844999999999999</v>
      </c>
    </row>
    <row r="27" spans="1:3" x14ac:dyDescent="0.4">
      <c r="A27" t="s">
        <v>164</v>
      </c>
      <c r="B27">
        <v>27</v>
      </c>
      <c r="C27">
        <v>58.933</v>
      </c>
    </row>
    <row r="28" spans="1:3" x14ac:dyDescent="0.4">
      <c r="A28" t="s">
        <v>165</v>
      </c>
      <c r="B28">
        <v>28</v>
      </c>
      <c r="C28">
        <v>58.692999999999998</v>
      </c>
    </row>
    <row r="29" spans="1:3" x14ac:dyDescent="0.4">
      <c r="A29" t="s">
        <v>166</v>
      </c>
      <c r="B29">
        <v>29</v>
      </c>
      <c r="C29">
        <v>63.545999999999999</v>
      </c>
    </row>
    <row r="30" spans="1:3" x14ac:dyDescent="0.4">
      <c r="A30" t="s">
        <v>167</v>
      </c>
      <c r="B30">
        <v>30</v>
      </c>
      <c r="C30">
        <v>65.38</v>
      </c>
    </row>
    <row r="31" spans="1:3" x14ac:dyDescent="0.4">
      <c r="A31" t="s">
        <v>168</v>
      </c>
      <c r="B31">
        <v>31</v>
      </c>
      <c r="C31">
        <v>69.722999999999999</v>
      </c>
    </row>
    <row r="32" spans="1:3" x14ac:dyDescent="0.4">
      <c r="A32" t="s">
        <v>169</v>
      </c>
      <c r="B32">
        <v>32</v>
      </c>
      <c r="C32">
        <v>72.63</v>
      </c>
    </row>
    <row r="33" spans="1:3" x14ac:dyDescent="0.4">
      <c r="A33" t="s">
        <v>170</v>
      </c>
      <c r="B33">
        <v>33</v>
      </c>
      <c r="C33">
        <v>74.921999999999997</v>
      </c>
    </row>
    <row r="34" spans="1:3" x14ac:dyDescent="0.4">
      <c r="A34" t="s">
        <v>171</v>
      </c>
      <c r="B34">
        <v>34</v>
      </c>
      <c r="C34">
        <v>78.971000000000004</v>
      </c>
    </row>
    <row r="35" spans="1:3" x14ac:dyDescent="0.4">
      <c r="A35" t="s">
        <v>172</v>
      </c>
      <c r="B35">
        <v>35</v>
      </c>
      <c r="C35">
        <v>79.903999999999996</v>
      </c>
    </row>
    <row r="36" spans="1:3" x14ac:dyDescent="0.4">
      <c r="A36" t="s">
        <v>173</v>
      </c>
      <c r="B36">
        <v>36</v>
      </c>
      <c r="C36">
        <v>83.798000000000002</v>
      </c>
    </row>
    <row r="37" spans="1:3" x14ac:dyDescent="0.4">
      <c r="A37" t="s">
        <v>174</v>
      </c>
      <c r="B37">
        <v>37</v>
      </c>
      <c r="C37">
        <v>85.468000000000004</v>
      </c>
    </row>
    <row r="38" spans="1:3" x14ac:dyDescent="0.4">
      <c r="A38" t="s">
        <v>175</v>
      </c>
      <c r="B38">
        <v>38</v>
      </c>
      <c r="C38">
        <v>87.62</v>
      </c>
    </row>
    <row r="39" spans="1:3" x14ac:dyDescent="0.4">
      <c r="A39" t="s">
        <v>176</v>
      </c>
      <c r="B39">
        <v>39</v>
      </c>
      <c r="C39">
        <v>88.906000000000006</v>
      </c>
    </row>
    <row r="40" spans="1:3" x14ac:dyDescent="0.4">
      <c r="A40" t="s">
        <v>177</v>
      </c>
      <c r="B40">
        <v>40</v>
      </c>
      <c r="C40">
        <v>91.224000000000004</v>
      </c>
    </row>
    <row r="41" spans="1:3" x14ac:dyDescent="0.4">
      <c r="A41" t="s">
        <v>136</v>
      </c>
      <c r="B41">
        <v>41</v>
      </c>
      <c r="C41">
        <v>92.906000000000006</v>
      </c>
    </row>
    <row r="42" spans="1:3" x14ac:dyDescent="0.4">
      <c r="A42" t="s">
        <v>141</v>
      </c>
      <c r="B42">
        <v>42</v>
      </c>
      <c r="C42">
        <v>95.95</v>
      </c>
    </row>
    <row r="43" spans="1:3" x14ac:dyDescent="0.4">
      <c r="A43" t="s">
        <v>178</v>
      </c>
      <c r="B43">
        <v>43</v>
      </c>
      <c r="C43">
        <v>98</v>
      </c>
    </row>
    <row r="44" spans="1:3" x14ac:dyDescent="0.4">
      <c r="A44" t="s">
        <v>179</v>
      </c>
      <c r="B44">
        <v>44</v>
      </c>
      <c r="C44">
        <v>101.07</v>
      </c>
    </row>
    <row r="45" spans="1:3" x14ac:dyDescent="0.4">
      <c r="A45" t="s">
        <v>180</v>
      </c>
      <c r="B45">
        <v>45</v>
      </c>
      <c r="C45">
        <v>102.91</v>
      </c>
    </row>
    <row r="46" spans="1:3" x14ac:dyDescent="0.4">
      <c r="A46" t="s">
        <v>181</v>
      </c>
      <c r="B46">
        <v>46</v>
      </c>
      <c r="C46">
        <v>106.42</v>
      </c>
    </row>
    <row r="47" spans="1:3" x14ac:dyDescent="0.4">
      <c r="A47" t="s">
        <v>182</v>
      </c>
      <c r="B47">
        <v>47</v>
      </c>
      <c r="C47">
        <v>107.87</v>
      </c>
    </row>
    <row r="48" spans="1:3" x14ac:dyDescent="0.4">
      <c r="A48" t="s">
        <v>183</v>
      </c>
      <c r="B48">
        <v>48</v>
      </c>
      <c r="C48">
        <v>112.41</v>
      </c>
    </row>
    <row r="49" spans="1:3" x14ac:dyDescent="0.4">
      <c r="A49" t="s">
        <v>184</v>
      </c>
      <c r="B49">
        <v>49</v>
      </c>
      <c r="C49">
        <v>114.82</v>
      </c>
    </row>
    <row r="50" spans="1:3" x14ac:dyDescent="0.4">
      <c r="A50" t="s">
        <v>185</v>
      </c>
      <c r="B50">
        <v>50</v>
      </c>
      <c r="C50">
        <v>118.71</v>
      </c>
    </row>
    <row r="51" spans="1:3" x14ac:dyDescent="0.4">
      <c r="A51" t="s">
        <v>186</v>
      </c>
      <c r="B51">
        <v>51</v>
      </c>
      <c r="C51">
        <v>11.76</v>
      </c>
    </row>
    <row r="52" spans="1:3" x14ac:dyDescent="0.4">
      <c r="A52" t="s">
        <v>187</v>
      </c>
      <c r="B52">
        <v>52</v>
      </c>
      <c r="C52">
        <v>127.6</v>
      </c>
    </row>
    <row r="53" spans="1:3" x14ac:dyDescent="0.4">
      <c r="A53" t="s">
        <v>188</v>
      </c>
      <c r="B53">
        <v>53</v>
      </c>
      <c r="C53">
        <v>126.9</v>
      </c>
    </row>
    <row r="54" spans="1:3" x14ac:dyDescent="0.4">
      <c r="A54" t="s">
        <v>191</v>
      </c>
      <c r="B54">
        <v>54</v>
      </c>
      <c r="C54">
        <v>131.29</v>
      </c>
    </row>
    <row r="55" spans="1:3" x14ac:dyDescent="0.4">
      <c r="A55" t="s">
        <v>189</v>
      </c>
      <c r="B55">
        <v>55</v>
      </c>
      <c r="C55">
        <v>132.91</v>
      </c>
    </row>
    <row r="56" spans="1:3" x14ac:dyDescent="0.4">
      <c r="A56" t="s">
        <v>190</v>
      </c>
      <c r="B56">
        <v>56</v>
      </c>
      <c r="C56">
        <v>137.33000000000001</v>
      </c>
    </row>
    <row r="57" spans="1:3" x14ac:dyDescent="0.4">
      <c r="A57" t="s">
        <v>192</v>
      </c>
      <c r="B57">
        <v>57</v>
      </c>
      <c r="C57">
        <v>138.91</v>
      </c>
    </row>
    <row r="58" spans="1:3" x14ac:dyDescent="0.4">
      <c r="A58" t="s">
        <v>193</v>
      </c>
      <c r="B58">
        <v>58</v>
      </c>
      <c r="C58">
        <v>140.12</v>
      </c>
    </row>
    <row r="59" spans="1:3" x14ac:dyDescent="0.4">
      <c r="A59" t="s">
        <v>194</v>
      </c>
      <c r="B59">
        <v>59</v>
      </c>
      <c r="C59">
        <v>140.91</v>
      </c>
    </row>
    <row r="60" spans="1:3" x14ac:dyDescent="0.4">
      <c r="A60" t="s">
        <v>195</v>
      </c>
      <c r="B60">
        <v>60</v>
      </c>
      <c r="C60">
        <v>144.24</v>
      </c>
    </row>
    <row r="61" spans="1:3" x14ac:dyDescent="0.4">
      <c r="A61" t="s">
        <v>196</v>
      </c>
      <c r="B61">
        <v>61</v>
      </c>
      <c r="C61">
        <v>145</v>
      </c>
    </row>
    <row r="62" spans="1:3" x14ac:dyDescent="0.4">
      <c r="A62" t="s">
        <v>197</v>
      </c>
      <c r="B62">
        <v>62</v>
      </c>
      <c r="C62">
        <v>150.36000000000001</v>
      </c>
    </row>
    <row r="63" spans="1:3" x14ac:dyDescent="0.4">
      <c r="A63" t="s">
        <v>198</v>
      </c>
      <c r="B63">
        <v>63</v>
      </c>
      <c r="C63">
        <v>151.96</v>
      </c>
    </row>
    <row r="64" spans="1:3" x14ac:dyDescent="0.4">
      <c r="A64" t="s">
        <v>199</v>
      </c>
      <c r="B64">
        <v>64</v>
      </c>
      <c r="C64">
        <v>157.25</v>
      </c>
    </row>
    <row r="65" spans="1:3" x14ac:dyDescent="0.4">
      <c r="A65" t="s">
        <v>200</v>
      </c>
      <c r="B65">
        <v>65</v>
      </c>
      <c r="C65">
        <v>158.93</v>
      </c>
    </row>
    <row r="66" spans="1:3" x14ac:dyDescent="0.4">
      <c r="A66" t="s">
        <v>201</v>
      </c>
      <c r="B66">
        <v>66</v>
      </c>
      <c r="C66">
        <v>162.5</v>
      </c>
    </row>
    <row r="67" spans="1:3" x14ac:dyDescent="0.4">
      <c r="A67" t="s">
        <v>202</v>
      </c>
      <c r="B67">
        <v>67</v>
      </c>
      <c r="C67">
        <v>164.93</v>
      </c>
    </row>
    <row r="68" spans="1:3" x14ac:dyDescent="0.4">
      <c r="A68" t="s">
        <v>203</v>
      </c>
      <c r="B68">
        <v>68</v>
      </c>
      <c r="C68">
        <v>167.26</v>
      </c>
    </row>
    <row r="69" spans="1:3" x14ac:dyDescent="0.4">
      <c r="A69" t="s">
        <v>204</v>
      </c>
      <c r="B69">
        <v>69</v>
      </c>
      <c r="C69">
        <v>168.93</v>
      </c>
    </row>
    <row r="70" spans="1:3" x14ac:dyDescent="0.4">
      <c r="A70" t="s">
        <v>205</v>
      </c>
      <c r="B70">
        <v>70</v>
      </c>
      <c r="C70">
        <v>173.05</v>
      </c>
    </row>
    <row r="71" spans="1:3" x14ac:dyDescent="0.4">
      <c r="A71" t="s">
        <v>206</v>
      </c>
      <c r="B71">
        <v>71</v>
      </c>
      <c r="C71">
        <v>174.97</v>
      </c>
    </row>
    <row r="72" spans="1:3" x14ac:dyDescent="0.4">
      <c r="A72" t="s">
        <v>207</v>
      </c>
      <c r="B72">
        <v>72</v>
      </c>
      <c r="C72">
        <v>178.49</v>
      </c>
    </row>
    <row r="73" spans="1:3" x14ac:dyDescent="0.4">
      <c r="A73" t="s">
        <v>137</v>
      </c>
      <c r="B73">
        <v>73</v>
      </c>
      <c r="C73">
        <v>180.95</v>
      </c>
    </row>
    <row r="74" spans="1:3" x14ac:dyDescent="0.4">
      <c r="A74" t="s">
        <v>208</v>
      </c>
      <c r="B74">
        <v>74</v>
      </c>
      <c r="C74">
        <v>183.84</v>
      </c>
    </row>
    <row r="75" spans="1:3" x14ac:dyDescent="0.4">
      <c r="A75" t="s">
        <v>209</v>
      </c>
      <c r="B75">
        <v>75</v>
      </c>
      <c r="C75">
        <v>186.21</v>
      </c>
    </row>
    <row r="76" spans="1:3" x14ac:dyDescent="0.4">
      <c r="A76" t="s">
        <v>210</v>
      </c>
      <c r="B76">
        <v>76</v>
      </c>
      <c r="C76">
        <v>190.23</v>
      </c>
    </row>
    <row r="77" spans="1:3" x14ac:dyDescent="0.4">
      <c r="A77" t="s">
        <v>211</v>
      </c>
      <c r="B77">
        <v>77</v>
      </c>
      <c r="C77">
        <v>192.22</v>
      </c>
    </row>
    <row r="78" spans="1:3" x14ac:dyDescent="0.4">
      <c r="A78" t="s">
        <v>134</v>
      </c>
      <c r="B78">
        <v>78</v>
      </c>
      <c r="C78">
        <v>195.08</v>
      </c>
    </row>
    <row r="79" spans="1:3" x14ac:dyDescent="0.4">
      <c r="A79" t="s">
        <v>212</v>
      </c>
      <c r="B79">
        <v>79</v>
      </c>
      <c r="C79">
        <v>196.97</v>
      </c>
    </row>
    <row r="80" spans="1:3" x14ac:dyDescent="0.4">
      <c r="A80" t="s">
        <v>213</v>
      </c>
      <c r="B80">
        <v>80</v>
      </c>
      <c r="C80">
        <v>200.59</v>
      </c>
    </row>
    <row r="81" spans="1:3" x14ac:dyDescent="0.4">
      <c r="A81" t="s">
        <v>214</v>
      </c>
      <c r="B81">
        <v>81</v>
      </c>
      <c r="C81">
        <v>204.38</v>
      </c>
    </row>
    <row r="82" spans="1:3" x14ac:dyDescent="0.4">
      <c r="A82" t="s">
        <v>215</v>
      </c>
      <c r="B82">
        <v>82</v>
      </c>
      <c r="C82">
        <v>207.2</v>
      </c>
    </row>
    <row r="83" spans="1:3" x14ac:dyDescent="0.4">
      <c r="A83" t="s">
        <v>216</v>
      </c>
      <c r="B83">
        <v>83</v>
      </c>
      <c r="C83">
        <v>208.98</v>
      </c>
    </row>
    <row r="84" spans="1:3" x14ac:dyDescent="0.4">
      <c r="A84" t="s">
        <v>217</v>
      </c>
      <c r="B84">
        <v>84</v>
      </c>
      <c r="C84">
        <v>209</v>
      </c>
    </row>
    <row r="85" spans="1:3" x14ac:dyDescent="0.4">
      <c r="A85" t="s">
        <v>218</v>
      </c>
      <c r="B85">
        <v>85</v>
      </c>
      <c r="C85">
        <v>210</v>
      </c>
    </row>
    <row r="86" spans="1:3" x14ac:dyDescent="0.4">
      <c r="A86" t="s">
        <v>219</v>
      </c>
      <c r="B86">
        <v>86</v>
      </c>
      <c r="C86">
        <v>222</v>
      </c>
    </row>
    <row r="87" spans="1:3" x14ac:dyDescent="0.4">
      <c r="A87" t="s">
        <v>220</v>
      </c>
      <c r="B87">
        <v>87</v>
      </c>
      <c r="C87">
        <v>223</v>
      </c>
    </row>
    <row r="88" spans="1:3" x14ac:dyDescent="0.4">
      <c r="A88" t="s">
        <v>221</v>
      </c>
      <c r="B88">
        <v>88</v>
      </c>
      <c r="C88">
        <v>226</v>
      </c>
    </row>
    <row r="89" spans="1:3" x14ac:dyDescent="0.4">
      <c r="A89" t="s">
        <v>222</v>
      </c>
      <c r="B89">
        <v>89</v>
      </c>
      <c r="C89">
        <v>227</v>
      </c>
    </row>
    <row r="90" spans="1:3" x14ac:dyDescent="0.4">
      <c r="A90" t="s">
        <v>223</v>
      </c>
      <c r="B90">
        <v>90</v>
      </c>
      <c r="C90">
        <v>232.04</v>
      </c>
    </row>
    <row r="91" spans="1:3" x14ac:dyDescent="0.4">
      <c r="A91" t="s">
        <v>224</v>
      </c>
      <c r="B91">
        <v>91</v>
      </c>
      <c r="C91">
        <v>231.04</v>
      </c>
    </row>
    <row r="92" spans="1:3" x14ac:dyDescent="0.4">
      <c r="A92" t="s">
        <v>225</v>
      </c>
      <c r="B92">
        <v>92</v>
      </c>
      <c r="C92">
        <v>238.03</v>
      </c>
    </row>
    <row r="93" spans="1:3" x14ac:dyDescent="0.4">
      <c r="A93" t="s">
        <v>226</v>
      </c>
      <c r="B93">
        <v>93</v>
      </c>
      <c r="C93">
        <v>237</v>
      </c>
    </row>
    <row r="94" spans="1:3" x14ac:dyDescent="0.4">
      <c r="A94" t="s">
        <v>227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892-05A7-490D-8CC3-7539BBF587B6}">
  <dimension ref="A1:Q95"/>
  <sheetViews>
    <sheetView workbookViewId="0">
      <selection activeCell="F8" sqref="F8"/>
    </sheetView>
  </sheetViews>
  <sheetFormatPr defaultRowHeight="18.75" x14ac:dyDescent="0.4"/>
  <sheetData>
    <row r="1" spans="1:17" x14ac:dyDescent="0.4">
      <c r="D1" t="s">
        <v>334</v>
      </c>
      <c r="E1" t="s">
        <v>335</v>
      </c>
      <c r="F1" t="s">
        <v>336</v>
      </c>
      <c r="G1" t="s">
        <v>346</v>
      </c>
      <c r="H1" t="s">
        <v>347</v>
      </c>
      <c r="I1" t="s">
        <v>337</v>
      </c>
      <c r="J1" t="s">
        <v>338</v>
      </c>
      <c r="K1" t="s">
        <v>339</v>
      </c>
      <c r="L1" t="s">
        <v>343</v>
      </c>
      <c r="M1" t="s">
        <v>344</v>
      </c>
      <c r="N1" t="s">
        <v>340</v>
      </c>
      <c r="O1" t="s">
        <v>341</v>
      </c>
      <c r="P1" t="s">
        <v>345</v>
      </c>
      <c r="Q1" t="s">
        <v>342</v>
      </c>
    </row>
    <row r="2" spans="1:17" x14ac:dyDescent="0.4">
      <c r="A2" t="s">
        <v>144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147</v>
      </c>
      <c r="B5">
        <v>4</v>
      </c>
      <c r="C5">
        <v>9.0122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152</v>
      </c>
      <c r="B12">
        <v>11</v>
      </c>
      <c r="C12">
        <v>22.99</v>
      </c>
      <c r="D12">
        <v>5.2534640000000001</v>
      </c>
      <c r="E12">
        <v>5.2534640000000001</v>
      </c>
      <c r="F12" s="76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153</v>
      </c>
      <c r="B13">
        <v>12</v>
      </c>
      <c r="C13">
        <v>24.305</v>
      </c>
    </row>
    <row r="14" spans="1:17" x14ac:dyDescent="0.4">
      <c r="A14" t="s">
        <v>154</v>
      </c>
      <c r="B14">
        <v>13</v>
      </c>
      <c r="C14">
        <v>26.981999999999999</v>
      </c>
      <c r="D14">
        <v>4.0389299999999997</v>
      </c>
      <c r="E14">
        <v>4.0389299999999997</v>
      </c>
      <c r="F14" s="76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155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160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162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135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140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163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139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164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165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166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176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177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136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141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178</v>
      </c>
      <c r="B44">
        <v>43</v>
      </c>
      <c r="C44">
        <v>98</v>
      </c>
      <c r="D44">
        <v>3.8850380000000002</v>
      </c>
      <c r="E44">
        <v>3.8850380000000002</v>
      </c>
      <c r="F44" s="76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179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180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181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182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185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186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</row>
    <row r="57" spans="1:17" x14ac:dyDescent="0.4">
      <c r="A57" t="s">
        <v>190</v>
      </c>
      <c r="B57">
        <v>56</v>
      </c>
      <c r="C57">
        <v>137.33000000000001</v>
      </c>
    </row>
    <row r="58" spans="1:17" x14ac:dyDescent="0.4">
      <c r="A58" t="s">
        <v>192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193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194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195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</row>
    <row r="66" spans="1:17" x14ac:dyDescent="0.4">
      <c r="A66" t="s">
        <v>200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201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137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208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209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210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211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134</v>
      </c>
      <c r="B79">
        <v>78</v>
      </c>
      <c r="C79">
        <v>195.08</v>
      </c>
      <c r="D79">
        <v>3.9767700000000001</v>
      </c>
      <c r="E79">
        <v>3.9767700000000001</v>
      </c>
      <c r="F79" s="76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212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215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223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224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225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405-E3B6-468A-A903-238199E642B4}">
  <dimension ref="A1:Q95"/>
  <sheetViews>
    <sheetView workbookViewId="0">
      <selection activeCell="F9" sqref="F9"/>
    </sheetView>
  </sheetViews>
  <sheetFormatPr defaultRowHeight="18.75" x14ac:dyDescent="0.4"/>
  <sheetData>
    <row r="1" spans="1:17" x14ac:dyDescent="0.4">
      <c r="D1" t="s">
        <v>334</v>
      </c>
      <c r="E1" t="s">
        <v>335</v>
      </c>
      <c r="F1" t="s">
        <v>336</v>
      </c>
      <c r="G1" t="s">
        <v>346</v>
      </c>
      <c r="H1" t="s">
        <v>347</v>
      </c>
      <c r="I1" t="s">
        <v>337</v>
      </c>
      <c r="J1" t="s">
        <v>338</v>
      </c>
      <c r="K1" t="s">
        <v>339</v>
      </c>
      <c r="L1" t="s">
        <v>343</v>
      </c>
      <c r="M1" t="s">
        <v>344</v>
      </c>
      <c r="N1" t="s">
        <v>340</v>
      </c>
      <c r="O1" t="s">
        <v>341</v>
      </c>
      <c r="P1" t="s">
        <v>345</v>
      </c>
      <c r="Q1" t="s">
        <v>342</v>
      </c>
    </row>
    <row r="2" spans="1:17" x14ac:dyDescent="0.4">
      <c r="A2" t="s">
        <v>144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147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153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154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155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162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138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135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140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2.8400516800000002</v>
      </c>
      <c r="E27">
        <v>2.8400516800000002</v>
      </c>
      <c r="F27" s="76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164</v>
      </c>
      <c r="B28">
        <v>27</v>
      </c>
      <c r="C28">
        <v>58.933</v>
      </c>
    </row>
    <row r="29" spans="1:17" x14ac:dyDescent="0.4">
      <c r="A29" t="s">
        <v>165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172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176</v>
      </c>
      <c r="B40">
        <v>39</v>
      </c>
      <c r="C40">
        <v>88.906000000000006</v>
      </c>
    </row>
    <row r="41" spans="1:17" x14ac:dyDescent="0.4">
      <c r="A41" t="s">
        <v>177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136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141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178</v>
      </c>
      <c r="B44">
        <v>43</v>
      </c>
      <c r="C44">
        <v>98</v>
      </c>
    </row>
    <row r="45" spans="1:17" x14ac:dyDescent="0.4">
      <c r="A45" t="s">
        <v>179</v>
      </c>
      <c r="B45">
        <v>44</v>
      </c>
      <c r="C45">
        <v>101.07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</row>
    <row r="51" spans="1:17" x14ac:dyDescent="0.4">
      <c r="A51" t="s">
        <v>185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186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200</v>
      </c>
      <c r="B66">
        <v>65</v>
      </c>
      <c r="C66">
        <v>158.93</v>
      </c>
    </row>
    <row r="67" spans="1:17" x14ac:dyDescent="0.4">
      <c r="A67" t="s">
        <v>201</v>
      </c>
      <c r="B67">
        <v>66</v>
      </c>
      <c r="C67">
        <v>162.5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</row>
    <row r="74" spans="1:17" x14ac:dyDescent="0.4">
      <c r="A74" t="s">
        <v>137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208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209</v>
      </c>
      <c r="B76">
        <v>75</v>
      </c>
      <c r="C76">
        <v>186.21</v>
      </c>
    </row>
    <row r="77" spans="1:17" x14ac:dyDescent="0.4">
      <c r="A77" t="s">
        <v>210</v>
      </c>
      <c r="B77">
        <v>76</v>
      </c>
      <c r="C77">
        <v>190.23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215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226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064-0682-40DA-8716-B48B2C3F2698}">
  <dimension ref="A1:Q95"/>
  <sheetViews>
    <sheetView workbookViewId="0">
      <selection activeCell="D95" sqref="D95"/>
    </sheetView>
  </sheetViews>
  <sheetFormatPr defaultRowHeight="18.75" x14ac:dyDescent="0.4"/>
  <sheetData>
    <row r="1" spans="1:17" x14ac:dyDescent="0.4">
      <c r="D1" t="s">
        <v>334</v>
      </c>
      <c r="E1" t="s">
        <v>335</v>
      </c>
      <c r="F1" t="s">
        <v>336</v>
      </c>
      <c r="G1" t="s">
        <v>346</v>
      </c>
      <c r="H1" t="s">
        <v>347</v>
      </c>
      <c r="I1" t="s">
        <v>337</v>
      </c>
      <c r="J1" t="s">
        <v>338</v>
      </c>
      <c r="K1" t="s">
        <v>339</v>
      </c>
      <c r="L1" t="s">
        <v>343</v>
      </c>
      <c r="M1" t="s">
        <v>344</v>
      </c>
      <c r="N1" t="s">
        <v>340</v>
      </c>
      <c r="O1" t="s">
        <v>341</v>
      </c>
      <c r="P1" t="s">
        <v>345</v>
      </c>
      <c r="Q1" t="s">
        <v>342</v>
      </c>
    </row>
    <row r="2" spans="1:17" x14ac:dyDescent="0.4">
      <c r="A2" t="s">
        <v>144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147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153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154</v>
      </c>
      <c r="B14">
        <v>13</v>
      </c>
      <c r="C14">
        <v>26.981999999999999</v>
      </c>
    </row>
    <row r="15" spans="1:17" x14ac:dyDescent="0.4">
      <c r="A15" t="s">
        <v>155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</row>
    <row r="21" spans="1:17" x14ac:dyDescent="0.4">
      <c r="A21" t="s">
        <v>161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162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135</v>
      </c>
      <c r="B24">
        <v>23</v>
      </c>
      <c r="C24">
        <v>50.942</v>
      </c>
    </row>
    <row r="25" spans="1:17" x14ac:dyDescent="0.4">
      <c r="A25" t="s">
        <v>140</v>
      </c>
      <c r="B25">
        <v>24</v>
      </c>
      <c r="C25">
        <v>51.996000000000002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164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165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</row>
    <row r="31" spans="1:17" x14ac:dyDescent="0.4">
      <c r="A31" t="s">
        <v>167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</row>
    <row r="39" spans="1:17" x14ac:dyDescent="0.4">
      <c r="A39" t="s">
        <v>175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176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177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136</v>
      </c>
      <c r="B42">
        <v>41</v>
      </c>
      <c r="C42">
        <v>92.906000000000006</v>
      </c>
    </row>
    <row r="43" spans="1:17" x14ac:dyDescent="0.4">
      <c r="A43" t="s">
        <v>141</v>
      </c>
      <c r="B43">
        <v>42</v>
      </c>
      <c r="C43">
        <v>95.95</v>
      </c>
    </row>
    <row r="44" spans="1:17" x14ac:dyDescent="0.4">
      <c r="A44" t="s">
        <v>178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179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183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184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185</v>
      </c>
      <c r="B51">
        <v>50</v>
      </c>
      <c r="C51">
        <v>118.71</v>
      </c>
    </row>
    <row r="52" spans="1:17" x14ac:dyDescent="0.4">
      <c r="A52" t="s">
        <v>186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198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199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200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201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202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203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204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205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137</v>
      </c>
      <c r="B74">
        <v>73</v>
      </c>
      <c r="C74">
        <v>180.95</v>
      </c>
    </row>
    <row r="75" spans="1:17" x14ac:dyDescent="0.4">
      <c r="A75" t="s">
        <v>208</v>
      </c>
      <c r="B75">
        <v>74</v>
      </c>
      <c r="C75">
        <v>183.84</v>
      </c>
    </row>
    <row r="76" spans="1:17" x14ac:dyDescent="0.4">
      <c r="A76" t="s">
        <v>209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210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215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MEAM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2025-04-17T06:43:20Z</dcterms:modified>
</cp:coreProperties>
</file>