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9FFED09-36BE-4137-BB56-C87BB6EB2E57}" xr6:coauthVersionLast="47" xr6:coauthVersionMax="47" xr10:uidLastSave="{00000000-0000-0000-0000-000000000000}"/>
  <bookViews>
    <workbookView xWindow="405" yWindow="15" windowWidth="25710" windowHeight="15780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F31" i="4"/>
  <c r="G31" i="4"/>
  <c r="H31" i="4"/>
  <c r="I31" i="4"/>
  <c r="J31" i="4"/>
  <c r="D31" i="4"/>
  <c r="E29" i="4"/>
  <c r="F29" i="4"/>
  <c r="G29" i="4"/>
  <c r="H29" i="4"/>
  <c r="I29" i="4"/>
  <c r="J29" i="4"/>
  <c r="D29" i="4"/>
  <c r="M30" i="4"/>
  <c r="L30" i="4"/>
  <c r="L31" i="4"/>
  <c r="M31" i="4"/>
  <c r="M29" i="4"/>
  <c r="L29" i="4"/>
  <c r="M37" i="4"/>
  <c r="M36" i="4"/>
  <c r="M35" i="4"/>
  <c r="L37" i="4"/>
  <c r="L36" i="4"/>
  <c r="L35" i="4"/>
  <c r="J30" i="4"/>
  <c r="I30" i="4"/>
  <c r="B19" i="4"/>
  <c r="B18" i="4"/>
  <c r="I24" i="4" s="1"/>
  <c r="G24" i="4"/>
  <c r="G35" i="4" s="1"/>
  <c r="F24" i="4"/>
  <c r="F35" i="4" s="1"/>
  <c r="M25" i="4"/>
  <c r="M26" i="4"/>
  <c r="L26" i="4"/>
  <c r="L25" i="4"/>
  <c r="M24" i="4"/>
  <c r="L24" i="4"/>
  <c r="N17" i="4"/>
  <c r="N7" i="4"/>
  <c r="D25" i="4" s="1"/>
  <c r="D36" i="4" s="1"/>
  <c r="H26" i="4"/>
  <c r="H24" i="4"/>
  <c r="H35" i="4" s="1"/>
  <c r="G26" i="4"/>
  <c r="G37" i="4" s="1"/>
  <c r="F36" i="4"/>
  <c r="E26" i="4"/>
  <c r="E37" i="4" s="1"/>
  <c r="E24" i="4"/>
  <c r="E35" i="4" s="1"/>
  <c r="D26" i="4"/>
  <c r="D37" i="4" s="1"/>
  <c r="D24" i="4"/>
  <c r="N16" i="4"/>
  <c r="K12" i="4"/>
  <c r="K13" i="4"/>
  <c r="E12" i="4"/>
  <c r="E13" i="4"/>
  <c r="K14" i="4"/>
  <c r="E14" i="4"/>
  <c r="N13" i="4"/>
  <c r="N6" i="4"/>
  <c r="F37" i="4" s="1"/>
  <c r="N5" i="4"/>
  <c r="E25" i="4" s="1"/>
  <c r="E36" i="4" s="1"/>
  <c r="N3" i="4"/>
  <c r="G25" i="4" s="1"/>
  <c r="G36" i="4" s="1"/>
  <c r="H19" i="4"/>
  <c r="J26" i="4" s="1"/>
  <c r="H18" i="4"/>
  <c r="I26" i="4" s="1"/>
  <c r="H17" i="4"/>
  <c r="H16" i="4"/>
  <c r="H15" i="4"/>
  <c r="H14" i="4"/>
  <c r="B15" i="4"/>
  <c r="B14" i="4"/>
  <c r="B17" i="4"/>
  <c r="B16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H37" i="4" l="1"/>
  <c r="D35" i="4"/>
  <c r="N20" i="4"/>
  <c r="I35" i="4"/>
  <c r="I37" i="4"/>
  <c r="J24" i="4"/>
  <c r="N19" i="4"/>
  <c r="N9" i="4" s="1"/>
  <c r="N14" i="4"/>
  <c r="N4" i="4" s="1"/>
  <c r="H25" i="4" s="1"/>
  <c r="H36" i="4" s="1"/>
  <c r="I36" i="4" s="1"/>
  <c r="K5" i="4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Q7" i="4" l="1"/>
  <c r="N10" i="4"/>
  <c r="J25" i="4" s="1"/>
  <c r="I25" i="4"/>
  <c r="Q5" i="4"/>
  <c r="Q3" i="4"/>
  <c r="N18" i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Q8" i="4" l="1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<sst xmlns="http://schemas.openxmlformats.org/spreadsheetml/2006/main" count="623" uniqueCount="150">
  <si>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</si>
  <si>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</si>
  <si>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</si>
  <si>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</si>
  <si>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</si>
  <si>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</si>
  <si>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</si>
  <si>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</si>
  <si>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</si>
  <si>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</si>
  <si>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</si>
  <si>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</si>
  <si>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</si>
  <si>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</si>
  <si>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</si>
  <si>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</si>
  <si>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</si>
  <si>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</si>
  <si>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</si>
  <si>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</si>
  <si>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</si>
  <si>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</si>
  <si>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</si>
  <si>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</si>
  <si>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</si>
  <si>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</si>
  <si>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</si>
  <si>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</si>
  <si>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</si>
  <si>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</si>
  <si>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</si>
  <si>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</si>
  <si>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</si>
  <si>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</si>
  <si>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</si>
  <si>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</si>
  <si>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</si>
  <si>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</si>
  <si>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</si>
  <si>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</si>
  <si>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</si>
  <si>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</si>
  <si>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</si>
  <si>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</si>
  <si>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</si>
  <si>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</si>
  <si>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</si>
  <si>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</si>
  <si>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</si>
  <si>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</si>
  <si>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</si>
  <si>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</si>
  <si>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</si>
  <si>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</si>
  <si>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</si>
  <si>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</si>
  <si>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</si>
  <si>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</si>
  <si>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</si>
  <si>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</si>
  <si>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</si>
  <si>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</si>
  <si>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</si>
  <si>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</si>
  <si>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</si>
  <si>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</si>
  <si>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</si>
  <si>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</si>
  <si>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</si>
  <si>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</si>
  <si>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</si>
  <si>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</si>
  <si>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</si>
  <si>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</si>
  <si>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</si>
  <si>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</si>
  <si>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</si>
  <si>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</si>
  <si>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</si>
  <si>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</si>
  <si>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</si>
  <si>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</si>
  <si>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</si>
  <si>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</si>
  <si>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</si>
  <si>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</si>
  <si>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</si>
  <si>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</si>
  <si>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</si>
  <si>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</si>
  <si>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</si>
  <si>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</si>
  <si>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</si>
  <si>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</si>
  <si>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</si>
  <si>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</si>
  <si>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</si>
  <si>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</si>
  <si>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</si>
  <si>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</si>
  <si>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tersoff (Albe, m=n=1)</t>
    <phoneticPr fontId="1"/>
  </si>
  <si>
    <t>smatb (TB-SMA)</t>
    <phoneticPr fontId="1"/>
  </si>
  <si>
    <t>Rcs</t>
    <phoneticPr fontId="1"/>
  </si>
  <si>
    <t>Rc</t>
    <phoneticPr fontId="1"/>
  </si>
  <si>
    <t>Good</t>
    <phoneticPr fontId="1"/>
  </si>
  <si>
    <t>soso</t>
    <phoneticPr fontId="1"/>
  </si>
  <si>
    <t>bad</t>
    <phoneticPr fontId="1"/>
  </si>
  <si>
    <t>Differences between groups in the periodic table</t>
    <phoneticPr fontId="1"/>
  </si>
  <si>
    <t>Note: Although the Tersoff mixing rule is used, the above results become unreliable when the groups are far apart in the periodic table.</t>
    <phoneticPr fontId="1"/>
  </si>
  <si>
    <t>e.g., Cu3Au, Fe-Mo</t>
    <phoneticPr fontId="1"/>
  </si>
  <si>
    <t>e.g., Ni3Al, Co-Mo</t>
    <phoneticPr fontId="1"/>
  </si>
  <si>
    <t>Note: If the periodic table groups are far apart, it is recommended to refit with the DFT results.</t>
    <phoneticPr fontId="1"/>
  </si>
  <si>
    <t>d(Group)</t>
    <phoneticPr fontId="1"/>
  </si>
  <si>
    <t>e.g., Ni-Sc, Cu-Re</t>
    <phoneticPr fontId="1"/>
  </si>
  <si>
    <t>Classification results compared with literature values.</t>
  </si>
  <si>
    <t>pair_coeff 1 1</t>
    <phoneticPr fontId="1"/>
  </si>
  <si>
    <t>pair_coeff 1 2</t>
    <phoneticPr fontId="1"/>
  </si>
  <si>
    <t>pair_coeff 2 2</t>
    <phoneticPr fontId="1"/>
  </si>
  <si>
    <t xml:space="preserve">pair_style smatb # </t>
    <phoneticPr fontId="1"/>
  </si>
  <si>
    <t>R0(A)</t>
    <phoneticPr fontId="1"/>
  </si>
  <si>
    <t xml:space="preserve">p </t>
    <phoneticPr fontId="1"/>
  </si>
  <si>
    <t xml:space="preserve">q     </t>
    <phoneticPr fontId="1"/>
  </si>
  <si>
    <t>A(eV)</t>
    <phoneticPr fontId="1"/>
  </si>
  <si>
    <t>xi(eV)</t>
    <phoneticPr fontId="1"/>
  </si>
  <si>
    <t xml:space="preserve"> Rcs(A)</t>
    <phoneticPr fontId="1"/>
  </si>
  <si>
    <t>Rc(A)</t>
  </si>
  <si>
    <t>compare with r0[A]</t>
    <phoneticPr fontId="1"/>
  </si>
  <si>
    <t>Same as r0 above</t>
  </si>
  <si>
    <t>Element</t>
    <phoneticPr fontId="1"/>
  </si>
  <si>
    <t>Mo</t>
    <phoneticPr fontId="1"/>
  </si>
  <si>
    <t>#</t>
    <phoneticPr fontId="1"/>
  </si>
  <si>
    <t>Fe</t>
    <phoneticPr fontId="1"/>
  </si>
  <si>
    <t>A</t>
    <phoneticPr fontId="1"/>
  </si>
  <si>
    <t>B</t>
    <phoneticPr fontId="1"/>
  </si>
  <si>
    <t>pair_coeff</t>
  </si>
  <si>
    <t>#</t>
  </si>
  <si>
    <t>Lammps script (Ref)</t>
    <phoneticPr fontId="1"/>
  </si>
  <si>
    <t>Error(%)</t>
    <phoneticPr fontId="1"/>
  </si>
  <si>
    <t>Differences (output - Ref)</t>
    <phoneticPr fontId="1"/>
  </si>
  <si>
    <t>Lammps script (output)</t>
    <phoneticPr fontId="1"/>
  </si>
  <si>
    <t>A atom</t>
    <phoneticPr fontId="1"/>
  </si>
  <si>
    <t>B atom</t>
    <phoneticPr fontId="1"/>
  </si>
  <si>
    <t>&lt;-input Reference data</t>
    <phoneticPr fontId="1"/>
  </si>
  <si>
    <t>i</t>
    <phoneticPr fontId="1"/>
  </si>
  <si>
    <t>j</t>
    <phoneticPr fontId="1"/>
  </si>
  <si>
    <t>i</t>
    <phoneticPr fontId="1"/>
  </si>
  <si>
    <t>j</t>
    <phoneticPr fontId="1"/>
  </si>
  <si>
    <t>Note: In Mo-Fe, the parameters only differ by 3% overall when the Tersoff mixing rule is applied to the TB-SMA.</t>
    <phoneticPr fontId="1"/>
  </si>
  <si>
    <t>&lt;- check differences</t>
    <phoneticPr fontId="1"/>
  </si>
  <si>
    <t>Note: This result shows why Tersoff's mixing rule is used.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</si>
</sst>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"/>
    <numFmt numFmtId="177" formatCode="0.000000"/>
    <numFmt numFmtId="178" formatCode="0.00000"/>
    <numFmt numFmtId="179" formatCode="0.0000"/>
    <numFmt numFmtId="180" formatCode="0.000"/>
    <numFmt numFmtId="188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9" fontId="0" fillId="0" borderId="2" xfId="0" applyNumberFormat="1" applyBorder="1">
      <alignment vertical="center"/>
    </xf>
    <xf numFmtId="0" fontId="0" fillId="0" borderId="9" xfId="0" applyBorder="1">
      <alignment vertical="center"/>
    </xf>
    <xf numFmtId="188" fontId="0" fillId="0" borderId="1" xfId="0" applyNumberFormat="1" applyBorder="1">
      <alignment vertical="center"/>
    </xf>
    <xf numFmtId="0" fontId="0" fillId="9" borderId="5" xfId="0" applyFill="1" applyBorder="1">
      <alignment vertical="center"/>
    </xf>
    <xf numFmtId="0" fontId="0" fillId="12" borderId="1" xfId="0" applyFill="1" applyBorder="1">
      <alignment vertical="center"/>
    </xf>
    <xf numFmtId="0" fontId="0" fillId="0" borderId="1" xfId="0" applyFill="1" applyBorder="1">
      <alignment vertical="center"/>
    </xf>
    <xf numFmtId="179" fontId="0" fillId="13" borderId="1" xfId="0" applyNumberFormat="1" applyFill="1" applyBorder="1">
      <alignment vertical="center"/>
    </xf>
    <xf numFmtId="188" fontId="0" fillId="14" borderId="1" xfId="0" applyNumberFormat="1" applyFill="1" applyBorder="1">
      <alignment vertical="center"/>
    </xf>
    <xf numFmtId="0" fontId="0" fillId="14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188" fontId="0" fillId="15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39"/>
  <sheetViews>
    <sheetView tabSelected="1" topLeftCell="A13" workbookViewId="0">
      <selection activeCell="N38" sqref="N38"/>
    </sheetView>
  </sheetViews>
  <sheetFormatPr defaultRowHeight="18.75" x14ac:dyDescent="0.4"/>
  <cols>
    <col min="1" max="1" width="11.5" bestFit="1" customWidth="1"/>
    <col min="2" max="2" width="9.625" customWidth="1"/>
    <col min="3" max="3" width="10.25" customWidth="1"/>
    <col min="4" max="4" width="10.625" bestFit="1" customWidth="1"/>
    <col min="5" max="5" width="10.25" customWidth="1"/>
    <col min="6" max="6" width="10.375" bestFit="1" customWidth="1"/>
    <col min="7" max="7" width="11.625" customWidth="1"/>
    <col min="8" max="8" width="10" customWidth="1"/>
    <col min="9" max="9" width="10.375" bestFit="1" customWidth="1"/>
    <col min="11" max="11" width="9.125" customWidth="1"/>
    <col min="12" max="12" width="10.375" bestFit="1" customWidth="1"/>
    <col min="17" max="17" width="9.125" customWidth="1"/>
  </cols>
  <sheetData>
    <row r="1" spans="1:17" x14ac:dyDescent="0.4">
      <c r="A1" s="1" t="s">
        <v>101</v>
      </c>
      <c r="D1" s="1" t="s">
        <v>100</v>
      </c>
      <c r="G1" s="1" t="s">
        <v>101</v>
      </c>
      <c r="J1" s="1" t="s">
        <v>100</v>
      </c>
      <c r="M1" s="1" t="s">
        <v>101</v>
      </c>
      <c r="N1" t="s">
        <v>98</v>
      </c>
      <c r="P1" s="1" t="s">
        <v>100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5" t="s">
        <v>128</v>
      </c>
      <c r="B3" s="1" t="s">
        <v>129</v>
      </c>
      <c r="D3" s="27" t="s">
        <v>8</v>
      </c>
      <c r="E3" s="1">
        <f>B16*(B14-1)*EXP(E12*B8)</f>
        <v>439655.60148220591</v>
      </c>
      <c r="G3" s="3" t="s">
        <v>128</v>
      </c>
      <c r="H3" s="1" t="s">
        <v>131</v>
      </c>
      <c r="J3" s="26" t="s">
        <v>8</v>
      </c>
      <c r="K3" s="1">
        <f>H16*(H14-1)*EXP(K12*H8)</f>
        <v>386021.57186034479</v>
      </c>
      <c r="M3" s="28" t="s">
        <v>88</v>
      </c>
      <c r="N3" s="13">
        <f>SQRT(B4*H4)</f>
        <v>0.16493194050880502</v>
      </c>
      <c r="P3" s="28" t="s">
        <v>8</v>
      </c>
      <c r="Q3" s="1">
        <f>H10*SQRT(E3*K3)</f>
        <v>411966.68113012059</v>
      </c>
    </row>
    <row r="4" spans="1:17" x14ac:dyDescent="0.4">
      <c r="A4" s="2" t="s">
        <v>88</v>
      </c>
      <c r="B4" s="13">
        <v>0.20430000000000001</v>
      </c>
      <c r="D4" s="27" t="s">
        <v>18</v>
      </c>
      <c r="E4" s="1">
        <v>0</v>
      </c>
      <c r="G4" s="3" t="s">
        <v>88</v>
      </c>
      <c r="H4" s="13">
        <v>0.13314999999999999</v>
      </c>
      <c r="J4" s="26" t="s">
        <v>18</v>
      </c>
      <c r="K4" s="1">
        <v>0</v>
      </c>
      <c r="M4" s="28" t="s">
        <v>89</v>
      </c>
      <c r="N4" s="13">
        <f>N14*SQRT(B5*H5)</f>
        <v>1.9406782843285917</v>
      </c>
      <c r="P4" s="28" t="s">
        <v>18</v>
      </c>
      <c r="Q4" s="1">
        <v>0</v>
      </c>
    </row>
    <row r="5" spans="1:17" x14ac:dyDescent="0.4">
      <c r="A5" s="2" t="s">
        <v>89</v>
      </c>
      <c r="B5" s="13">
        <v>2.5097</v>
      </c>
      <c r="D5" s="27" t="s">
        <v>9</v>
      </c>
      <c r="E5" s="12">
        <f>B14*B16/(B14-1)*EXP(E13*B8)</f>
        <v>49.501798809849447</v>
      </c>
      <c r="G5" s="3" t="s">
        <v>89</v>
      </c>
      <c r="H5" s="13">
        <v>1.6178999999999999</v>
      </c>
      <c r="J5" s="26" t="s">
        <v>9</v>
      </c>
      <c r="K5" s="12">
        <f>H14*H16/(H14-1)*EXP(K13*H8)</f>
        <v>62.602781860132446</v>
      </c>
      <c r="M5" s="28" t="s">
        <v>90</v>
      </c>
      <c r="N5" s="13">
        <f>(B6+H6)/2</f>
        <v>10.2577</v>
      </c>
      <c r="P5" s="28" t="s">
        <v>9</v>
      </c>
      <c r="Q5" s="12">
        <f>H11*SQRT(E5*K5)</f>
        <v>55.668216358862878</v>
      </c>
    </row>
    <row r="6" spans="1:17" x14ac:dyDescent="0.4">
      <c r="A6" s="2" t="s">
        <v>90</v>
      </c>
      <c r="B6" s="13">
        <v>10.0154</v>
      </c>
      <c r="D6" s="27" t="s">
        <v>2</v>
      </c>
      <c r="E6" s="1">
        <v>1</v>
      </c>
      <c r="G6" s="3" t="s">
        <v>90</v>
      </c>
      <c r="H6" s="13">
        <v>10.5</v>
      </c>
      <c r="J6" s="26" t="s">
        <v>2</v>
      </c>
      <c r="K6" s="1">
        <v>1</v>
      </c>
      <c r="M6" s="28" t="s">
        <v>91</v>
      </c>
      <c r="N6" s="13">
        <f>(B7+H7)/2</f>
        <v>2.3255499999999998</v>
      </c>
      <c r="P6" s="28" t="s">
        <v>2</v>
      </c>
      <c r="Q6" s="1">
        <f>E6</f>
        <v>1</v>
      </c>
    </row>
    <row r="7" spans="1:17" x14ac:dyDescent="0.4">
      <c r="A7" s="2" t="s">
        <v>91</v>
      </c>
      <c r="B7" s="13">
        <v>2.0510999999999999</v>
      </c>
      <c r="D7" s="27" t="s">
        <v>14</v>
      </c>
      <c r="E7" s="11">
        <f>(B19-B18)/2</f>
        <v>0.14838501452911257</v>
      </c>
      <c r="G7" s="3" t="s">
        <v>91</v>
      </c>
      <c r="H7" s="13">
        <v>2.6</v>
      </c>
      <c r="J7" s="26" t="s">
        <v>14</v>
      </c>
      <c r="K7" s="11">
        <f>(H19-H18)/2</f>
        <v>0.1390037581524326</v>
      </c>
      <c r="M7" s="28" t="s">
        <v>92</v>
      </c>
      <c r="N7" s="13">
        <f>(B6+H6)/(B6/B8+H6/H8)</f>
        <v>2.6343065595537825</v>
      </c>
      <c r="P7" s="28" t="s">
        <v>14</v>
      </c>
      <c r="Q7" s="11">
        <f>(N20-N19)/2</f>
        <v>0.14361780764602261</v>
      </c>
    </row>
    <row r="8" spans="1:17" x14ac:dyDescent="0.4">
      <c r="A8" s="2" t="s">
        <v>92</v>
      </c>
      <c r="B8" s="13">
        <v>2.7252999999999998</v>
      </c>
      <c r="D8" s="27" t="s">
        <v>15</v>
      </c>
      <c r="E8" s="11">
        <f>(B19+B18)/2</f>
        <v>4.0950409853813587</v>
      </c>
      <c r="G8" s="3" t="s">
        <v>92</v>
      </c>
      <c r="H8" s="13">
        <v>2.5529999999999999</v>
      </c>
      <c r="J8" s="26" t="s">
        <v>15</v>
      </c>
      <c r="K8" s="11">
        <f>(H19+H18)/2</f>
        <v>3.8361426762846689</v>
      </c>
      <c r="P8" s="28" t="s">
        <v>15</v>
      </c>
      <c r="Q8" s="11">
        <f>(N19+N20)/2</f>
        <v>3.9634784577636157</v>
      </c>
    </row>
    <row r="9" spans="1:17" x14ac:dyDescent="0.4">
      <c r="D9" s="27" t="s">
        <v>17</v>
      </c>
      <c r="E9" s="1">
        <v>0</v>
      </c>
      <c r="H9" s="1" t="s">
        <v>23</v>
      </c>
      <c r="J9" s="26" t="s">
        <v>17</v>
      </c>
      <c r="K9" s="1">
        <v>0</v>
      </c>
      <c r="M9" s="28" t="s">
        <v>102</v>
      </c>
      <c r="N9" s="1">
        <f>N19</f>
        <v>3.8198606501175933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22</v>
      </c>
      <c r="H10" s="1">
        <v>1</v>
      </c>
      <c r="J10" s="26" t="s">
        <v>6</v>
      </c>
      <c r="K10" s="1">
        <v>1</v>
      </c>
      <c r="M10" s="28" t="s">
        <v>103</v>
      </c>
      <c r="N10" s="1">
        <f>N9+1</f>
        <v>4.8198606501175938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G11" s="3" t="s">
        <v>80</v>
      </c>
      <c r="H11" s="1">
        <v>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D12" s="27" t="s">
        <v>11</v>
      </c>
      <c r="E12" s="11">
        <f>B6/B8</f>
        <v>3.6749715627637327</v>
      </c>
      <c r="J12" s="26" t="s">
        <v>11</v>
      </c>
      <c r="K12" s="11">
        <f>H6/H8</f>
        <v>4.1128084606345476</v>
      </c>
      <c r="N12" s="1" t="s">
        <v>28</v>
      </c>
      <c r="P12" s="28" t="s">
        <v>11</v>
      </c>
      <c r="Q12" s="11">
        <f>(E12+K12)/2</f>
        <v>3.8938900116991402</v>
      </c>
    </row>
    <row r="13" spans="1:17" x14ac:dyDescent="0.4">
      <c r="A13" s="1" t="s">
        <v>87</v>
      </c>
      <c r="B13" s="1" t="s">
        <v>95</v>
      </c>
      <c r="D13" s="27" t="s">
        <v>12</v>
      </c>
      <c r="E13" s="11">
        <f>B7/B8</f>
        <v>0.75261439107621186</v>
      </c>
      <c r="G13" s="1" t="s">
        <v>87</v>
      </c>
      <c r="H13" s="1" t="s">
        <v>95</v>
      </c>
      <c r="J13" s="26" t="s">
        <v>12</v>
      </c>
      <c r="K13" s="11">
        <f>H7/H8</f>
        <v>1.018409714061888</v>
      </c>
      <c r="M13" s="28" t="s">
        <v>22</v>
      </c>
      <c r="N13" s="1">
        <f>H10</f>
        <v>1</v>
      </c>
      <c r="P13" s="28" t="s">
        <v>12</v>
      </c>
      <c r="Q13" s="11">
        <f>(E13+K13)/2</f>
        <v>0.88551205256904986</v>
      </c>
    </row>
    <row r="14" spans="1:17" x14ac:dyDescent="0.4">
      <c r="A14" s="24" t="s">
        <v>0</v>
      </c>
      <c r="B14" s="1">
        <f>B6/B7</f>
        <v>4.8829408610014138</v>
      </c>
      <c r="D14" s="27" t="s">
        <v>10</v>
      </c>
      <c r="E14" s="11">
        <f>2*B7/B8</f>
        <v>1.5052287821524237</v>
      </c>
      <c r="G14" s="25" t="s">
        <v>0</v>
      </c>
      <c r="H14" s="1">
        <f>H6/H7</f>
        <v>4.0384615384615383</v>
      </c>
      <c r="J14" s="26" t="s">
        <v>10</v>
      </c>
      <c r="K14" s="11">
        <f>2*H7/B8</f>
        <v>1.9080468205335195</v>
      </c>
      <c r="M14" s="28" t="s">
        <v>80</v>
      </c>
      <c r="N14" s="1">
        <f>H11*EXP(2*N6*N16)/EXP(2*N6*N7)</f>
        <v>0.96308984457091995</v>
      </c>
      <c r="P14" s="28" t="s">
        <v>10</v>
      </c>
      <c r="Q14" s="11">
        <f>(E14+K14)/2</f>
        <v>1.7066378013429717</v>
      </c>
    </row>
    <row r="15" spans="1:17" x14ac:dyDescent="0.4">
      <c r="A15" s="24" t="s">
        <v>1</v>
      </c>
      <c r="B15" s="1">
        <f>(1/B8)*SQRT(B6*B7/2)</f>
        <v>1.1759754429689044</v>
      </c>
      <c r="D15" s="27" t="s">
        <v>20</v>
      </c>
      <c r="E15" s="1">
        <v>1</v>
      </c>
      <c r="G15" s="25" t="s">
        <v>1</v>
      </c>
      <c r="H15" s="1">
        <f>(1/H8)*SQRT(H6*H7/2)</f>
        <v>1.4471565375566915</v>
      </c>
      <c r="J15" s="26" t="s">
        <v>20</v>
      </c>
      <c r="K15" s="1">
        <v>1</v>
      </c>
      <c r="P15" s="28" t="s">
        <v>20</v>
      </c>
      <c r="Q15" s="1">
        <v>1</v>
      </c>
    </row>
    <row r="16" spans="1:17" x14ac:dyDescent="0.4">
      <c r="A16" s="24" t="s">
        <v>93</v>
      </c>
      <c r="B16" s="1">
        <f>2*B5*(1-B7/B6)*((B4*B6)/(B5*B7))^(B7/(B7-B6))</f>
        <v>5.0619619996052698</v>
      </c>
      <c r="G16" s="25" t="s">
        <v>93</v>
      </c>
      <c r="H16" s="1">
        <f>2*H5*(1-H7/H6)*((H4*H6)/(H5*H7))^(H7/(H7-H6))</f>
        <v>3.4983702531328653</v>
      </c>
      <c r="M16" s="29" t="s">
        <v>99</v>
      </c>
      <c r="N16" s="13">
        <f>(B7+H7)/(B7/B8+H7/H8)</f>
        <v>2.6262206067699565</v>
      </c>
      <c r="O16" t="s">
        <v>126</v>
      </c>
    </row>
    <row r="17" spans="1:17" x14ac:dyDescent="0.4">
      <c r="A17" s="24" t="s">
        <v>94</v>
      </c>
      <c r="B17" s="1">
        <f>(1+LN((B4*B6)/(B5*B7))*(1/(B6-B7)))*B8</f>
        <v>2.409602337722291</v>
      </c>
      <c r="G17" s="25" t="s">
        <v>94</v>
      </c>
      <c r="H17" s="1">
        <f>(1+LN((H4*H6)/(H5*H7))*(1/(H6-H7)))*H8</f>
        <v>2.1970199674216602</v>
      </c>
      <c r="M17" s="28" t="s">
        <v>92</v>
      </c>
      <c r="N17" s="13">
        <f>(B6+H6)/(B6/B8+H6/H8)</f>
        <v>2.6343065595537825</v>
      </c>
      <c r="O17" t="s">
        <v>127</v>
      </c>
    </row>
    <row r="18" spans="1:17" x14ac:dyDescent="0.4">
      <c r="A18" s="24" t="s">
        <v>97</v>
      </c>
      <c r="B18" s="1">
        <f>SQRT(2)*1.024*B8</f>
        <v>3.946655970852246</v>
      </c>
      <c r="G18" s="25" t="s">
        <v>97</v>
      </c>
      <c r="H18" s="1">
        <f>SQRT(2)*1.024*H8</f>
        <v>3.6971389181322363</v>
      </c>
    </row>
    <row r="19" spans="1:17" x14ac:dyDescent="0.4">
      <c r="A19" s="24" t="s">
        <v>96</v>
      </c>
      <c r="B19" s="1">
        <f>SQRT(2)*1.101*B8</f>
        <v>4.2434259999104711</v>
      </c>
      <c r="G19" s="25" t="s">
        <v>96</v>
      </c>
      <c r="H19" s="1">
        <f>SQRT(2)*1.101*H8</f>
        <v>3.9751464344371015</v>
      </c>
      <c r="M19" s="29" t="s">
        <v>97</v>
      </c>
      <c r="N19" s="1">
        <f>SQRT(B18*H18)</f>
        <v>3.8198606501175933</v>
      </c>
    </row>
    <row r="20" spans="1:17" x14ac:dyDescent="0.4">
      <c r="M20" s="29" t="s">
        <v>96</v>
      </c>
      <c r="N20" s="1">
        <f>SQRT(B19*H19)</f>
        <v>4.1070962654096386</v>
      </c>
    </row>
    <row r="22" spans="1:17" x14ac:dyDescent="0.4">
      <c r="C22" s="37" t="s">
        <v>139</v>
      </c>
      <c r="D22" s="31"/>
      <c r="E22" s="31"/>
      <c r="F22" s="31"/>
      <c r="G22" s="31"/>
      <c r="H22" s="31"/>
      <c r="I22" s="31"/>
      <c r="J22" s="31"/>
      <c r="K22" s="31"/>
      <c r="L22" s="31"/>
      <c r="M22" s="32"/>
      <c r="O22" t="s">
        <v>107</v>
      </c>
      <c r="P22" t="s">
        <v>108</v>
      </c>
    </row>
    <row r="23" spans="1:17" x14ac:dyDescent="0.4">
      <c r="C23" s="9" t="s">
        <v>118</v>
      </c>
      <c r="D23" t="s">
        <v>119</v>
      </c>
      <c r="E23" t="s">
        <v>120</v>
      </c>
      <c r="F23" t="s">
        <v>121</v>
      </c>
      <c r="G23" t="s">
        <v>122</v>
      </c>
      <c r="H23" t="s">
        <v>123</v>
      </c>
      <c r="I23" t="s">
        <v>124</v>
      </c>
      <c r="J23" t="s">
        <v>125</v>
      </c>
      <c r="K23" t="s">
        <v>130</v>
      </c>
      <c r="L23" t="s">
        <v>132</v>
      </c>
      <c r="M23" s="33" t="s">
        <v>133</v>
      </c>
      <c r="P23" t="s">
        <v>112</v>
      </c>
      <c r="Q23" t="s">
        <v>114</v>
      </c>
    </row>
    <row r="24" spans="1:17" x14ac:dyDescent="0.4">
      <c r="C24" s="9" t="s">
        <v>115</v>
      </c>
      <c r="D24" s="17">
        <f>B8</f>
        <v>2.7252999999999998</v>
      </c>
      <c r="E24" s="17">
        <f>B6</f>
        <v>10.0154</v>
      </c>
      <c r="F24" s="17">
        <f>B7</f>
        <v>2.0510999999999999</v>
      </c>
      <c r="G24" s="17">
        <f>B4</f>
        <v>0.20430000000000001</v>
      </c>
      <c r="H24" s="17">
        <f>B5</f>
        <v>2.5097</v>
      </c>
      <c r="I24" s="17">
        <f>B18</f>
        <v>3.946655970852246</v>
      </c>
      <c r="J24" s="17">
        <f>B19</f>
        <v>4.2434259999104711</v>
      </c>
      <c r="K24" t="s">
        <v>130</v>
      </c>
      <c r="L24" t="str">
        <f>B3</f>
        <v>Mo</v>
      </c>
      <c r="M24" s="33" t="str">
        <f>B3</f>
        <v>Mo</v>
      </c>
      <c r="O24" s="29" t="s">
        <v>104</v>
      </c>
      <c r="P24" s="1">
        <v>0</v>
      </c>
      <c r="Q24" t="s">
        <v>109</v>
      </c>
    </row>
    <row r="25" spans="1:17" x14ac:dyDescent="0.4">
      <c r="C25" s="9" t="s">
        <v>116</v>
      </c>
      <c r="D25" s="17">
        <f>N7</f>
        <v>2.6343065595537825</v>
      </c>
      <c r="E25" s="17">
        <f>N5</f>
        <v>10.2577</v>
      </c>
      <c r="F25" s="17">
        <v>2.0510999999999999</v>
      </c>
      <c r="G25" s="17">
        <f>N3</f>
        <v>0.16493194050880502</v>
      </c>
      <c r="H25" s="17">
        <f>N4</f>
        <v>1.9406782843285917</v>
      </c>
      <c r="I25" s="17">
        <f>N9</f>
        <v>3.8198606501175933</v>
      </c>
      <c r="J25" s="17">
        <f>N10</f>
        <v>4.8198606501175938</v>
      </c>
      <c r="K25" t="s">
        <v>130</v>
      </c>
      <c r="L25" t="str">
        <f>B3</f>
        <v>Mo</v>
      </c>
      <c r="M25" s="33" t="str">
        <f>H3</f>
        <v>Fe</v>
      </c>
      <c r="O25" s="30" t="s">
        <v>105</v>
      </c>
      <c r="P25" s="1">
        <v>4</v>
      </c>
      <c r="Q25" t="s">
        <v>110</v>
      </c>
    </row>
    <row r="26" spans="1:17" x14ac:dyDescent="0.4">
      <c r="C26" s="8" t="s">
        <v>117</v>
      </c>
      <c r="D26" s="34">
        <f>H8</f>
        <v>2.5529999999999999</v>
      </c>
      <c r="E26" s="34">
        <f>H6</f>
        <v>10.5</v>
      </c>
      <c r="F26" s="34">
        <v>2.6</v>
      </c>
      <c r="G26" s="34">
        <f>H4</f>
        <v>0.13314999999999999</v>
      </c>
      <c r="H26" s="34">
        <f>H5</f>
        <v>1.6178999999999999</v>
      </c>
      <c r="I26" s="34">
        <f>H18</f>
        <v>3.6971389181322363</v>
      </c>
      <c r="J26" s="34">
        <f>H19</f>
        <v>3.9751464344371015</v>
      </c>
      <c r="K26" s="6" t="s">
        <v>130</v>
      </c>
      <c r="L26" s="6" t="str">
        <f>H3</f>
        <v>Fe</v>
      </c>
      <c r="M26" s="35" t="str">
        <f>H3</f>
        <v>Fe</v>
      </c>
      <c r="O26" s="27" t="s">
        <v>106</v>
      </c>
      <c r="P26" s="1">
        <v>8</v>
      </c>
      <c r="Q26" t="s">
        <v>113</v>
      </c>
    </row>
    <row r="27" spans="1:17" x14ac:dyDescent="0.4">
      <c r="O27" t="s">
        <v>111</v>
      </c>
    </row>
    <row r="28" spans="1:17" x14ac:dyDescent="0.4">
      <c r="A28" s="38" t="s">
        <v>136</v>
      </c>
      <c r="B28" s="1" t="s">
        <v>143</v>
      </c>
      <c r="C28" s="1" t="s">
        <v>144</v>
      </c>
      <c r="D28" s="1" t="s">
        <v>119</v>
      </c>
      <c r="E28" s="1" t="s">
        <v>120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125</v>
      </c>
      <c r="K28" s="1" t="s">
        <v>130</v>
      </c>
      <c r="L28" s="1" t="s">
        <v>145</v>
      </c>
      <c r="M28" s="1" t="s">
        <v>146</v>
      </c>
    </row>
    <row r="29" spans="1:17" x14ac:dyDescent="0.4">
      <c r="A29" s="1" t="s">
        <v>134</v>
      </c>
      <c r="B29" s="1">
        <v>1</v>
      </c>
      <c r="C29" s="1">
        <v>1</v>
      </c>
      <c r="D29" s="13">
        <f>D24</f>
        <v>2.7252999999999998</v>
      </c>
      <c r="E29" s="13">
        <f t="shared" ref="E29:J29" si="0">E24</f>
        <v>10.0154</v>
      </c>
      <c r="F29" s="13">
        <f t="shared" si="0"/>
        <v>2.0510999999999999</v>
      </c>
      <c r="G29" s="13">
        <f t="shared" si="0"/>
        <v>0.20430000000000001</v>
      </c>
      <c r="H29" s="13">
        <f t="shared" si="0"/>
        <v>2.5097</v>
      </c>
      <c r="I29" s="13">
        <f t="shared" si="0"/>
        <v>3.946655970852246</v>
      </c>
      <c r="J29" s="13">
        <f t="shared" si="0"/>
        <v>4.2434259999104711</v>
      </c>
      <c r="K29" s="1" t="s">
        <v>135</v>
      </c>
      <c r="L29" s="1" t="str">
        <f>L24</f>
        <v>Mo</v>
      </c>
      <c r="M29" s="1" t="str">
        <f>M24</f>
        <v>Mo</v>
      </c>
    </row>
    <row r="30" spans="1:17" x14ac:dyDescent="0.4">
      <c r="A30" s="1" t="s">
        <v>134</v>
      </c>
      <c r="B30" s="1">
        <v>1</v>
      </c>
      <c r="C30" s="1">
        <v>2</v>
      </c>
      <c r="D30" s="40">
        <v>2.6391</v>
      </c>
      <c r="E30" s="40">
        <v>10.257</v>
      </c>
      <c r="F30" s="40">
        <v>2.3254999999999999</v>
      </c>
      <c r="G30" s="40">
        <v>0.16492999999999999</v>
      </c>
      <c r="H30" s="40">
        <v>2.0150000000000001</v>
      </c>
      <c r="I30" s="40">
        <f t="shared" ref="I30:I31" si="1">SQRT(2)*1.024*D30</f>
        <v>3.8218250367578479</v>
      </c>
      <c r="J30" s="40">
        <f>SQRT(2)*1.101*D30</f>
        <v>4.109208364717178</v>
      </c>
      <c r="K30" s="1" t="s">
        <v>135</v>
      </c>
      <c r="L30" s="1" t="str">
        <f t="shared" ref="L30:M30" si="2">L25</f>
        <v>Mo</v>
      </c>
      <c r="M30" s="1" t="str">
        <f>M25</f>
        <v>Fe</v>
      </c>
      <c r="N30" t="s">
        <v>142</v>
      </c>
    </row>
    <row r="31" spans="1:17" x14ac:dyDescent="0.4">
      <c r="A31" s="1" t="s">
        <v>134</v>
      </c>
      <c r="B31" s="1">
        <v>2</v>
      </c>
      <c r="C31" s="1">
        <v>2</v>
      </c>
      <c r="D31" s="13">
        <f>D26</f>
        <v>2.5529999999999999</v>
      </c>
      <c r="E31" s="13">
        <f t="shared" ref="E31:J31" si="3">E26</f>
        <v>10.5</v>
      </c>
      <c r="F31" s="13">
        <f t="shared" si="3"/>
        <v>2.6</v>
      </c>
      <c r="G31" s="13">
        <f t="shared" si="3"/>
        <v>0.13314999999999999</v>
      </c>
      <c r="H31" s="13">
        <f t="shared" si="3"/>
        <v>1.6178999999999999</v>
      </c>
      <c r="I31" s="13">
        <f t="shared" si="3"/>
        <v>3.6971389181322363</v>
      </c>
      <c r="J31" s="13">
        <f t="shared" si="3"/>
        <v>3.9751464344371015</v>
      </c>
      <c r="K31" s="1" t="s">
        <v>135</v>
      </c>
      <c r="L31" s="1" t="str">
        <f t="shared" ref="L31:M31" si="4">L26</f>
        <v>Fe</v>
      </c>
      <c r="M31" s="1" t="str">
        <f t="shared" si="4"/>
        <v>Fe</v>
      </c>
    </row>
    <row r="33" spans="3:13" x14ac:dyDescent="0.4">
      <c r="C33" s="28" t="s">
        <v>138</v>
      </c>
      <c r="D33" s="1"/>
      <c r="E33" s="1"/>
      <c r="F33" s="1"/>
      <c r="G33" s="1"/>
      <c r="H33" s="1"/>
      <c r="I33" s="1"/>
      <c r="J33" s="1"/>
      <c r="K33" s="1"/>
      <c r="L33" s="1" t="s">
        <v>140</v>
      </c>
      <c r="M33" s="1" t="s">
        <v>141</v>
      </c>
    </row>
    <row r="34" spans="3:13" x14ac:dyDescent="0.4">
      <c r="C34" s="9" t="s">
        <v>118</v>
      </c>
      <c r="D34" s="1" t="s">
        <v>119</v>
      </c>
      <c r="E34" s="1" t="s">
        <v>120</v>
      </c>
      <c r="F34" s="1" t="s">
        <v>121</v>
      </c>
      <c r="G34" s="1" t="s">
        <v>122</v>
      </c>
      <c r="H34" s="1" t="s">
        <v>123</v>
      </c>
      <c r="I34" s="42" t="s">
        <v>137</v>
      </c>
      <c r="J34" s="1"/>
      <c r="K34" s="1"/>
      <c r="L34" s="39" t="s">
        <v>143</v>
      </c>
      <c r="M34" s="39" t="s">
        <v>144</v>
      </c>
    </row>
    <row r="35" spans="3:13" x14ac:dyDescent="0.4">
      <c r="C35" s="9" t="s">
        <v>115</v>
      </c>
      <c r="D35" s="36">
        <f>D24-D29</f>
        <v>0</v>
      </c>
      <c r="E35" s="36">
        <f>E24-E29</f>
        <v>0</v>
      </c>
      <c r="F35" s="36">
        <f>F24-F29</f>
        <v>0</v>
      </c>
      <c r="G35" s="36">
        <f>G24-G29</f>
        <v>0</v>
      </c>
      <c r="H35" s="36">
        <f>H24-H29</f>
        <v>0</v>
      </c>
      <c r="I35" s="41">
        <f>(D35/D29+E35/E29+F35/F29+G35/G29+H35/H29)/5*100</f>
        <v>0</v>
      </c>
      <c r="J35" s="36"/>
      <c r="K35" s="36"/>
      <c r="L35" s="1" t="str">
        <f>L24</f>
        <v>Mo</v>
      </c>
      <c r="M35" s="39" t="str">
        <f>M24</f>
        <v>Mo</v>
      </c>
    </row>
    <row r="36" spans="3:13" x14ac:dyDescent="0.4">
      <c r="C36" s="9" t="s">
        <v>116</v>
      </c>
      <c r="D36" s="41">
        <f>D25-D30</f>
        <v>-4.7934404462175451E-3</v>
      </c>
      <c r="E36" s="41">
        <f>E25-E30</f>
        <v>7.0000000000014495E-4</v>
      </c>
      <c r="F36" s="41">
        <f>F25-F30</f>
        <v>-0.27439999999999998</v>
      </c>
      <c r="G36" s="41">
        <f>G25-G30</f>
        <v>1.9405088050317154E-6</v>
      </c>
      <c r="H36" s="41">
        <f>H25-H30</f>
        <v>-7.4321715671408439E-2</v>
      </c>
      <c r="I36" s="45">
        <f>(D36/D30+E36/E30+F36/F30+G36/G30+H36/H30)/5*100</f>
        <v>-3.1323332122981773</v>
      </c>
      <c r="J36" t="s">
        <v>148</v>
      </c>
      <c r="K36" s="36"/>
      <c r="L36" s="1" t="str">
        <f>L25</f>
        <v>Mo</v>
      </c>
      <c r="M36" s="39" t="str">
        <f>M25</f>
        <v>Fe</v>
      </c>
    </row>
    <row r="37" spans="3:13" x14ac:dyDescent="0.4">
      <c r="C37" s="8" t="s">
        <v>117</v>
      </c>
      <c r="D37" s="36">
        <f>D26-D31</f>
        <v>0</v>
      </c>
      <c r="E37" s="36">
        <f>E26-E31</f>
        <v>0</v>
      </c>
      <c r="F37" s="36">
        <f>F26-F31</f>
        <v>0</v>
      </c>
      <c r="G37" s="36">
        <f>G26-G31</f>
        <v>0</v>
      </c>
      <c r="H37" s="36">
        <f>H26-H31</f>
        <v>0</v>
      </c>
      <c r="I37" s="41">
        <f>(D37/D31+E37/E31+F37/F31+G37/G31+H37/H31)/5*100</f>
        <v>0</v>
      </c>
      <c r="J37" s="36"/>
      <c r="K37" s="36"/>
      <c r="L37" s="1" t="str">
        <f>L26</f>
        <v>Fe</v>
      </c>
      <c r="M37" s="39" t="str">
        <f>M26</f>
        <v>Fe</v>
      </c>
    </row>
    <row r="38" spans="3:13" x14ac:dyDescent="0.4">
      <c r="C38" s="44" t="s">
        <v>147</v>
      </c>
    </row>
    <row r="39" spans="3:13" x14ac:dyDescent="0.4">
      <c r="C39" s="43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2024-11-11T10:31:33Z</dcterms:modified>
</cp:coreProperties>
</file>