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ngho Oh\Desktop\2NNMEAM\"/>
    </mc:Choice>
  </mc:AlternateContent>
  <bookViews>
    <workbookView xWindow="0" yWindow="0" windowWidth="28800" windowHeight="12180" activeTab="2"/>
  </bookViews>
  <sheets>
    <sheet name="Library" sheetId="2" r:id="rId1"/>
    <sheet name="Meam-Unary" sheetId="4" r:id="rId2"/>
    <sheet name="Meam-Binary" sheetId="6" r:id="rId3"/>
  </sheets>
  <calcPr calcId="162913"/>
</workbook>
</file>

<file path=xl/calcChain.xml><?xml version="1.0" encoding="utf-8"?>
<calcChain xmlns="http://schemas.openxmlformats.org/spreadsheetml/2006/main">
  <c r="C7" i="4" l="1"/>
  <c r="K2" i="6" l="1"/>
  <c r="R2" i="6"/>
  <c r="Q2" i="6"/>
  <c r="O2" i="6"/>
  <c r="N2" i="6"/>
  <c r="M2" i="6" l="1"/>
  <c r="P2" i="6"/>
  <c r="L2" i="6" s="1"/>
  <c r="C10" i="6"/>
  <c r="C8" i="6"/>
  <c r="C7" i="6"/>
  <c r="C5" i="6"/>
  <c r="A49" i="6"/>
  <c r="C49" i="6" s="1"/>
  <c r="A46" i="6"/>
  <c r="A48" i="6" s="1"/>
  <c r="C48" i="6" s="1"/>
  <c r="A45" i="6"/>
  <c r="A47" i="6" s="1"/>
  <c r="C47" i="6" s="1"/>
  <c r="A44" i="6"/>
  <c r="C44" i="6" s="1"/>
  <c r="A43" i="6"/>
  <c r="C43" i="6" s="1"/>
  <c r="A40" i="6"/>
  <c r="A42" i="6" s="1"/>
  <c r="C42" i="6" s="1"/>
  <c r="A39" i="6"/>
  <c r="A41" i="6" s="1"/>
  <c r="C41" i="6" s="1"/>
  <c r="A38" i="6"/>
  <c r="C38" i="6" s="1"/>
  <c r="A37" i="6"/>
  <c r="C37" i="6" s="1"/>
  <c r="A36" i="6"/>
  <c r="C36" i="6" s="1"/>
  <c r="A35" i="6"/>
  <c r="C35" i="6" s="1"/>
  <c r="A31" i="6"/>
  <c r="C31" i="6" s="1"/>
  <c r="A30" i="6"/>
  <c r="C30" i="6" s="1"/>
  <c r="A26" i="6"/>
  <c r="C26" i="6" s="1"/>
  <c r="C28" i="6"/>
  <c r="C45" i="6"/>
  <c r="C29" i="6"/>
  <c r="C19" i="6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7" i="6"/>
  <c r="C17" i="6" s="1"/>
  <c r="A16" i="6"/>
  <c r="A15" i="6"/>
  <c r="C15" i="6" s="1"/>
  <c r="A14" i="6"/>
  <c r="C14" i="6" s="1"/>
  <c r="A13" i="6"/>
  <c r="C13" i="6" s="1"/>
  <c r="A12" i="6"/>
  <c r="C12" i="6" s="1"/>
  <c r="A11" i="6"/>
  <c r="C11" i="6" s="1"/>
  <c r="J2" i="6" l="1"/>
  <c r="C46" i="6"/>
  <c r="C40" i="6"/>
  <c r="C39" i="6"/>
  <c r="A32" i="6"/>
  <c r="C32" i="6" s="1"/>
  <c r="C16" i="6"/>
  <c r="C11" i="4" l="1"/>
  <c r="E14" i="4" s="1"/>
  <c r="T21" i="2"/>
  <c r="A33" i="6"/>
  <c r="C6" i="6"/>
  <c r="E8" i="4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7" i="2"/>
  <c r="S8" i="2"/>
  <c r="S9" i="2"/>
  <c r="S10" i="2"/>
  <c r="S11" i="2"/>
  <c r="S12" i="2"/>
  <c r="S6" i="2"/>
  <c r="E5" i="4"/>
  <c r="E4" i="4"/>
  <c r="C10" i="4"/>
  <c r="E13" i="4" s="1"/>
  <c r="C9" i="4"/>
  <c r="E12" i="4" s="1"/>
  <c r="C8" i="4"/>
  <c r="E11" i="4" s="1"/>
  <c r="C4" i="4"/>
  <c r="E10" i="4" s="1"/>
  <c r="C3" i="4"/>
  <c r="E9" i="4" s="1"/>
  <c r="T44" i="2"/>
  <c r="U44" i="2"/>
  <c r="V44" i="2"/>
  <c r="X44" i="2"/>
  <c r="Y44" i="2"/>
  <c r="Z44" i="2"/>
  <c r="AA44" i="2"/>
  <c r="AB44" i="2"/>
  <c r="AC44" i="2"/>
  <c r="AD44" i="2"/>
  <c r="AE44" i="2"/>
  <c r="AF44" i="2"/>
  <c r="AH44" i="2"/>
  <c r="AI44" i="2"/>
  <c r="AJ44" i="2"/>
  <c r="AK44" i="2"/>
  <c r="T45" i="2"/>
  <c r="U45" i="2"/>
  <c r="V45" i="2"/>
  <c r="X45" i="2"/>
  <c r="Y45" i="2"/>
  <c r="Z45" i="2"/>
  <c r="AA45" i="2"/>
  <c r="AB45" i="2"/>
  <c r="AC45" i="2"/>
  <c r="AD45" i="2"/>
  <c r="AE45" i="2"/>
  <c r="AF45" i="2"/>
  <c r="AH45" i="2"/>
  <c r="AI45" i="2"/>
  <c r="AJ45" i="2"/>
  <c r="AK45" i="2"/>
  <c r="T25" i="2"/>
  <c r="U25" i="2"/>
  <c r="V25" i="2"/>
  <c r="X25" i="2"/>
  <c r="Y25" i="2"/>
  <c r="Z25" i="2"/>
  <c r="AA25" i="2"/>
  <c r="AB25" i="2"/>
  <c r="AC25" i="2"/>
  <c r="AD25" i="2"/>
  <c r="AE25" i="2"/>
  <c r="AF25" i="2"/>
  <c r="AH25" i="2"/>
  <c r="AI25" i="2"/>
  <c r="AJ25" i="2"/>
  <c r="AK25" i="2"/>
  <c r="T26" i="2"/>
  <c r="U26" i="2"/>
  <c r="V26" i="2"/>
  <c r="X26" i="2"/>
  <c r="Y26" i="2"/>
  <c r="Z26" i="2"/>
  <c r="AA26" i="2"/>
  <c r="AB26" i="2"/>
  <c r="AC26" i="2"/>
  <c r="AD26" i="2"/>
  <c r="AE26" i="2"/>
  <c r="AF26" i="2"/>
  <c r="AH26" i="2"/>
  <c r="AI26" i="2"/>
  <c r="AJ26" i="2"/>
  <c r="AK26" i="2"/>
  <c r="T27" i="2"/>
  <c r="U27" i="2"/>
  <c r="V27" i="2"/>
  <c r="X27" i="2"/>
  <c r="Y27" i="2"/>
  <c r="Z27" i="2"/>
  <c r="AA27" i="2"/>
  <c r="AB27" i="2"/>
  <c r="AC27" i="2"/>
  <c r="AD27" i="2"/>
  <c r="AE27" i="2"/>
  <c r="AF27" i="2"/>
  <c r="AH27" i="2"/>
  <c r="AI27" i="2"/>
  <c r="AJ27" i="2"/>
  <c r="AK27" i="2"/>
  <c r="T28" i="2"/>
  <c r="U28" i="2"/>
  <c r="V28" i="2"/>
  <c r="X28" i="2"/>
  <c r="Y28" i="2"/>
  <c r="Z28" i="2"/>
  <c r="AA28" i="2"/>
  <c r="AB28" i="2"/>
  <c r="AC28" i="2"/>
  <c r="AD28" i="2"/>
  <c r="AE28" i="2"/>
  <c r="AF28" i="2"/>
  <c r="AH28" i="2"/>
  <c r="AI28" i="2"/>
  <c r="AJ28" i="2"/>
  <c r="AK28" i="2"/>
  <c r="T29" i="2"/>
  <c r="U29" i="2"/>
  <c r="V29" i="2"/>
  <c r="X29" i="2"/>
  <c r="Y29" i="2"/>
  <c r="Z29" i="2"/>
  <c r="AA29" i="2"/>
  <c r="AB29" i="2"/>
  <c r="AC29" i="2"/>
  <c r="AD29" i="2"/>
  <c r="AE29" i="2"/>
  <c r="AF29" i="2"/>
  <c r="AH29" i="2"/>
  <c r="AI29" i="2"/>
  <c r="AJ29" i="2"/>
  <c r="AK29" i="2"/>
  <c r="T30" i="2"/>
  <c r="U30" i="2"/>
  <c r="V30" i="2"/>
  <c r="X30" i="2"/>
  <c r="Y30" i="2"/>
  <c r="Z30" i="2"/>
  <c r="AA30" i="2"/>
  <c r="AB30" i="2"/>
  <c r="AC30" i="2"/>
  <c r="AD30" i="2"/>
  <c r="AE30" i="2"/>
  <c r="AF30" i="2"/>
  <c r="AH30" i="2"/>
  <c r="AI30" i="2"/>
  <c r="AJ30" i="2"/>
  <c r="AK30" i="2"/>
  <c r="T31" i="2"/>
  <c r="U31" i="2"/>
  <c r="V31" i="2"/>
  <c r="X31" i="2"/>
  <c r="Y31" i="2"/>
  <c r="Z31" i="2"/>
  <c r="AA31" i="2"/>
  <c r="AB31" i="2"/>
  <c r="AC31" i="2"/>
  <c r="AD31" i="2"/>
  <c r="AE31" i="2"/>
  <c r="AF31" i="2"/>
  <c r="AH31" i="2"/>
  <c r="AI31" i="2"/>
  <c r="AJ31" i="2"/>
  <c r="AK31" i="2"/>
  <c r="T32" i="2"/>
  <c r="U32" i="2"/>
  <c r="V32" i="2"/>
  <c r="X32" i="2"/>
  <c r="Y32" i="2"/>
  <c r="Z32" i="2"/>
  <c r="AA32" i="2"/>
  <c r="AB32" i="2"/>
  <c r="AC32" i="2"/>
  <c r="AD32" i="2"/>
  <c r="AE32" i="2"/>
  <c r="AF32" i="2"/>
  <c r="AH32" i="2"/>
  <c r="AI32" i="2"/>
  <c r="AJ32" i="2"/>
  <c r="AK32" i="2"/>
  <c r="T33" i="2"/>
  <c r="U33" i="2"/>
  <c r="V33" i="2"/>
  <c r="X33" i="2"/>
  <c r="Y33" i="2"/>
  <c r="Z33" i="2"/>
  <c r="AA33" i="2"/>
  <c r="AB33" i="2"/>
  <c r="AC33" i="2"/>
  <c r="AD33" i="2"/>
  <c r="AE33" i="2"/>
  <c r="AF33" i="2"/>
  <c r="AH33" i="2"/>
  <c r="AI33" i="2"/>
  <c r="AJ33" i="2"/>
  <c r="AK33" i="2"/>
  <c r="T34" i="2"/>
  <c r="U34" i="2"/>
  <c r="V34" i="2"/>
  <c r="X34" i="2"/>
  <c r="Y34" i="2"/>
  <c r="Z34" i="2"/>
  <c r="AA34" i="2"/>
  <c r="AB34" i="2"/>
  <c r="AC34" i="2"/>
  <c r="AD34" i="2"/>
  <c r="AE34" i="2"/>
  <c r="AF34" i="2"/>
  <c r="AH34" i="2"/>
  <c r="AI34" i="2"/>
  <c r="AJ34" i="2"/>
  <c r="AK34" i="2"/>
  <c r="T35" i="2"/>
  <c r="U35" i="2"/>
  <c r="V35" i="2"/>
  <c r="X35" i="2"/>
  <c r="Y35" i="2"/>
  <c r="Z35" i="2"/>
  <c r="AA35" i="2"/>
  <c r="AB35" i="2"/>
  <c r="AC35" i="2"/>
  <c r="AD35" i="2"/>
  <c r="AE35" i="2"/>
  <c r="AF35" i="2"/>
  <c r="AH35" i="2"/>
  <c r="AI35" i="2"/>
  <c r="AJ35" i="2"/>
  <c r="AK35" i="2"/>
  <c r="T36" i="2"/>
  <c r="U36" i="2"/>
  <c r="V36" i="2"/>
  <c r="X36" i="2"/>
  <c r="Y36" i="2"/>
  <c r="Z36" i="2"/>
  <c r="AA36" i="2"/>
  <c r="AB36" i="2"/>
  <c r="AC36" i="2"/>
  <c r="AD36" i="2"/>
  <c r="AE36" i="2"/>
  <c r="AF36" i="2"/>
  <c r="AH36" i="2"/>
  <c r="AI36" i="2"/>
  <c r="AJ36" i="2"/>
  <c r="AK36" i="2"/>
  <c r="T37" i="2"/>
  <c r="U37" i="2"/>
  <c r="V37" i="2"/>
  <c r="X37" i="2"/>
  <c r="Y37" i="2"/>
  <c r="Z37" i="2"/>
  <c r="AA37" i="2"/>
  <c r="AB37" i="2"/>
  <c r="AC37" i="2"/>
  <c r="AD37" i="2"/>
  <c r="AE37" i="2"/>
  <c r="AF37" i="2"/>
  <c r="AH37" i="2"/>
  <c r="AI37" i="2"/>
  <c r="AJ37" i="2"/>
  <c r="AK37" i="2"/>
  <c r="T38" i="2"/>
  <c r="U38" i="2"/>
  <c r="V38" i="2"/>
  <c r="X38" i="2"/>
  <c r="Y38" i="2"/>
  <c r="Z38" i="2"/>
  <c r="AA38" i="2"/>
  <c r="AB38" i="2"/>
  <c r="AC38" i="2"/>
  <c r="AD38" i="2"/>
  <c r="AE38" i="2"/>
  <c r="AF38" i="2"/>
  <c r="AH38" i="2"/>
  <c r="AI38" i="2"/>
  <c r="AJ38" i="2"/>
  <c r="AK38" i="2"/>
  <c r="T39" i="2"/>
  <c r="U39" i="2"/>
  <c r="V39" i="2"/>
  <c r="X39" i="2"/>
  <c r="Y39" i="2"/>
  <c r="Z39" i="2"/>
  <c r="AA39" i="2"/>
  <c r="AB39" i="2"/>
  <c r="AC39" i="2"/>
  <c r="AD39" i="2"/>
  <c r="AE39" i="2"/>
  <c r="AF39" i="2"/>
  <c r="AH39" i="2"/>
  <c r="AI39" i="2"/>
  <c r="AJ39" i="2"/>
  <c r="AK39" i="2"/>
  <c r="T40" i="2"/>
  <c r="U40" i="2"/>
  <c r="V40" i="2"/>
  <c r="X40" i="2"/>
  <c r="Y40" i="2"/>
  <c r="Z40" i="2"/>
  <c r="AA40" i="2"/>
  <c r="AB40" i="2"/>
  <c r="AC40" i="2"/>
  <c r="AD40" i="2"/>
  <c r="AE40" i="2"/>
  <c r="AF40" i="2"/>
  <c r="AH40" i="2"/>
  <c r="AI40" i="2"/>
  <c r="AJ40" i="2"/>
  <c r="AK40" i="2"/>
  <c r="T41" i="2"/>
  <c r="U41" i="2"/>
  <c r="V41" i="2"/>
  <c r="X41" i="2"/>
  <c r="Y41" i="2"/>
  <c r="Z41" i="2"/>
  <c r="AA41" i="2"/>
  <c r="AB41" i="2"/>
  <c r="AC41" i="2"/>
  <c r="AD41" i="2"/>
  <c r="AE41" i="2"/>
  <c r="AF41" i="2"/>
  <c r="AH41" i="2"/>
  <c r="AI41" i="2"/>
  <c r="AJ41" i="2"/>
  <c r="AK41" i="2"/>
  <c r="T42" i="2"/>
  <c r="U42" i="2"/>
  <c r="V42" i="2"/>
  <c r="X42" i="2"/>
  <c r="Y42" i="2"/>
  <c r="Z42" i="2"/>
  <c r="AA42" i="2"/>
  <c r="AB42" i="2"/>
  <c r="AC42" i="2"/>
  <c r="AD42" i="2"/>
  <c r="AE42" i="2"/>
  <c r="AF42" i="2"/>
  <c r="AH42" i="2"/>
  <c r="AI42" i="2"/>
  <c r="AJ42" i="2"/>
  <c r="AK42" i="2"/>
  <c r="T43" i="2"/>
  <c r="U43" i="2"/>
  <c r="V43" i="2"/>
  <c r="X43" i="2"/>
  <c r="Y43" i="2"/>
  <c r="Z43" i="2"/>
  <c r="AA43" i="2"/>
  <c r="AB43" i="2"/>
  <c r="AC43" i="2"/>
  <c r="AD43" i="2"/>
  <c r="AE43" i="2"/>
  <c r="AF43" i="2"/>
  <c r="AH43" i="2"/>
  <c r="AI43" i="2"/>
  <c r="AJ43" i="2"/>
  <c r="AK43" i="2"/>
  <c r="T13" i="2"/>
  <c r="U13" i="2"/>
  <c r="V13" i="2"/>
  <c r="X13" i="2"/>
  <c r="Y13" i="2"/>
  <c r="Z13" i="2"/>
  <c r="AA13" i="2"/>
  <c r="AB13" i="2"/>
  <c r="AC13" i="2"/>
  <c r="AD13" i="2"/>
  <c r="AE13" i="2"/>
  <c r="AF13" i="2"/>
  <c r="AH13" i="2"/>
  <c r="AI13" i="2"/>
  <c r="AJ13" i="2"/>
  <c r="AK13" i="2"/>
  <c r="T14" i="2"/>
  <c r="U14" i="2"/>
  <c r="V14" i="2"/>
  <c r="X14" i="2"/>
  <c r="Y14" i="2"/>
  <c r="Z14" i="2"/>
  <c r="AA14" i="2"/>
  <c r="AB14" i="2"/>
  <c r="AC14" i="2"/>
  <c r="AD14" i="2"/>
  <c r="AE14" i="2"/>
  <c r="AF14" i="2"/>
  <c r="AH14" i="2"/>
  <c r="AI14" i="2"/>
  <c r="AJ14" i="2"/>
  <c r="AK14" i="2"/>
  <c r="T15" i="2"/>
  <c r="U15" i="2"/>
  <c r="V15" i="2"/>
  <c r="X15" i="2"/>
  <c r="Y15" i="2"/>
  <c r="Z15" i="2"/>
  <c r="AA15" i="2"/>
  <c r="AB15" i="2"/>
  <c r="AC15" i="2"/>
  <c r="AD15" i="2"/>
  <c r="AE15" i="2"/>
  <c r="AF15" i="2"/>
  <c r="AH15" i="2"/>
  <c r="AI15" i="2"/>
  <c r="AJ15" i="2"/>
  <c r="AK15" i="2"/>
  <c r="T16" i="2"/>
  <c r="U16" i="2"/>
  <c r="V16" i="2"/>
  <c r="X16" i="2"/>
  <c r="Y16" i="2"/>
  <c r="Z16" i="2"/>
  <c r="AA16" i="2"/>
  <c r="AB16" i="2"/>
  <c r="AC16" i="2"/>
  <c r="AD16" i="2"/>
  <c r="AE16" i="2"/>
  <c r="AF16" i="2"/>
  <c r="AH16" i="2"/>
  <c r="AI16" i="2"/>
  <c r="AJ16" i="2"/>
  <c r="AK16" i="2"/>
  <c r="T17" i="2"/>
  <c r="U17" i="2"/>
  <c r="V17" i="2"/>
  <c r="X17" i="2"/>
  <c r="Y17" i="2"/>
  <c r="Z17" i="2"/>
  <c r="AA17" i="2"/>
  <c r="AB17" i="2"/>
  <c r="AC17" i="2"/>
  <c r="AD17" i="2"/>
  <c r="AE17" i="2"/>
  <c r="AF17" i="2"/>
  <c r="AH17" i="2"/>
  <c r="AI17" i="2"/>
  <c r="AJ17" i="2"/>
  <c r="AK17" i="2"/>
  <c r="T18" i="2"/>
  <c r="U18" i="2"/>
  <c r="V18" i="2"/>
  <c r="X18" i="2"/>
  <c r="Y18" i="2"/>
  <c r="Z18" i="2"/>
  <c r="AA18" i="2"/>
  <c r="AB18" i="2"/>
  <c r="AC18" i="2"/>
  <c r="AD18" i="2"/>
  <c r="AE18" i="2"/>
  <c r="AF18" i="2"/>
  <c r="AH18" i="2"/>
  <c r="AI18" i="2"/>
  <c r="AJ18" i="2"/>
  <c r="AK18" i="2"/>
  <c r="T19" i="2"/>
  <c r="U19" i="2"/>
  <c r="V19" i="2"/>
  <c r="X19" i="2"/>
  <c r="Y19" i="2"/>
  <c r="Z19" i="2"/>
  <c r="AA19" i="2"/>
  <c r="AB19" i="2"/>
  <c r="AC19" i="2"/>
  <c r="AD19" i="2"/>
  <c r="AE19" i="2"/>
  <c r="AF19" i="2"/>
  <c r="AH19" i="2"/>
  <c r="AI19" i="2"/>
  <c r="AJ19" i="2"/>
  <c r="AK19" i="2"/>
  <c r="T20" i="2"/>
  <c r="U20" i="2"/>
  <c r="V20" i="2"/>
  <c r="X20" i="2"/>
  <c r="Y20" i="2"/>
  <c r="Z20" i="2"/>
  <c r="AA20" i="2"/>
  <c r="AB20" i="2"/>
  <c r="AC20" i="2"/>
  <c r="AD20" i="2"/>
  <c r="AE20" i="2"/>
  <c r="AF20" i="2"/>
  <c r="AH20" i="2"/>
  <c r="AI20" i="2"/>
  <c r="AJ20" i="2"/>
  <c r="AK20" i="2"/>
  <c r="U21" i="2"/>
  <c r="V21" i="2"/>
  <c r="X21" i="2"/>
  <c r="Y21" i="2"/>
  <c r="Z21" i="2"/>
  <c r="AA21" i="2"/>
  <c r="AB21" i="2"/>
  <c r="AC21" i="2"/>
  <c r="AD21" i="2"/>
  <c r="AE21" i="2"/>
  <c r="AF21" i="2"/>
  <c r="AH21" i="2"/>
  <c r="AI21" i="2"/>
  <c r="AJ21" i="2"/>
  <c r="AK21" i="2"/>
  <c r="T22" i="2"/>
  <c r="U22" i="2"/>
  <c r="V22" i="2"/>
  <c r="X22" i="2"/>
  <c r="Y22" i="2"/>
  <c r="Z22" i="2"/>
  <c r="AA22" i="2"/>
  <c r="AB22" i="2"/>
  <c r="AC22" i="2"/>
  <c r="AD22" i="2"/>
  <c r="AE22" i="2"/>
  <c r="AF22" i="2"/>
  <c r="AH22" i="2"/>
  <c r="AI22" i="2"/>
  <c r="AJ22" i="2"/>
  <c r="AK22" i="2"/>
  <c r="T23" i="2"/>
  <c r="U23" i="2"/>
  <c r="V23" i="2"/>
  <c r="X23" i="2"/>
  <c r="Y23" i="2"/>
  <c r="Z23" i="2"/>
  <c r="AA23" i="2"/>
  <c r="AB23" i="2"/>
  <c r="AC23" i="2"/>
  <c r="AD23" i="2"/>
  <c r="AE23" i="2"/>
  <c r="AF23" i="2"/>
  <c r="AH23" i="2"/>
  <c r="AI23" i="2"/>
  <c r="AJ23" i="2"/>
  <c r="AK23" i="2"/>
  <c r="T24" i="2"/>
  <c r="U24" i="2"/>
  <c r="V24" i="2"/>
  <c r="X24" i="2"/>
  <c r="Y24" i="2"/>
  <c r="Z24" i="2"/>
  <c r="AA24" i="2"/>
  <c r="AB24" i="2"/>
  <c r="AC24" i="2"/>
  <c r="AD24" i="2"/>
  <c r="AE24" i="2"/>
  <c r="AF24" i="2"/>
  <c r="AH24" i="2"/>
  <c r="AI24" i="2"/>
  <c r="AJ24" i="2"/>
  <c r="AK24" i="2"/>
  <c r="AK12" i="2"/>
  <c r="AJ12" i="2"/>
  <c r="AI12" i="2"/>
  <c r="AH12" i="2"/>
  <c r="AF12" i="2"/>
  <c r="AE12" i="2"/>
  <c r="AD12" i="2"/>
  <c r="AC12" i="2"/>
  <c r="AB12" i="2"/>
  <c r="AA12" i="2"/>
  <c r="Z12" i="2"/>
  <c r="Y12" i="2"/>
  <c r="X12" i="2"/>
  <c r="V12" i="2"/>
  <c r="U12" i="2"/>
  <c r="T12" i="2"/>
  <c r="T7" i="2"/>
  <c r="U7" i="2"/>
  <c r="V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T8" i="2"/>
  <c r="U8" i="2"/>
  <c r="V8" i="2"/>
  <c r="X8" i="2"/>
  <c r="Y8" i="2"/>
  <c r="Z8" i="2"/>
  <c r="AA8" i="2"/>
  <c r="AB8" i="2"/>
  <c r="AC8" i="2"/>
  <c r="AD8" i="2"/>
  <c r="AE8" i="2"/>
  <c r="AF8" i="2"/>
  <c r="AH8" i="2"/>
  <c r="AI8" i="2"/>
  <c r="AJ8" i="2"/>
  <c r="AK8" i="2"/>
  <c r="T9" i="2"/>
  <c r="U9" i="2"/>
  <c r="V9" i="2"/>
  <c r="X9" i="2"/>
  <c r="Y9" i="2"/>
  <c r="Z9" i="2"/>
  <c r="AA9" i="2"/>
  <c r="AB9" i="2"/>
  <c r="AC9" i="2"/>
  <c r="AD9" i="2"/>
  <c r="AE9" i="2"/>
  <c r="AF9" i="2"/>
  <c r="AH9" i="2"/>
  <c r="AI9" i="2"/>
  <c r="AJ9" i="2"/>
  <c r="AK9" i="2"/>
  <c r="T10" i="2"/>
  <c r="U10" i="2"/>
  <c r="V10" i="2"/>
  <c r="X10" i="2"/>
  <c r="Y10" i="2"/>
  <c r="Z10" i="2"/>
  <c r="AA10" i="2"/>
  <c r="AB10" i="2"/>
  <c r="AC10" i="2"/>
  <c r="AD10" i="2"/>
  <c r="AE10" i="2"/>
  <c r="AF10" i="2"/>
  <c r="AH10" i="2"/>
  <c r="AI10" i="2"/>
  <c r="AJ10" i="2"/>
  <c r="AK10" i="2"/>
  <c r="T11" i="2"/>
  <c r="U11" i="2"/>
  <c r="V11" i="2"/>
  <c r="X11" i="2"/>
  <c r="Y11" i="2"/>
  <c r="Z11" i="2"/>
  <c r="AA11" i="2"/>
  <c r="AB11" i="2"/>
  <c r="AC11" i="2"/>
  <c r="AD11" i="2"/>
  <c r="AE11" i="2"/>
  <c r="AF11" i="2"/>
  <c r="AH11" i="2"/>
  <c r="AI11" i="2"/>
  <c r="AJ11" i="2"/>
  <c r="AK11" i="2"/>
  <c r="AK6" i="2"/>
  <c r="AJ6" i="2"/>
  <c r="AI6" i="2"/>
  <c r="AH6" i="2"/>
  <c r="AF6" i="2"/>
  <c r="AE6" i="2"/>
  <c r="AD6" i="2"/>
  <c r="AC6" i="2"/>
  <c r="AB6" i="2"/>
  <c r="AA6" i="2"/>
  <c r="Z6" i="2"/>
  <c r="Y6" i="2"/>
  <c r="X6" i="2"/>
  <c r="U6" i="2"/>
  <c r="V6" i="2"/>
  <c r="T6" i="2"/>
  <c r="A34" i="6" l="1"/>
  <c r="C34" i="6" s="1"/>
  <c r="C33" i="6"/>
</calcChain>
</file>

<file path=xl/sharedStrings.xml><?xml version="1.0" encoding="utf-8"?>
<sst xmlns="http://schemas.openxmlformats.org/spreadsheetml/2006/main" count="154" uniqueCount="122">
  <si>
    <t>Fe</t>
  </si>
  <si>
    <t>BCC_A2</t>
  </si>
  <si>
    <t>Cr</t>
  </si>
  <si>
    <t>El</t>
  </si>
  <si>
    <t>Ref.St</t>
  </si>
  <si>
    <t>mass</t>
  </si>
  <si>
    <t>Ec</t>
  </si>
  <si>
    <t>Re</t>
  </si>
  <si>
    <t>B</t>
  </si>
  <si>
    <t>A</t>
  </si>
  <si>
    <t>beta(0)</t>
  </si>
  <si>
    <t>beta(1)</t>
  </si>
  <si>
    <t>beta(2)</t>
  </si>
  <si>
    <t>beta(3)</t>
  </si>
  <si>
    <t>t(1)</t>
  </si>
  <si>
    <t>t(2)</t>
  </si>
  <si>
    <t>t(3)</t>
  </si>
  <si>
    <t>Rho_zero</t>
  </si>
  <si>
    <t>Cmin</t>
  </si>
  <si>
    <t>Cmax</t>
    <phoneticPr fontId="1" type="noConversion"/>
  </si>
  <si>
    <t>d</t>
    <phoneticPr fontId="1" type="noConversion"/>
  </si>
  <si>
    <t>elt</t>
  </si>
  <si>
    <t>lat</t>
  </si>
  <si>
    <t>z</t>
  </si>
  <si>
    <t>ielement</t>
  </si>
  <si>
    <t>atwt</t>
  </si>
  <si>
    <t>alpha</t>
  </si>
  <si>
    <t>b0</t>
  </si>
  <si>
    <t>b1</t>
  </si>
  <si>
    <t>b2</t>
  </si>
  <si>
    <t>b3</t>
  </si>
  <si>
    <t>alat</t>
  </si>
  <si>
    <t>esub</t>
  </si>
  <si>
    <t>asub</t>
  </si>
  <si>
    <t>t0</t>
  </si>
  <si>
    <t>t1</t>
  </si>
  <si>
    <t>t2</t>
  </si>
  <si>
    <t>t3</t>
  </si>
  <si>
    <t>rozero</t>
  </si>
  <si>
    <t>ibar</t>
  </si>
  <si>
    <t>FCC_A1</t>
  </si>
  <si>
    <t>DIA_A4</t>
  </si>
  <si>
    <t>HCP_A3</t>
  </si>
  <si>
    <t>DIMER</t>
  </si>
  <si>
    <t>Al</t>
  </si>
  <si>
    <t>C</t>
  </si>
  <si>
    <t>Ti</t>
  </si>
  <si>
    <t>H</t>
  </si>
  <si>
    <t>Ni</t>
  </si>
  <si>
    <t>Si</t>
  </si>
  <si>
    <t>Fe</t>
    <phoneticPr fontId="1" type="noConversion"/>
  </si>
  <si>
    <t>Nb</t>
  </si>
  <si>
    <t>BJ</t>
  </si>
  <si>
    <t>delta_Ec</t>
  </si>
  <si>
    <t>Eu_d</t>
  </si>
  <si>
    <t>AU</t>
  </si>
  <si>
    <t>C</t>
    <phoneticPr fontId="1" type="noConversion"/>
  </si>
  <si>
    <t>Cu</t>
  </si>
  <si>
    <t>Mo</t>
  </si>
  <si>
    <t>W</t>
  </si>
  <si>
    <t>V</t>
  </si>
  <si>
    <t>Ta</t>
  </si>
  <si>
    <t>Mn</t>
  </si>
  <si>
    <t>Li</t>
  </si>
  <si>
    <t>Pd</t>
  </si>
  <si>
    <t>Pt</t>
  </si>
  <si>
    <t>Ag</t>
  </si>
  <si>
    <t>Au</t>
  </si>
  <si>
    <t>Pb</t>
  </si>
  <si>
    <t>Ge</t>
  </si>
  <si>
    <t>Zr</t>
  </si>
  <si>
    <t>Co</t>
  </si>
  <si>
    <t>Mg</t>
  </si>
  <si>
    <t>O</t>
  </si>
  <si>
    <t>N</t>
  </si>
  <si>
    <t>In</t>
  </si>
  <si>
    <t>Ga</t>
  </si>
  <si>
    <t>References</t>
    <phoneticPr fontId="1" type="noConversion"/>
  </si>
  <si>
    <t>Cmin(iji)</t>
    <phoneticPr fontId="1" type="noConversion"/>
  </si>
  <si>
    <t>Cmin(jij)</t>
    <phoneticPr fontId="1" type="noConversion"/>
  </si>
  <si>
    <t>Cmin(iij)</t>
    <phoneticPr fontId="1" type="noConversion"/>
  </si>
  <si>
    <t>Cmin(ijj)</t>
    <phoneticPr fontId="1" type="noConversion"/>
  </si>
  <si>
    <t>Cmax(iji)</t>
    <phoneticPr fontId="1" type="noConversion"/>
  </si>
  <si>
    <t>Cmax(jij)</t>
    <phoneticPr fontId="1" type="noConversion"/>
  </si>
  <si>
    <t>Cmax(iij)</t>
    <phoneticPr fontId="1" type="noConversion"/>
  </si>
  <si>
    <t>Cmax(ijj)</t>
    <phoneticPr fontId="1" type="noConversion"/>
  </si>
  <si>
    <t>1st line</t>
    <phoneticPr fontId="1" type="noConversion"/>
  </si>
  <si>
    <t>2nd line</t>
    <phoneticPr fontId="1" type="noConversion"/>
  </si>
  <si>
    <t>3rd line</t>
    <phoneticPr fontId="1" type="noConversion"/>
  </si>
  <si>
    <t>Cutoff</t>
    <phoneticPr fontId="1" type="noConversion"/>
  </si>
  <si>
    <t>References</t>
    <phoneticPr fontId="1" type="noConversion"/>
  </si>
  <si>
    <t>Fe, Cr, Mo, W, V, Nb, Ta: "Second Nearest-Neighbor Modified Embedded Atom Method Potentials for BCC Transition Metals", Byeong-Joo Lee, M.I. Baskes, Hanchul Kim and Yang Koo Cho, Phys. Rev. B. 64, 184102 (2001).</t>
    <phoneticPr fontId="1" type="noConversion"/>
  </si>
  <si>
    <t>Ni, Pd, Pt, Cu, Ag, Au, Al, Pb: "Semi-empirical atomic potentials for the FCC metals Cu, Ag, Au, Ni, Pd, Pt, Al and Pb based on first and second nearest-neighbor modified embedded atom method," Byeong-Joo Lee, Jae-Hyeok Shim and M.I. Baskes, Phys. Rev. B. 68, 144112 (2003).</t>
    <phoneticPr fontId="1" type="noConversion"/>
  </si>
  <si>
    <t>C: "A Modified Embedded Atom Method Interatomic Potential for Carbon," Byeong-Joo Lee and Jin Wook Lee, CALPHAD 29, 7-16 (2005).</t>
    <phoneticPr fontId="1" type="noConversion"/>
  </si>
  <si>
    <t>Ti, Zr: "Modified Embedded Atom Method Interatomic Potentials for Ti and Zr," Young-Min Kim, Byeong-Joo Lee and M.I. Baskes, Phys. Rev. B 74, 014101 (2006).</t>
    <phoneticPr fontId="1" type="noConversion"/>
  </si>
  <si>
    <t>Si: "A Modified Embedded Atom Method Interatomic Potential for Silicon," Byeong-Joo Lee, CALPHAD 31, 95-104 (2007).</t>
    <phoneticPr fontId="1" type="noConversion"/>
  </si>
  <si>
    <t>Ge: "A Modified Embedded Atom Method Interatomic Potential for Germanium," Eun-Ha Kim, Young-Han Shin and Byeong-Joo Lee, CALPHAD 32, 34-42 (2008).</t>
    <phoneticPr fontId="1" type="noConversion"/>
  </si>
  <si>
    <t>In: "A Modified Embedded Atom Method Interatomic Potential for Indium," Eun Cheol Do, Young-Han Shin and Byeong-Joo Lee, CALPHAD 32, 82-88 (2008).</t>
    <phoneticPr fontId="1" type="noConversion"/>
  </si>
  <si>
    <t>"A Modified Embedded Atom Method Interatomic Potential for the Fe-C System" Byeong-Joo Lee, Acta Materialia 54, 701-711 (2006).</t>
    <phoneticPr fontId="1" type="noConversion"/>
  </si>
  <si>
    <t>L12A3B</t>
    <phoneticPr fontId="1" type="noConversion"/>
  </si>
  <si>
    <t>L12A3B</t>
    <phoneticPr fontId="1" type="noConversion"/>
  </si>
  <si>
    <t>Copy &amp; paste below converted parameters</t>
    <phoneticPr fontId="1" type="noConversion"/>
  </si>
  <si>
    <t>&lt; Examples &gt;</t>
    <phoneticPr fontId="1" type="noConversion"/>
  </si>
  <si>
    <t>Copy &amp; paste below
converted parameters</t>
    <phoneticPr fontId="1" type="noConversion"/>
  </si>
  <si>
    <t>Put KISSMD parameters for each element</t>
    <phoneticPr fontId="1" type="noConversion"/>
  </si>
  <si>
    <t>Put the name of an element</t>
    <phoneticPr fontId="1" type="noConversion"/>
  </si>
  <si>
    <t>LAMMPS parameters (Copy &amp; paste each line one by one)</t>
    <phoneticPr fontId="1" type="noConversion"/>
  </si>
  <si>
    <t>Put KISSMD parameters into below cells</t>
    <phoneticPr fontId="1" type="noConversion"/>
  </si>
  <si>
    <t xml:space="preserve"> </t>
    <phoneticPr fontId="1" type="noConversion"/>
  </si>
  <si>
    <t>erose_form = 2</t>
    <phoneticPr fontId="1" type="noConversion"/>
  </si>
  <si>
    <t>zbl(1,1) = 0</t>
    <phoneticPr fontId="1" type="noConversion"/>
  </si>
  <si>
    <t>rc = 4.8</t>
    <phoneticPr fontId="1" type="noConversion"/>
  </si>
  <si>
    <r>
      <t xml:space="preserve">This is the default value of the radial cutoff distance. </t>
    </r>
    <r>
      <rPr>
        <b/>
        <sz val="12"/>
        <color rgb="FFFF0000"/>
        <rFont val="Arial"/>
        <family val="2"/>
      </rPr>
      <t>Always check relevant radial cutoff distance for each system.</t>
    </r>
    <phoneticPr fontId="1" type="noConversion"/>
  </si>
  <si>
    <r>
      <t xml:space="preserve">This is the default value of the radial cutoff distance.
</t>
    </r>
    <r>
      <rPr>
        <b/>
        <sz val="11"/>
        <color rgb="FFFF0000"/>
        <rFont val="Arial"/>
        <family val="2"/>
      </rPr>
      <t>Always check relevant radial cutoff distance for each system.</t>
    </r>
    <phoneticPr fontId="1" type="noConversion"/>
  </si>
  <si>
    <r>
      <rPr>
        <sz val="11"/>
        <color rgb="FFFF0000"/>
        <rFont val="Arial"/>
        <family val="2"/>
      </rPr>
      <t xml:space="preserve"> L12AB3 structure is not supported as an reference structure in LAMMPS.</t>
    </r>
    <r>
      <rPr>
        <sz val="11"/>
        <color theme="1"/>
        <rFont val="Arial"/>
        <family val="2"/>
      </rPr>
      <t xml:space="preserve"> If you have a KISSMD parameter set based on the L12AB3 structure, you can use L12A3B structure as a reference by reversing the order of elements, Cmin, and Cmax instead . </t>
    </r>
    <phoneticPr fontId="1" type="noConversion"/>
  </si>
  <si>
    <t>E1 str</t>
    <phoneticPr fontId="1" type="noConversion"/>
  </si>
  <si>
    <t>E1 omega</t>
    <phoneticPr fontId="1" type="noConversion"/>
  </si>
  <si>
    <t>E1 lp</t>
    <phoneticPr fontId="1" type="noConversion"/>
  </si>
  <si>
    <t>E2 omega</t>
    <phoneticPr fontId="1" type="noConversion"/>
  </si>
  <si>
    <t>E2 str</t>
    <phoneticPr fontId="1" type="noConversion"/>
  </si>
  <si>
    <t>E2 lp</t>
    <phoneticPr fontId="1" type="noConversion"/>
  </si>
  <si>
    <r>
      <rPr>
        <b/>
        <sz val="18"/>
        <color theme="0"/>
        <rFont val="Arial"/>
        <family val="2"/>
      </rPr>
      <t xml:space="preserve">         &lt; Program to generate LAMMPS 2NN MEAM parameters from KISSMD parameters &gt;</t>
    </r>
    <r>
      <rPr>
        <b/>
        <sz val="12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                                                                                                                                                                                                                                                By   Won-Seok Ko
                                                                                                                                                             Computational Materials Science and Engineering Laboratory,
                                                                                     Dept. of Materials Science and Engineering,  Pohang university of science and technology (POSTECH)
                                                                                                                                                                                                           Updated by Sang-Ho Oh (August, 2020)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</si>
</sst>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.000_);[Red]\(0.000\)"/>
    <numFmt numFmtId="179" formatCode="0.0000000000_);[Red]\(0.0000000000\)"/>
    <numFmt numFmtId="180" formatCode="0.0000E+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10" fillId="3" borderId="0" xfId="0" applyFont="1" applyFill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1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center" vertical="center"/>
      <protection locked="0"/>
    </xf>
    <xf numFmtId="178" fontId="12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center" vertical="center"/>
    </xf>
    <xf numFmtId="0" fontId="7" fillId="5" borderId="0" xfId="0" applyFont="1" applyFill="1" applyAlignment="1" applyProtection="1">
      <alignment horizontal="center" vertical="center"/>
      <protection locked="0"/>
    </xf>
    <xf numFmtId="0" fontId="11" fillId="7" borderId="0" xfId="0" applyFont="1" applyFill="1" applyBorder="1" applyAlignment="1">
      <alignment horizontal="left" vertical="center"/>
    </xf>
    <xf numFmtId="11" fontId="7" fillId="0" borderId="0" xfId="0" applyNumberFormat="1" applyFont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1" fontId="7" fillId="7" borderId="0" xfId="0" applyNumberFormat="1" applyFont="1" applyFill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11" fillId="6" borderId="6" xfId="0" applyFont="1" applyFill="1" applyBorder="1" applyAlignment="1" applyProtection="1">
      <alignment horizontal="left" vertical="center"/>
      <protection hidden="1"/>
    </xf>
    <xf numFmtId="0" fontId="11" fillId="6" borderId="7" xfId="0" applyFont="1" applyFill="1" applyBorder="1" applyAlignment="1" applyProtection="1">
      <alignment horizontal="left" vertical="center"/>
      <protection hidden="1"/>
    </xf>
    <xf numFmtId="0" fontId="7" fillId="5" borderId="0" xfId="0" applyFont="1" applyFill="1" applyAlignment="1" applyProtection="1">
      <alignment horizontal="center" vertical="center"/>
      <protection hidden="1"/>
    </xf>
    <xf numFmtId="0" fontId="11" fillId="6" borderId="0" xfId="0" applyFont="1" applyFill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Border="1" applyAlignment="1" applyProtection="1">
      <alignment horizontal="center" vertical="center"/>
      <protection hidden="1"/>
    </xf>
    <xf numFmtId="178" fontId="7" fillId="4" borderId="2" xfId="0" applyNumberFormat="1" applyFont="1" applyFill="1" applyBorder="1" applyAlignment="1" applyProtection="1">
      <alignment horizontal="center" vertical="center"/>
      <protection hidden="1"/>
    </xf>
    <xf numFmtId="179" fontId="7" fillId="4" borderId="0" xfId="0" applyNumberFormat="1" applyFont="1" applyFill="1" applyAlignment="1" applyProtection="1">
      <alignment horizontal="center" vertical="center"/>
      <protection hidden="1"/>
    </xf>
    <xf numFmtId="176" fontId="7" fillId="4" borderId="0" xfId="0" applyNumberFormat="1" applyFont="1" applyFill="1" applyAlignment="1" applyProtection="1">
      <alignment horizontal="center" vertical="center"/>
      <protection hidden="1"/>
    </xf>
    <xf numFmtId="177" fontId="7" fillId="4" borderId="0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Alignment="1">
      <alignment horizontal="center" vertical="center"/>
    </xf>
    <xf numFmtId="0" fontId="3" fillId="8" borderId="3" xfId="0" applyFont="1" applyFill="1" applyBorder="1" applyAlignment="1" applyProtection="1">
      <alignment horizontal="center" vertical="center"/>
      <protection locked="0"/>
    </xf>
    <xf numFmtId="0" fontId="8" fillId="6" borderId="6" xfId="0" applyFont="1" applyFill="1" applyBorder="1" applyProtection="1">
      <alignment vertical="center"/>
      <protection hidden="1"/>
    </xf>
    <xf numFmtId="0" fontId="8" fillId="6" borderId="7" xfId="0" applyFont="1" applyFill="1" applyBorder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4" fillId="5" borderId="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8" fillId="3" borderId="6" xfId="0" applyFont="1" applyFill="1" applyBorder="1" applyProtection="1">
      <alignment vertical="center"/>
      <protection locked="0"/>
    </xf>
    <xf numFmtId="0" fontId="11" fillId="3" borderId="5" xfId="0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11" fontId="12" fillId="0" borderId="0" xfId="0" applyNumberFormat="1" applyFont="1" applyBorder="1" applyAlignment="1" applyProtection="1">
      <alignment horizontal="center" vertical="center"/>
      <protection locked="0"/>
    </xf>
    <xf numFmtId="176" fontId="12" fillId="0" borderId="0" xfId="0" applyNumberFormat="1" applyFont="1" applyBorder="1" applyAlignment="1" applyProtection="1">
      <alignment horizontal="center" vertical="center"/>
      <protection locked="0"/>
    </xf>
    <xf numFmtId="178" fontId="12" fillId="0" borderId="0" xfId="0" applyNumberFormat="1" applyFont="1" applyBorder="1" applyAlignment="1">
      <alignment horizontal="center" vertical="center"/>
    </xf>
    <xf numFmtId="179" fontId="7" fillId="4" borderId="0" xfId="0" applyNumberFormat="1" applyFont="1" applyFill="1" applyBorder="1" applyAlignment="1" applyProtection="1">
      <alignment horizontal="center" vertical="center"/>
      <protection hidden="1"/>
    </xf>
    <xf numFmtId="176" fontId="7" fillId="4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10" xfId="0" applyFont="1" applyBorder="1" applyAlignment="1" applyProtection="1">
      <alignment horizontal="center" vertical="center"/>
      <protection locked="0"/>
    </xf>
    <xf numFmtId="11" fontId="12" fillId="0" borderId="10" xfId="0" applyNumberFormat="1" applyFont="1" applyBorder="1" applyAlignment="1" applyProtection="1">
      <alignment horizontal="center" vertical="center"/>
      <protection locked="0"/>
    </xf>
    <xf numFmtId="176" fontId="12" fillId="0" borderId="10" xfId="0" applyNumberFormat="1" applyFont="1" applyBorder="1" applyAlignment="1" applyProtection="1">
      <alignment horizontal="center" vertical="center"/>
      <protection locked="0"/>
    </xf>
    <xf numFmtId="178" fontId="12" fillId="0" borderId="10" xfId="0" applyNumberFormat="1" applyFont="1" applyBorder="1" applyAlignment="1">
      <alignment horizontal="center" vertical="center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178" fontId="7" fillId="4" borderId="9" xfId="0" applyNumberFormat="1" applyFont="1" applyFill="1" applyBorder="1" applyAlignment="1" applyProtection="1">
      <alignment horizontal="center" vertical="center"/>
      <protection hidden="1"/>
    </xf>
    <xf numFmtId="179" fontId="7" fillId="4" borderId="10" xfId="0" applyNumberFormat="1" applyFont="1" applyFill="1" applyBorder="1" applyAlignment="1" applyProtection="1">
      <alignment horizontal="center" vertical="center"/>
      <protection hidden="1"/>
    </xf>
    <xf numFmtId="176" fontId="7" fillId="4" borderId="10" xfId="0" applyNumberFormat="1" applyFont="1" applyFill="1" applyBorder="1" applyAlignment="1" applyProtection="1">
      <alignment horizontal="center" vertical="center"/>
      <protection hidden="1"/>
    </xf>
    <xf numFmtId="177" fontId="7" fillId="4" borderId="10" xfId="0" applyNumberFormat="1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7" fillId="9" borderId="0" xfId="0" applyFont="1" applyFill="1" applyAlignment="1" applyProtection="1">
      <alignment horizontal="center" vertical="center"/>
      <protection locked="0"/>
    </xf>
    <xf numFmtId="180" fontId="7" fillId="9" borderId="0" xfId="0" applyNumberFormat="1" applyFont="1" applyFill="1" applyAlignment="1" applyProtection="1">
      <alignment horizontal="center" vertical="center"/>
      <protection locked="0"/>
    </xf>
    <xf numFmtId="0" fontId="5" fillId="8" borderId="0" xfId="0" applyFont="1" applyFill="1" applyAlignment="1" applyProtection="1">
      <alignment horizontal="center" vertical="center" wrapText="1"/>
      <protection hidden="1"/>
    </xf>
    <xf numFmtId="0" fontId="5" fillId="8" borderId="0" xfId="0" applyFont="1" applyFill="1" applyAlignment="1" applyProtection="1">
      <alignment horizontal="center" vertical="center"/>
      <protection hidden="1"/>
    </xf>
    <xf numFmtId="0" fontId="4" fillId="5" borderId="4" xfId="0" applyFont="1" applyFill="1" applyBorder="1" applyAlignment="1" applyProtection="1">
      <alignment horizontal="center" vertical="center"/>
      <protection hidden="1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center" vertical="center" wrapText="1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11" fillId="7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80" fontId="7" fillId="3" borderId="0" xfId="0" applyNumberFormat="1" applyFont="1" applyFill="1" applyAlignment="1" applyProtection="1">
      <alignment horizontal="center" vertical="center"/>
      <protection locked="0"/>
    </xf>
  </cellXfs>
  <cellStyles count="1">
    <cellStyle name="표준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22415</xdr:colOff>
      <xdr:row>2</xdr:row>
      <xdr:rowOff>251479</xdr:rowOff>
    </xdr:from>
    <xdr:to>
      <xdr:col>6</xdr:col>
      <xdr:colOff>22413</xdr:colOff>
      <xdr:row>2</xdr:row>
      <xdr:rowOff>253067</xdr:rowOff>
    </xdr:to>
    <xdr:cxnSp macro="">
      <xdr:nvCxnSpPr>
        <xdr:cNvPr id="3" name="직선 화살표 연결선 2"/>
        <xdr:cNvCxnSpPr/>
      </xdr:nvCxnSpPr>
      <xdr:spPr>
        <a:xfrm rot="10800000">
          <a:off x="8303562" y="1125538"/>
          <a:ext cx="683557" cy="1588"/>
        </a:xfrm>
        <a:prstGeom prst="straightConnector1">
          <a:avLst/>
        </a:prstGeom>
        <a:ln w="25400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1666877</xdr:colOff>
      <xdr:row>3</xdr:row>
      <xdr:rowOff>66675</xdr:rowOff>
    </xdr:from>
    <xdr:to>
      <xdr:col>2</xdr:col>
      <xdr:colOff>3190875</xdr:colOff>
      <xdr:row>3</xdr:row>
      <xdr:rowOff>66675</xdr:rowOff>
    </xdr:to>
    <xdr:cxnSp macro="">
      <xdr:nvCxnSpPr>
        <xdr:cNvPr id="2" name="직선 화살표 연결선 1"/>
        <xdr:cNvCxnSpPr/>
      </xdr:nvCxnSpPr>
      <xdr:spPr>
        <a:xfrm flipH="1">
          <a:off x="3171827" y="657225"/>
          <a:ext cx="1523998" cy="0"/>
        </a:xfrm>
        <a:prstGeom prst="straightConnector1">
          <a:avLst/>
        </a:prstGeom>
        <a:ln w="25400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2343152</xdr:colOff>
      <xdr:row>5</xdr:row>
      <xdr:rowOff>0</xdr:rowOff>
    </xdr:from>
    <xdr:to>
      <xdr:col>7</xdr:col>
      <xdr:colOff>28575</xdr:colOff>
      <xdr:row>7</xdr:row>
      <xdr:rowOff>171450</xdr:rowOff>
    </xdr:to>
    <xdr:cxnSp macro="">
      <xdr:nvCxnSpPr>
        <xdr:cNvPr id="4" name="직선 화살표 연결선 3"/>
        <xdr:cNvCxnSpPr/>
      </xdr:nvCxnSpPr>
      <xdr:spPr>
        <a:xfrm flipV="1">
          <a:off x="5362577" y="1057275"/>
          <a:ext cx="800098" cy="552450"/>
        </a:xfrm>
        <a:prstGeom prst="straightConnector1">
          <a:avLst/>
        </a:prstGeom>
        <a:ln w="25400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5"/>
  <sheetViews>
    <sheetView zoomScale="85" zoomScaleNormal="85" workbookViewId="0">
      <selection activeCell="G13" sqref="G13"/>
    </sheetView>
  </sheetViews>
  <sheetFormatPr defaultRowHeight="14.25" x14ac:dyDescent="0.3"/>
  <cols>
    <col min="1" max="1" width="3.25" style="16" bestFit="1" customWidth="1"/>
    <col min="2" max="2" width="7" style="16" bestFit="1" customWidth="1"/>
    <col min="3" max="3" width="8.5" style="16" bestFit="1" customWidth="1"/>
    <col min="4" max="4" width="7.625" style="16" customWidth="1"/>
    <col min="5" max="5" width="8.5" style="16" bestFit="1" customWidth="1"/>
    <col min="6" max="6" width="8.25" style="16" bestFit="1" customWidth="1"/>
    <col min="7" max="7" width="8.5" style="16" bestFit="1" customWidth="1"/>
    <col min="8" max="8" width="7.75" style="16" customWidth="1"/>
    <col min="9" max="10" width="7.625" style="16" customWidth="1"/>
    <col min="11" max="11" width="8.5" style="16" bestFit="1" customWidth="1"/>
    <col min="12" max="12" width="7.5" style="16" customWidth="1"/>
    <col min="13" max="14" width="8.75" style="16" bestFit="1" customWidth="1"/>
    <col min="15" max="15" width="8.25" style="16" bestFit="1" customWidth="1"/>
    <col min="16" max="16" width="4.875" style="16" customWidth="1"/>
    <col min="17" max="17" width="5.125" style="16" customWidth="1"/>
    <col min="18" max="18" width="4.875" style="16" customWidth="1"/>
    <col min="19" max="19" width="6.125" style="7" hidden="1" customWidth="1"/>
    <col min="20" max="20" width="4.375" style="7" bestFit="1" customWidth="1"/>
    <col min="21" max="21" width="5.75" style="7" bestFit="1" customWidth="1"/>
    <col min="22" max="22" width="3.75" style="7" bestFit="1" customWidth="1"/>
    <col min="23" max="23" width="3.125" style="16" customWidth="1"/>
    <col min="24" max="24" width="7.875" style="7" bestFit="1" customWidth="1"/>
    <col min="25" max="25" width="14.5" style="7" bestFit="1" customWidth="1"/>
    <col min="26" max="29" width="5.875" style="7" bestFit="1" customWidth="1"/>
    <col min="30" max="30" width="14.5" style="7" bestFit="1" customWidth="1"/>
    <col min="31" max="32" width="5.875" style="7" bestFit="1" customWidth="1"/>
    <col min="33" max="33" width="3.375" style="16" bestFit="1" customWidth="1"/>
    <col min="34" max="35" width="5.875" style="7" bestFit="1" customWidth="1"/>
    <col min="36" max="36" width="6.625" style="7" bestFit="1" customWidth="1"/>
    <col min="37" max="37" width="6.875" style="7" bestFit="1" customWidth="1"/>
    <col min="38" max="38" width="4.75" style="16" bestFit="1" customWidth="1"/>
    <col min="39" max="39" width="5.375" style="7" customWidth="1"/>
    <col min="40" max="40" width="255.625" style="8" bestFit="1" customWidth="1"/>
    <col min="41" max="16384" width="9" style="7"/>
  </cols>
  <sheetData>
    <row r="1" spans="1:40" s="4" customFormat="1" ht="129" customHeight="1" x14ac:dyDescent="0.3">
      <c r="A1" s="72" t="s">
        <v>121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N1" s="5"/>
    </row>
    <row r="3" spans="1:40" ht="22.5" customHeight="1" x14ac:dyDescent="0.3">
      <c r="A3" s="75" t="s">
        <v>104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6"/>
      <c r="T3" s="74" t="s">
        <v>106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</row>
    <row r="4" spans="1:40" ht="22.5" customHeigh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6"/>
      <c r="T4" s="74" t="s">
        <v>86</v>
      </c>
      <c r="U4" s="74"/>
      <c r="V4" s="74"/>
      <c r="W4" s="74"/>
      <c r="X4" s="74"/>
      <c r="Y4" s="74" t="s">
        <v>87</v>
      </c>
      <c r="Z4" s="74"/>
      <c r="AA4" s="74"/>
      <c r="AB4" s="74"/>
      <c r="AC4" s="74"/>
      <c r="AD4" s="74"/>
      <c r="AE4" s="74"/>
      <c r="AF4" s="74"/>
      <c r="AG4" s="74" t="s">
        <v>88</v>
      </c>
      <c r="AH4" s="74"/>
      <c r="AI4" s="74"/>
      <c r="AJ4" s="74"/>
      <c r="AK4" s="74"/>
      <c r="AL4" s="74"/>
    </row>
    <row r="5" spans="1:40" ht="15" x14ac:dyDescent="0.3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10" t="s">
        <v>89</v>
      </c>
      <c r="T5" s="29" t="s">
        <v>21</v>
      </c>
      <c r="U5" s="30" t="s">
        <v>22</v>
      </c>
      <c r="V5" s="30" t="s">
        <v>23</v>
      </c>
      <c r="W5" s="30" t="s">
        <v>24</v>
      </c>
      <c r="X5" s="31" t="s">
        <v>25</v>
      </c>
      <c r="Y5" s="32" t="s">
        <v>26</v>
      </c>
      <c r="Z5" s="32" t="s">
        <v>27</v>
      </c>
      <c r="AA5" s="32" t="s">
        <v>28</v>
      </c>
      <c r="AB5" s="32" t="s">
        <v>29</v>
      </c>
      <c r="AC5" s="32" t="s">
        <v>30</v>
      </c>
      <c r="AD5" s="32" t="s">
        <v>31</v>
      </c>
      <c r="AE5" s="32" t="s">
        <v>32</v>
      </c>
      <c r="AF5" s="32" t="s">
        <v>33</v>
      </c>
      <c r="AG5" s="29" t="s">
        <v>34</v>
      </c>
      <c r="AH5" s="30" t="s">
        <v>35</v>
      </c>
      <c r="AI5" s="30" t="s">
        <v>36</v>
      </c>
      <c r="AJ5" s="30" t="s">
        <v>37</v>
      </c>
      <c r="AK5" s="30" t="s">
        <v>38</v>
      </c>
      <c r="AL5" s="31" t="s">
        <v>39</v>
      </c>
      <c r="AN5" s="11" t="s">
        <v>90</v>
      </c>
    </row>
    <row r="6" spans="1:40" x14ac:dyDescent="0.3">
      <c r="A6" s="12" t="s">
        <v>0</v>
      </c>
      <c r="B6" s="12" t="s">
        <v>1</v>
      </c>
      <c r="C6" s="13">
        <v>55.847000000000001</v>
      </c>
      <c r="D6" s="13">
        <v>4.29</v>
      </c>
      <c r="E6" s="13">
        <v>2.48</v>
      </c>
      <c r="F6" s="13">
        <v>1.0797000000000001</v>
      </c>
      <c r="G6" s="13">
        <v>0.56000000000000005</v>
      </c>
      <c r="H6" s="13">
        <v>4.1500000000000004</v>
      </c>
      <c r="I6" s="13">
        <v>1</v>
      </c>
      <c r="J6" s="13">
        <v>1</v>
      </c>
      <c r="K6" s="13">
        <v>1</v>
      </c>
      <c r="L6" s="13">
        <v>2.6</v>
      </c>
      <c r="M6" s="13">
        <v>1.8</v>
      </c>
      <c r="N6" s="13">
        <v>-7.2</v>
      </c>
      <c r="O6" s="13">
        <v>1</v>
      </c>
      <c r="P6" s="12">
        <v>0.36</v>
      </c>
      <c r="Q6" s="12">
        <v>2.8</v>
      </c>
      <c r="R6" s="14">
        <v>0.05</v>
      </c>
      <c r="S6" s="15">
        <f>IF(B6="BCC_A2",(E6*2/(3^0.5)+(E6*2/(3^0.5))*2^0.5)/2,IF(B6="FCC_A1",(2^0.5*E6+3^0.5*E6)/2,IF(B6="DIA_A4",(E6*4/(6^0.5)+((4/(3^0.5)-0.577)^2+(2/(6^0.5))^2)^0.5*E6)/2,IF(B6="HCP_A3",(2^0.5*E6+E6*2*SIN(RADIANS(60)))/2,IF(B6="DIMER",E6*2)))))</f>
        <v>3.4567401882910334</v>
      </c>
      <c r="T6" s="33" t="str">
        <f t="shared" ref="T6:T12" si="0">"'"&amp;A6&amp;"'"</f>
        <v>'Fe'</v>
      </c>
      <c r="U6" s="34" t="str">
        <f t="shared" ref="U6:U12" si="1">IF(B6="BCC_A2","'"&amp;"bcc"&amp;"'",IF(B6="FCC_A1","'"&amp;"fcc"&amp;"'",IF(B6="DIA_A4","'"&amp;"dia"&amp;"'",IF(B6="HCP_A3","'"&amp;"hcp"&amp;"'",IF(B6="DIMER","'"&amp;"dim"&amp;"'")))))</f>
        <v>'bcc'</v>
      </c>
      <c r="V6" s="34">
        <f t="shared" ref="V6:V12" si="2">IF(B6="BCC_A2",8,IF(B6="FCC_A1",12,IF(B6="DIA_A4",4,IF(B6="HCP_A3",12,IF(B6="DIMER",1)))))</f>
        <v>8</v>
      </c>
      <c r="W6" s="34">
        <v>1</v>
      </c>
      <c r="X6" s="35">
        <f t="shared" ref="X6:X12" si="3">C6</f>
        <v>55.847000000000001</v>
      </c>
      <c r="Y6" s="36">
        <f>IF(B6="BCC_A2",(((E6*2/(3^0.5))^3/2)*9*F6/D6)^0.5,IF(B6="FCC_A1",(((E6*(2^0.5))^3/4)*9*F6/D6)^0.5,IF(B6="DIA_A4",(((E6*4/(6^0.5))*(2^0.5))^3/8*9*F6/D6)^0.5,IF(B6="HCP_A3",(((E6*(2^0.5))^3/4)*9*F6/D6)^0.5,IF(B6="DIMER",F6)))))</f>
        <v>5.1571615395677455</v>
      </c>
      <c r="Z6" s="37">
        <f>H6</f>
        <v>4.1500000000000004</v>
      </c>
      <c r="AA6" s="37">
        <f>I6</f>
        <v>1</v>
      </c>
      <c r="AB6" s="37">
        <f>J6</f>
        <v>1</v>
      </c>
      <c r="AC6" s="37">
        <f>K6</f>
        <v>1</v>
      </c>
      <c r="AD6" s="36">
        <f>IF(B6="BCC_A2",E6*2/(3^0.5),IF(B6="FCC_A1",2^0.5*E6,IF(B6="DIA_A4",(E6*4/(6^0.5))*(2^0.5),IF(B6="HCP_A3",E6,IF(B6="DIMER",E6)))))</f>
        <v>2.8636573351805441</v>
      </c>
      <c r="AE6" s="37">
        <f>D6</f>
        <v>4.29</v>
      </c>
      <c r="AF6" s="37">
        <f>G6</f>
        <v>0.56000000000000005</v>
      </c>
      <c r="AG6" s="33">
        <v>1</v>
      </c>
      <c r="AH6" s="38">
        <f>L6</f>
        <v>2.6</v>
      </c>
      <c r="AI6" s="38">
        <f>M6</f>
        <v>1.8</v>
      </c>
      <c r="AJ6" s="38">
        <f>N6</f>
        <v>-7.2</v>
      </c>
      <c r="AK6" s="38">
        <f>O6</f>
        <v>1</v>
      </c>
      <c r="AL6" s="39">
        <v>3</v>
      </c>
      <c r="AN6" s="8" t="s">
        <v>91</v>
      </c>
    </row>
    <row r="7" spans="1:40" x14ac:dyDescent="0.3">
      <c r="A7" s="12" t="s">
        <v>2</v>
      </c>
      <c r="B7" s="12" t="s">
        <v>1</v>
      </c>
      <c r="C7" s="13">
        <v>51.96</v>
      </c>
      <c r="D7" s="13">
        <v>4.0999999999999996</v>
      </c>
      <c r="E7" s="13">
        <v>2.4950000000000001</v>
      </c>
      <c r="F7" s="13">
        <v>1.1863999999999999</v>
      </c>
      <c r="G7" s="13">
        <v>0.42</v>
      </c>
      <c r="H7" s="13">
        <v>6.81</v>
      </c>
      <c r="I7" s="13">
        <v>1</v>
      </c>
      <c r="J7" s="13">
        <v>1</v>
      </c>
      <c r="K7" s="13">
        <v>1</v>
      </c>
      <c r="L7" s="13">
        <v>0.3</v>
      </c>
      <c r="M7" s="13">
        <v>5.9</v>
      </c>
      <c r="N7" s="13">
        <v>-10.4</v>
      </c>
      <c r="O7" s="13">
        <v>1</v>
      </c>
      <c r="P7" s="12">
        <v>0.78</v>
      </c>
      <c r="Q7" s="12">
        <v>2.8</v>
      </c>
      <c r="R7" s="14">
        <v>0</v>
      </c>
      <c r="S7" s="15">
        <f t="shared" ref="S7:S45" si="4">IF(B7="BCC_A2",(E7*2/(3^0.5)+(E7*2/(3^0.5))*2^0.5)/2,IF(B7="FCC_A1",(2^0.5*E7+3^0.5*E7)/2,IF(B7="DIA_A4",(E7*4/(6^0.5)+((4/(3^0.5)-0.577)^2+(2/(6^0.5))^2)^0.5*E7)/2,IF(B7="HCP_A3",(2^0.5*E7+E7*2*SIN(RADIANS(60)))/2,IF(B7="DIMER",E7*2)))))</f>
        <v>3.4776478910427935</v>
      </c>
      <c r="T7" s="33" t="str">
        <f t="shared" si="0"/>
        <v>'Cr'</v>
      </c>
      <c r="U7" s="34" t="str">
        <f t="shared" si="1"/>
        <v>'bcc'</v>
      </c>
      <c r="V7" s="34">
        <f t="shared" si="2"/>
        <v>8</v>
      </c>
      <c r="W7" s="34">
        <v>1</v>
      </c>
      <c r="X7" s="35">
        <f t="shared" si="3"/>
        <v>51.96</v>
      </c>
      <c r="Y7" s="36">
        <f t="shared" ref="Y7:Y11" si="5">IF(B7="BCC_A2",(((E7*2/(3^0.5))^3/2)*9*F7/D7)^0.5,IF(B7="FCC_A1",(((E7*(2^0.5))^3/4)*9*F7/D7)^0.5,IF(B7="DIA_A4",(((E7*4/(6^0.5))*(2^0.5))^3/8*9*F7/D7)^0.5,IF(B7="HCP_A3",(((E7*(2^0.5))^3/4)*9*F7/D7)^0.5,IF(B7="DIMER",F7)))))</f>
        <v>5.5800716432217996</v>
      </c>
      <c r="Z7" s="37">
        <f t="shared" ref="Z7:Z11" si="6">H7</f>
        <v>6.81</v>
      </c>
      <c r="AA7" s="37">
        <f t="shared" ref="AA7:AA11" si="7">I7</f>
        <v>1</v>
      </c>
      <c r="AB7" s="37">
        <f t="shared" ref="AB7:AB11" si="8">J7</f>
        <v>1</v>
      </c>
      <c r="AC7" s="37">
        <f t="shared" ref="AC7:AC11" si="9">K7</f>
        <v>1</v>
      </c>
      <c r="AD7" s="36">
        <f t="shared" ref="AD7:AD11" si="10">IF(B7="BCC_A2",E7*2/(3^0.5),IF(B7="FCC_A1",2^0.5*E7,IF(B7="DIA_A4",(E7*4/(6^0.5))*(2^0.5),IF(B7="HCP_A3",E7,IF(B7="DIMER",E7)))))</f>
        <v>2.880977843256233</v>
      </c>
      <c r="AE7" s="37">
        <f t="shared" ref="AE7:AE11" si="11">D7</f>
        <v>4.0999999999999996</v>
      </c>
      <c r="AF7" s="37">
        <f t="shared" ref="AF7:AF11" si="12">G7</f>
        <v>0.42</v>
      </c>
      <c r="AG7" s="33">
        <v>1</v>
      </c>
      <c r="AH7" s="38">
        <f t="shared" ref="AH7:AH11" si="13">L7</f>
        <v>0.3</v>
      </c>
      <c r="AI7" s="38">
        <f t="shared" ref="AI7:AI11" si="14">M7</f>
        <v>5.9</v>
      </c>
      <c r="AJ7" s="38">
        <f t="shared" ref="AJ7:AJ11" si="15">N7</f>
        <v>-10.4</v>
      </c>
      <c r="AK7" s="38">
        <f t="shared" ref="AK7:AK11" si="16">O7</f>
        <v>1</v>
      </c>
      <c r="AL7" s="39">
        <v>3</v>
      </c>
      <c r="AN7" s="8" t="s">
        <v>92</v>
      </c>
    </row>
    <row r="8" spans="1:40" x14ac:dyDescent="0.3">
      <c r="A8" s="12" t="s">
        <v>58</v>
      </c>
      <c r="B8" s="12" t="s">
        <v>1</v>
      </c>
      <c r="C8" s="13">
        <v>89.96</v>
      </c>
      <c r="D8" s="13">
        <v>6.81</v>
      </c>
      <c r="E8" s="13">
        <v>2.7250000000000001</v>
      </c>
      <c r="F8" s="13">
        <v>1.6556999999999999</v>
      </c>
      <c r="G8" s="13">
        <v>0.46</v>
      </c>
      <c r="H8" s="13">
        <v>7.03</v>
      </c>
      <c r="I8" s="13">
        <v>1</v>
      </c>
      <c r="J8" s="13">
        <v>1</v>
      </c>
      <c r="K8" s="13">
        <v>1</v>
      </c>
      <c r="L8" s="13">
        <v>0.5</v>
      </c>
      <c r="M8" s="13">
        <v>3.1</v>
      </c>
      <c r="N8" s="13">
        <v>-7.5</v>
      </c>
      <c r="O8" s="13">
        <v>1</v>
      </c>
      <c r="P8" s="12">
        <v>0.64</v>
      </c>
      <c r="Q8" s="12">
        <v>2.8</v>
      </c>
      <c r="R8" s="14">
        <v>0</v>
      </c>
      <c r="S8" s="15">
        <f t="shared" si="4"/>
        <v>3.7982326665697839</v>
      </c>
      <c r="T8" s="33" t="str">
        <f t="shared" si="0"/>
        <v>'Mo'</v>
      </c>
      <c r="U8" s="34" t="str">
        <f t="shared" si="1"/>
        <v>'bcc'</v>
      </c>
      <c r="V8" s="34">
        <f t="shared" si="2"/>
        <v>8</v>
      </c>
      <c r="W8" s="34">
        <v>1</v>
      </c>
      <c r="X8" s="35">
        <f t="shared" si="3"/>
        <v>89.96</v>
      </c>
      <c r="Y8" s="36">
        <f t="shared" si="5"/>
        <v>5.8381780760356872</v>
      </c>
      <c r="Z8" s="37">
        <f t="shared" si="6"/>
        <v>7.03</v>
      </c>
      <c r="AA8" s="37">
        <f t="shared" si="7"/>
        <v>1</v>
      </c>
      <c r="AB8" s="37">
        <f t="shared" si="8"/>
        <v>1</v>
      </c>
      <c r="AC8" s="37">
        <f t="shared" si="9"/>
        <v>1</v>
      </c>
      <c r="AD8" s="36">
        <f t="shared" si="10"/>
        <v>3.1465589670834606</v>
      </c>
      <c r="AE8" s="37">
        <f t="shared" si="11"/>
        <v>6.81</v>
      </c>
      <c r="AF8" s="37">
        <f t="shared" si="12"/>
        <v>0.46</v>
      </c>
      <c r="AG8" s="33">
        <v>1</v>
      </c>
      <c r="AH8" s="38">
        <f t="shared" si="13"/>
        <v>0.5</v>
      </c>
      <c r="AI8" s="38">
        <f t="shared" si="14"/>
        <v>3.1</v>
      </c>
      <c r="AJ8" s="38">
        <f t="shared" si="15"/>
        <v>-7.5</v>
      </c>
      <c r="AK8" s="38">
        <f t="shared" si="16"/>
        <v>1</v>
      </c>
      <c r="AL8" s="39">
        <v>3</v>
      </c>
      <c r="AN8" s="8" t="s">
        <v>93</v>
      </c>
    </row>
    <row r="9" spans="1:40" x14ac:dyDescent="0.3">
      <c r="A9" s="12" t="s">
        <v>59</v>
      </c>
      <c r="B9" s="12" t="s">
        <v>1</v>
      </c>
      <c r="C9" s="13">
        <v>183.85</v>
      </c>
      <c r="D9" s="13">
        <v>8.66</v>
      </c>
      <c r="E9" s="13">
        <v>2.74</v>
      </c>
      <c r="F9" s="13">
        <v>1.9609000000000001</v>
      </c>
      <c r="G9" s="13">
        <v>0.4</v>
      </c>
      <c r="H9" s="13">
        <v>6.54</v>
      </c>
      <c r="I9" s="13">
        <v>1</v>
      </c>
      <c r="J9" s="13">
        <v>1</v>
      </c>
      <c r="K9" s="13">
        <v>1</v>
      </c>
      <c r="L9" s="13">
        <v>-0.6</v>
      </c>
      <c r="M9" s="13">
        <v>0.3</v>
      </c>
      <c r="N9" s="13">
        <v>-8.6999999999999993</v>
      </c>
      <c r="O9" s="13">
        <v>1</v>
      </c>
      <c r="P9" s="12">
        <v>0.49</v>
      </c>
      <c r="Q9" s="12">
        <v>2.8</v>
      </c>
      <c r="R9" s="14">
        <v>0</v>
      </c>
      <c r="S9" s="15">
        <f t="shared" si="4"/>
        <v>3.819140369321544</v>
      </c>
      <c r="T9" s="33" t="str">
        <f t="shared" si="0"/>
        <v>'W'</v>
      </c>
      <c r="U9" s="34" t="str">
        <f t="shared" si="1"/>
        <v>'bcc'</v>
      </c>
      <c r="V9" s="34">
        <f t="shared" si="2"/>
        <v>8</v>
      </c>
      <c r="W9" s="34">
        <v>1</v>
      </c>
      <c r="X9" s="35">
        <f t="shared" si="3"/>
        <v>183.85</v>
      </c>
      <c r="Y9" s="36">
        <f t="shared" si="5"/>
        <v>5.6807402378194016</v>
      </c>
      <c r="Z9" s="37">
        <f t="shared" si="6"/>
        <v>6.54</v>
      </c>
      <c r="AA9" s="37">
        <f t="shared" si="7"/>
        <v>1</v>
      </c>
      <c r="AB9" s="37">
        <f t="shared" si="8"/>
        <v>1</v>
      </c>
      <c r="AC9" s="37">
        <f t="shared" si="9"/>
        <v>1</v>
      </c>
      <c r="AD9" s="36">
        <f t="shared" si="10"/>
        <v>3.1638794751591495</v>
      </c>
      <c r="AE9" s="37">
        <f t="shared" si="11"/>
        <v>8.66</v>
      </c>
      <c r="AF9" s="37">
        <f t="shared" si="12"/>
        <v>0.4</v>
      </c>
      <c r="AG9" s="33">
        <v>1</v>
      </c>
      <c r="AH9" s="38">
        <f t="shared" si="13"/>
        <v>-0.6</v>
      </c>
      <c r="AI9" s="38">
        <f t="shared" si="14"/>
        <v>0.3</v>
      </c>
      <c r="AJ9" s="38">
        <f t="shared" si="15"/>
        <v>-8.6999999999999993</v>
      </c>
      <c r="AK9" s="38">
        <f t="shared" si="16"/>
        <v>1</v>
      </c>
      <c r="AL9" s="39">
        <v>3</v>
      </c>
      <c r="AN9" s="8" t="s">
        <v>94</v>
      </c>
    </row>
    <row r="10" spans="1:40" x14ac:dyDescent="0.3">
      <c r="A10" s="12" t="s">
        <v>60</v>
      </c>
      <c r="B10" s="12" t="s">
        <v>1</v>
      </c>
      <c r="C10" s="13">
        <v>50.942</v>
      </c>
      <c r="D10" s="13">
        <v>5.3</v>
      </c>
      <c r="E10" s="13">
        <v>2.625</v>
      </c>
      <c r="F10" s="13">
        <v>0.98</v>
      </c>
      <c r="G10" s="13">
        <v>0.73</v>
      </c>
      <c r="H10" s="13">
        <v>4.74</v>
      </c>
      <c r="I10" s="13">
        <v>1</v>
      </c>
      <c r="J10" s="13">
        <v>2.5</v>
      </c>
      <c r="K10" s="13">
        <v>1</v>
      </c>
      <c r="L10" s="13">
        <v>3.3</v>
      </c>
      <c r="M10" s="13">
        <v>3.2</v>
      </c>
      <c r="N10" s="13">
        <v>-2</v>
      </c>
      <c r="O10" s="13">
        <v>1</v>
      </c>
      <c r="P10" s="12">
        <v>0.49</v>
      </c>
      <c r="Q10" s="12">
        <v>2.8</v>
      </c>
      <c r="R10" s="14">
        <v>0</v>
      </c>
      <c r="S10" s="15">
        <f t="shared" si="4"/>
        <v>3.6588479815580492</v>
      </c>
      <c r="T10" s="33" t="str">
        <f t="shared" si="0"/>
        <v>'V'</v>
      </c>
      <c r="U10" s="34" t="str">
        <f t="shared" si="1"/>
        <v>'bcc'</v>
      </c>
      <c r="V10" s="34">
        <f t="shared" si="2"/>
        <v>8</v>
      </c>
      <c r="W10" s="34">
        <v>1</v>
      </c>
      <c r="X10" s="35">
        <f t="shared" si="3"/>
        <v>50.942</v>
      </c>
      <c r="Y10" s="36">
        <f t="shared" si="5"/>
        <v>4.8137039167841698</v>
      </c>
      <c r="Z10" s="37">
        <f t="shared" si="6"/>
        <v>4.74</v>
      </c>
      <c r="AA10" s="37">
        <f t="shared" si="7"/>
        <v>1</v>
      </c>
      <c r="AB10" s="37">
        <f t="shared" si="8"/>
        <v>2.5</v>
      </c>
      <c r="AC10" s="37">
        <f t="shared" si="9"/>
        <v>1</v>
      </c>
      <c r="AD10" s="36">
        <f t="shared" si="10"/>
        <v>3.0310889132455356</v>
      </c>
      <c r="AE10" s="37">
        <f t="shared" si="11"/>
        <v>5.3</v>
      </c>
      <c r="AF10" s="37">
        <f t="shared" si="12"/>
        <v>0.73</v>
      </c>
      <c r="AG10" s="33">
        <v>1</v>
      </c>
      <c r="AH10" s="38">
        <f t="shared" si="13"/>
        <v>3.3</v>
      </c>
      <c r="AI10" s="38">
        <f t="shared" si="14"/>
        <v>3.2</v>
      </c>
      <c r="AJ10" s="38">
        <f t="shared" si="15"/>
        <v>-2</v>
      </c>
      <c r="AK10" s="38">
        <f t="shared" si="16"/>
        <v>1</v>
      </c>
      <c r="AL10" s="39">
        <v>3</v>
      </c>
      <c r="AN10" s="8" t="s">
        <v>95</v>
      </c>
    </row>
    <row r="11" spans="1:40" x14ac:dyDescent="0.3">
      <c r="A11" s="12" t="s">
        <v>51</v>
      </c>
      <c r="B11" s="12" t="s">
        <v>1</v>
      </c>
      <c r="C11" s="13">
        <v>92.906000000000006</v>
      </c>
      <c r="D11" s="13">
        <v>7.47</v>
      </c>
      <c r="E11" s="13">
        <v>2.86</v>
      </c>
      <c r="F11" s="13">
        <v>1.0797000000000001</v>
      </c>
      <c r="G11" s="13">
        <v>0.72</v>
      </c>
      <c r="H11" s="13">
        <v>5.08</v>
      </c>
      <c r="I11" s="13">
        <v>1</v>
      </c>
      <c r="J11" s="13">
        <v>2.5</v>
      </c>
      <c r="K11" s="13">
        <v>1</v>
      </c>
      <c r="L11" s="13">
        <v>1.7</v>
      </c>
      <c r="M11" s="13">
        <v>2.8</v>
      </c>
      <c r="N11" s="13">
        <v>-1.6</v>
      </c>
      <c r="O11" s="13">
        <v>1</v>
      </c>
      <c r="P11" s="12">
        <v>0.36</v>
      </c>
      <c r="Q11" s="12">
        <v>2.8</v>
      </c>
      <c r="R11" s="14">
        <v>0</v>
      </c>
      <c r="S11" s="15">
        <f t="shared" si="4"/>
        <v>3.9864019913356268</v>
      </c>
      <c r="T11" s="33" t="str">
        <f t="shared" si="0"/>
        <v>'Nb'</v>
      </c>
      <c r="U11" s="34" t="str">
        <f t="shared" si="1"/>
        <v>'bcc'</v>
      </c>
      <c r="V11" s="34">
        <f t="shared" si="2"/>
        <v>8</v>
      </c>
      <c r="W11" s="34">
        <v>1</v>
      </c>
      <c r="X11" s="35">
        <f t="shared" si="3"/>
        <v>92.906000000000006</v>
      </c>
      <c r="Y11" s="36">
        <f t="shared" si="5"/>
        <v>4.8400584775197437</v>
      </c>
      <c r="Z11" s="37">
        <f t="shared" si="6"/>
        <v>5.08</v>
      </c>
      <c r="AA11" s="37">
        <f t="shared" si="7"/>
        <v>1</v>
      </c>
      <c r="AB11" s="37">
        <f t="shared" si="8"/>
        <v>2.5</v>
      </c>
      <c r="AC11" s="37">
        <f t="shared" si="9"/>
        <v>1</v>
      </c>
      <c r="AD11" s="36">
        <f t="shared" si="10"/>
        <v>3.3024435397646594</v>
      </c>
      <c r="AE11" s="37">
        <f t="shared" si="11"/>
        <v>7.47</v>
      </c>
      <c r="AF11" s="37">
        <f t="shared" si="12"/>
        <v>0.72</v>
      </c>
      <c r="AG11" s="33">
        <v>1</v>
      </c>
      <c r="AH11" s="38">
        <f t="shared" si="13"/>
        <v>1.7</v>
      </c>
      <c r="AI11" s="38">
        <f t="shared" si="14"/>
        <v>2.8</v>
      </c>
      <c r="AJ11" s="38">
        <f t="shared" si="15"/>
        <v>-1.6</v>
      </c>
      <c r="AK11" s="38">
        <f t="shared" si="16"/>
        <v>1</v>
      </c>
      <c r="AL11" s="39">
        <v>3</v>
      </c>
      <c r="AN11" s="8" t="s">
        <v>96</v>
      </c>
    </row>
    <row r="12" spans="1:40" x14ac:dyDescent="0.3">
      <c r="A12" s="12" t="s">
        <v>61</v>
      </c>
      <c r="B12" s="12" t="s">
        <v>1</v>
      </c>
      <c r="C12" s="13">
        <v>180.94800000000001</v>
      </c>
      <c r="D12" s="13">
        <v>8.09</v>
      </c>
      <c r="E12" s="13">
        <v>2.86</v>
      </c>
      <c r="F12" s="13">
        <v>1.212</v>
      </c>
      <c r="G12" s="13">
        <v>0.67</v>
      </c>
      <c r="H12" s="13">
        <v>4.49</v>
      </c>
      <c r="I12" s="13">
        <v>1</v>
      </c>
      <c r="J12" s="13">
        <v>1</v>
      </c>
      <c r="K12" s="13">
        <v>1</v>
      </c>
      <c r="L12" s="13">
        <v>1.7</v>
      </c>
      <c r="M12" s="13">
        <v>2.1</v>
      </c>
      <c r="N12" s="13">
        <v>-3.2</v>
      </c>
      <c r="O12" s="13">
        <v>1</v>
      </c>
      <c r="P12" s="12">
        <v>0.25</v>
      </c>
      <c r="Q12" s="12">
        <v>2.8</v>
      </c>
      <c r="R12" s="14">
        <v>0</v>
      </c>
      <c r="S12" s="15">
        <f t="shared" si="4"/>
        <v>3.9864019913356268</v>
      </c>
      <c r="T12" s="33" t="str">
        <f t="shared" si="0"/>
        <v>'Ta'</v>
      </c>
      <c r="U12" s="34" t="str">
        <f t="shared" si="1"/>
        <v>'bcc'</v>
      </c>
      <c r="V12" s="34">
        <f t="shared" si="2"/>
        <v>8</v>
      </c>
      <c r="W12" s="34">
        <v>1</v>
      </c>
      <c r="X12" s="35">
        <f t="shared" si="3"/>
        <v>180.94800000000001</v>
      </c>
      <c r="Y12" s="36">
        <f t="shared" ref="Y12" si="17">IF(B12="BCC_A2",(((E12*2/(3^0.5))^3/2)*9*F12/D12)^0.5,IF(B12="FCC_A1",(((E12*(2^0.5))^3/4)*9*F12/D12)^0.5,IF(B12="DIA_A4",(((E12*4/(6^0.5))*(2^0.5))^3/8*9*F12/D12)^0.5,IF(B12="HCP_A3",(((E12*(2^0.5))^3/4)*9*F12/D12)^0.5,IF(B12="DIMER",F12)))))</f>
        <v>4.9276109104935593</v>
      </c>
      <c r="Z12" s="37">
        <f t="shared" ref="Z12" si="18">H12</f>
        <v>4.49</v>
      </c>
      <c r="AA12" s="37">
        <f t="shared" ref="AA12" si="19">I12</f>
        <v>1</v>
      </c>
      <c r="AB12" s="37">
        <f t="shared" ref="AB12" si="20">J12</f>
        <v>1</v>
      </c>
      <c r="AC12" s="37">
        <f t="shared" ref="AC12" si="21">K12</f>
        <v>1</v>
      </c>
      <c r="AD12" s="36">
        <f t="shared" ref="AD12" si="22">IF(B12="BCC_A2",E12*2/(3^0.5),IF(B12="FCC_A1",2^0.5*E12,IF(B12="DIA_A4",(E12*4/(6^0.5))*(2^0.5),IF(B12="HCP_A3",E12,IF(B12="DIMER",E12)))))</f>
        <v>3.3024435397646594</v>
      </c>
      <c r="AE12" s="37">
        <f t="shared" ref="AE12" si="23">D12</f>
        <v>8.09</v>
      </c>
      <c r="AF12" s="37">
        <f t="shared" ref="AF12" si="24">G12</f>
        <v>0.67</v>
      </c>
      <c r="AG12" s="33">
        <v>1</v>
      </c>
      <c r="AH12" s="38">
        <f t="shared" ref="AH12" si="25">L12</f>
        <v>1.7</v>
      </c>
      <c r="AI12" s="38">
        <f t="shared" ref="AI12" si="26">M12</f>
        <v>2.1</v>
      </c>
      <c r="AJ12" s="38">
        <f t="shared" ref="AJ12" si="27">N12</f>
        <v>-3.2</v>
      </c>
      <c r="AK12" s="38">
        <f t="shared" ref="AK12" si="28">O12</f>
        <v>1</v>
      </c>
      <c r="AL12" s="39">
        <v>3</v>
      </c>
      <c r="AN12" s="8" t="s">
        <v>97</v>
      </c>
    </row>
    <row r="13" spans="1:40" x14ac:dyDescent="0.3">
      <c r="A13" s="12" t="s">
        <v>62</v>
      </c>
      <c r="B13" s="12" t="s">
        <v>1</v>
      </c>
      <c r="C13" s="13">
        <v>54.94</v>
      </c>
      <c r="D13" s="13">
        <v>2.9</v>
      </c>
      <c r="E13" s="13">
        <v>2.5299999999999998</v>
      </c>
      <c r="F13" s="13">
        <v>0.85</v>
      </c>
      <c r="G13" s="13">
        <v>0.7</v>
      </c>
      <c r="H13" s="13">
        <v>4.3</v>
      </c>
      <c r="I13" s="13">
        <v>1</v>
      </c>
      <c r="J13" s="13">
        <v>2</v>
      </c>
      <c r="K13" s="13">
        <v>6.5</v>
      </c>
      <c r="L13" s="13">
        <v>4</v>
      </c>
      <c r="M13" s="13">
        <v>-3</v>
      </c>
      <c r="N13" s="13">
        <v>-4</v>
      </c>
      <c r="O13" s="13">
        <v>1</v>
      </c>
      <c r="P13" s="12">
        <v>0.16</v>
      </c>
      <c r="Q13" s="12">
        <v>2.8</v>
      </c>
      <c r="R13" s="14">
        <v>0</v>
      </c>
      <c r="S13" s="15">
        <f t="shared" si="4"/>
        <v>3.5264325307969004</v>
      </c>
      <c r="T13" s="33" t="str">
        <f t="shared" ref="T13:T24" si="29">"'"&amp;A13&amp;"'"</f>
        <v>'Mn'</v>
      </c>
      <c r="U13" s="34" t="str">
        <f t="shared" ref="U13:U24" si="30">IF(B13="BCC_A2","'"&amp;"bcc"&amp;"'",IF(B13="FCC_A1","'"&amp;"fcc"&amp;"'",IF(B13="DIA_A4","'"&amp;"dia"&amp;"'",IF(B13="HCP_A3","'"&amp;"hcp"&amp;"'",IF(B13="DIMER","'"&amp;"dim"&amp;"'")))))</f>
        <v>'bcc'</v>
      </c>
      <c r="V13" s="34">
        <f t="shared" ref="V13:V24" si="31">IF(B13="BCC_A2",8,IF(B13="FCC_A1",12,IF(B13="DIA_A4",4,IF(B13="HCP_A3",12,IF(B13="DIMER",1)))))</f>
        <v>8</v>
      </c>
      <c r="W13" s="34">
        <v>1</v>
      </c>
      <c r="X13" s="35">
        <f t="shared" ref="X13:X24" si="32">C13</f>
        <v>54.94</v>
      </c>
      <c r="Y13" s="36">
        <f t="shared" ref="Y13:Y24" si="33">IF(B13="BCC_A2",(((E13*2/(3^0.5))^3/2)*9*F13/D13)^0.5,IF(B13="FCC_A1",(((E13*(2^0.5))^3/4)*9*F13/D13)^0.5,IF(B13="DIA_A4",(((E13*4/(6^0.5))*(2^0.5))^3/8*9*F13/D13)^0.5,IF(B13="HCP_A3",(((E13*(2^0.5))^3/4)*9*F13/D13)^0.5,IF(B13="DIMER",F13)))))</f>
        <v>5.7345791983992838</v>
      </c>
      <c r="Z13" s="37">
        <f t="shared" ref="Z13:Z24" si="34">H13</f>
        <v>4.3</v>
      </c>
      <c r="AA13" s="37">
        <f t="shared" ref="AA13:AA24" si="35">I13</f>
        <v>1</v>
      </c>
      <c r="AB13" s="37">
        <f t="shared" ref="AB13:AB24" si="36">J13</f>
        <v>2</v>
      </c>
      <c r="AC13" s="37">
        <f t="shared" ref="AC13:AC24" si="37">K13</f>
        <v>6.5</v>
      </c>
      <c r="AD13" s="36">
        <f t="shared" ref="AD13:AD24" si="38">IF(B13="BCC_A2",E13*2/(3^0.5),IF(B13="FCC_A1",2^0.5*E13,IF(B13="DIA_A4",(E13*4/(6^0.5))*(2^0.5),IF(B13="HCP_A3",E13,IF(B13="DIMER",E13)))))</f>
        <v>2.9213923620995064</v>
      </c>
      <c r="AE13" s="37">
        <f t="shared" ref="AE13:AE24" si="39">D13</f>
        <v>2.9</v>
      </c>
      <c r="AF13" s="37">
        <f t="shared" ref="AF13:AF24" si="40">G13</f>
        <v>0.7</v>
      </c>
      <c r="AG13" s="33">
        <v>1</v>
      </c>
      <c r="AH13" s="38">
        <f t="shared" ref="AH13:AH24" si="41">L13</f>
        <v>4</v>
      </c>
      <c r="AI13" s="38">
        <f t="shared" ref="AI13:AI24" si="42">M13</f>
        <v>-3</v>
      </c>
      <c r="AJ13" s="38">
        <f t="shared" ref="AJ13:AJ24" si="43">N13</f>
        <v>-4</v>
      </c>
      <c r="AK13" s="38">
        <f t="shared" ref="AK13:AK24" si="44">O13</f>
        <v>1</v>
      </c>
      <c r="AL13" s="39">
        <v>3</v>
      </c>
    </row>
    <row r="14" spans="1:40" x14ac:dyDescent="0.3">
      <c r="A14" s="12" t="s">
        <v>63</v>
      </c>
      <c r="B14" s="12" t="s">
        <v>1</v>
      </c>
      <c r="C14" s="13">
        <v>6.94</v>
      </c>
      <c r="D14" s="13">
        <v>1.65</v>
      </c>
      <c r="E14" s="13">
        <v>3.02</v>
      </c>
      <c r="F14" s="13">
        <v>8.3000000000000004E-2</v>
      </c>
      <c r="G14" s="13">
        <v>0.95</v>
      </c>
      <c r="H14" s="13">
        <v>1.65</v>
      </c>
      <c r="I14" s="13">
        <v>1</v>
      </c>
      <c r="J14" s="13">
        <v>4</v>
      </c>
      <c r="K14" s="13">
        <v>1</v>
      </c>
      <c r="L14" s="13">
        <v>2.2999999999999998</v>
      </c>
      <c r="M14" s="13">
        <v>5</v>
      </c>
      <c r="N14" s="13">
        <v>0.5</v>
      </c>
      <c r="O14" s="13">
        <v>1</v>
      </c>
      <c r="P14" s="12">
        <v>0.16</v>
      </c>
      <c r="Q14" s="12">
        <v>2.8</v>
      </c>
      <c r="R14" s="14">
        <v>0.05</v>
      </c>
      <c r="S14" s="15">
        <f t="shared" si="4"/>
        <v>4.2094174873544024</v>
      </c>
      <c r="T14" s="33" t="str">
        <f t="shared" si="29"/>
        <v>'Li'</v>
      </c>
      <c r="U14" s="34" t="str">
        <f t="shared" si="30"/>
        <v>'bcc'</v>
      </c>
      <c r="V14" s="34">
        <f t="shared" si="31"/>
        <v>8</v>
      </c>
      <c r="W14" s="34">
        <v>1</v>
      </c>
      <c r="X14" s="35">
        <f t="shared" si="32"/>
        <v>6.94</v>
      </c>
      <c r="Y14" s="36">
        <f t="shared" si="33"/>
        <v>3.0982595559325863</v>
      </c>
      <c r="Z14" s="37">
        <f t="shared" si="34"/>
        <v>1.65</v>
      </c>
      <c r="AA14" s="37">
        <f t="shared" si="35"/>
        <v>1</v>
      </c>
      <c r="AB14" s="37">
        <f t="shared" si="36"/>
        <v>4</v>
      </c>
      <c r="AC14" s="37">
        <f t="shared" si="37"/>
        <v>1</v>
      </c>
      <c r="AD14" s="36">
        <f t="shared" si="38"/>
        <v>3.4871956259053398</v>
      </c>
      <c r="AE14" s="37">
        <f t="shared" si="39"/>
        <v>1.65</v>
      </c>
      <c r="AF14" s="37">
        <f t="shared" si="40"/>
        <v>0.95</v>
      </c>
      <c r="AG14" s="33">
        <v>1</v>
      </c>
      <c r="AH14" s="38">
        <f t="shared" si="41"/>
        <v>2.2999999999999998</v>
      </c>
      <c r="AI14" s="38">
        <f t="shared" si="42"/>
        <v>5</v>
      </c>
      <c r="AJ14" s="38">
        <f t="shared" si="43"/>
        <v>0.5</v>
      </c>
      <c r="AK14" s="38">
        <f t="shared" si="44"/>
        <v>1</v>
      </c>
      <c r="AL14" s="39">
        <v>3</v>
      </c>
    </row>
    <row r="15" spans="1:40" x14ac:dyDescent="0.3">
      <c r="A15" s="12" t="s">
        <v>48</v>
      </c>
      <c r="B15" s="12" t="s">
        <v>40</v>
      </c>
      <c r="C15" s="13">
        <v>58.69</v>
      </c>
      <c r="D15" s="13">
        <v>4.45</v>
      </c>
      <c r="E15" s="13">
        <v>2.4900000000000002</v>
      </c>
      <c r="F15" s="13">
        <v>1.1708000000000001</v>
      </c>
      <c r="G15" s="13">
        <v>0.94</v>
      </c>
      <c r="H15" s="13">
        <v>2.56</v>
      </c>
      <c r="I15" s="13">
        <v>1.5</v>
      </c>
      <c r="J15" s="13">
        <v>6</v>
      </c>
      <c r="K15" s="13">
        <v>1.5</v>
      </c>
      <c r="L15" s="13">
        <v>3.1</v>
      </c>
      <c r="M15" s="13">
        <v>1.8</v>
      </c>
      <c r="N15" s="13">
        <v>4.3600000000000003</v>
      </c>
      <c r="O15" s="13">
        <v>1</v>
      </c>
      <c r="P15" s="12">
        <v>0.81</v>
      </c>
      <c r="Q15" s="12">
        <v>2.8</v>
      </c>
      <c r="R15" s="14">
        <v>0.05</v>
      </c>
      <c r="S15" s="15">
        <f t="shared" si="4"/>
        <v>3.917099140577756</v>
      </c>
      <c r="T15" s="33" t="str">
        <f t="shared" si="29"/>
        <v>'Ni'</v>
      </c>
      <c r="U15" s="34" t="str">
        <f t="shared" si="30"/>
        <v>'fcc'</v>
      </c>
      <c r="V15" s="34">
        <f t="shared" si="31"/>
        <v>12</v>
      </c>
      <c r="W15" s="34">
        <v>1</v>
      </c>
      <c r="X15" s="35">
        <f t="shared" si="32"/>
        <v>58.69</v>
      </c>
      <c r="Y15" s="36">
        <f t="shared" si="33"/>
        <v>5.0842175782210353</v>
      </c>
      <c r="Z15" s="37">
        <f t="shared" si="34"/>
        <v>2.56</v>
      </c>
      <c r="AA15" s="37">
        <f t="shared" si="35"/>
        <v>1.5</v>
      </c>
      <c r="AB15" s="37">
        <f t="shared" si="36"/>
        <v>6</v>
      </c>
      <c r="AC15" s="37">
        <f t="shared" si="37"/>
        <v>1.5</v>
      </c>
      <c r="AD15" s="36">
        <f t="shared" si="38"/>
        <v>3.5213917703090072</v>
      </c>
      <c r="AE15" s="37">
        <f t="shared" si="39"/>
        <v>4.45</v>
      </c>
      <c r="AF15" s="37">
        <f t="shared" si="40"/>
        <v>0.94</v>
      </c>
      <c r="AG15" s="33">
        <v>1</v>
      </c>
      <c r="AH15" s="38">
        <f t="shared" si="41"/>
        <v>3.1</v>
      </c>
      <c r="AI15" s="38">
        <f t="shared" si="42"/>
        <v>1.8</v>
      </c>
      <c r="AJ15" s="38">
        <f t="shared" si="43"/>
        <v>4.3600000000000003</v>
      </c>
      <c r="AK15" s="38">
        <f t="shared" si="44"/>
        <v>1</v>
      </c>
      <c r="AL15" s="39">
        <v>3</v>
      </c>
    </row>
    <row r="16" spans="1:40" x14ac:dyDescent="0.3">
      <c r="A16" s="12" t="s">
        <v>64</v>
      </c>
      <c r="B16" s="12" t="s">
        <v>40</v>
      </c>
      <c r="C16" s="13">
        <v>106.42</v>
      </c>
      <c r="D16" s="13">
        <v>3.91</v>
      </c>
      <c r="E16" s="13">
        <v>2.75</v>
      </c>
      <c r="F16" s="13">
        <v>1.2201</v>
      </c>
      <c r="G16" s="13">
        <v>0.94</v>
      </c>
      <c r="H16" s="13">
        <v>5.15</v>
      </c>
      <c r="I16" s="13">
        <v>2.2000000000000002</v>
      </c>
      <c r="J16" s="13">
        <v>6</v>
      </c>
      <c r="K16" s="13">
        <v>2.2000000000000002</v>
      </c>
      <c r="L16" s="13">
        <v>4.5</v>
      </c>
      <c r="M16" s="13">
        <v>1.47</v>
      </c>
      <c r="N16" s="13">
        <v>4.8499999999999996</v>
      </c>
      <c r="O16" s="13">
        <v>1</v>
      </c>
      <c r="P16" s="12">
        <v>1.69</v>
      </c>
      <c r="Q16" s="12">
        <v>2.8</v>
      </c>
      <c r="R16" s="14">
        <v>0.05</v>
      </c>
      <c r="S16" s="15">
        <f t="shared" si="4"/>
        <v>4.326113508670212</v>
      </c>
      <c r="T16" s="33" t="str">
        <f t="shared" si="29"/>
        <v>'Pd'</v>
      </c>
      <c r="U16" s="34" t="str">
        <f t="shared" si="30"/>
        <v>'fcc'</v>
      </c>
      <c r="V16" s="34">
        <f t="shared" si="31"/>
        <v>12</v>
      </c>
      <c r="W16" s="34">
        <v>1</v>
      </c>
      <c r="X16" s="35">
        <f t="shared" si="32"/>
        <v>106.42</v>
      </c>
      <c r="Y16" s="36">
        <f t="shared" si="33"/>
        <v>6.4264647750280623</v>
      </c>
      <c r="Z16" s="37">
        <f t="shared" si="34"/>
        <v>5.15</v>
      </c>
      <c r="AA16" s="37">
        <f t="shared" si="35"/>
        <v>2.2000000000000002</v>
      </c>
      <c r="AB16" s="37">
        <f t="shared" si="36"/>
        <v>6</v>
      </c>
      <c r="AC16" s="37">
        <f t="shared" si="37"/>
        <v>2.2000000000000002</v>
      </c>
      <c r="AD16" s="36">
        <f t="shared" si="38"/>
        <v>3.8890872965260117</v>
      </c>
      <c r="AE16" s="37">
        <f t="shared" si="39"/>
        <v>3.91</v>
      </c>
      <c r="AF16" s="37">
        <f t="shared" si="40"/>
        <v>0.94</v>
      </c>
      <c r="AG16" s="33">
        <v>1</v>
      </c>
      <c r="AH16" s="38">
        <f t="shared" si="41"/>
        <v>4.5</v>
      </c>
      <c r="AI16" s="38">
        <f t="shared" si="42"/>
        <v>1.47</v>
      </c>
      <c r="AJ16" s="38">
        <f t="shared" si="43"/>
        <v>4.8499999999999996</v>
      </c>
      <c r="AK16" s="38">
        <f t="shared" si="44"/>
        <v>1</v>
      </c>
      <c r="AL16" s="39">
        <v>3</v>
      </c>
    </row>
    <row r="17" spans="1:38" x14ac:dyDescent="0.3">
      <c r="A17" s="12" t="s">
        <v>65</v>
      </c>
      <c r="B17" s="12" t="s">
        <v>40</v>
      </c>
      <c r="C17" s="13">
        <v>195.08</v>
      </c>
      <c r="D17" s="13">
        <v>5.77</v>
      </c>
      <c r="E17" s="13">
        <v>2.77</v>
      </c>
      <c r="F17" s="13">
        <v>1.7999000000000001</v>
      </c>
      <c r="G17" s="13">
        <v>0.9</v>
      </c>
      <c r="H17" s="13">
        <v>4.92</v>
      </c>
      <c r="I17" s="13">
        <v>2.2000000000000002</v>
      </c>
      <c r="J17" s="13">
        <v>6</v>
      </c>
      <c r="K17" s="13">
        <v>2.2000000000000002</v>
      </c>
      <c r="L17" s="13">
        <v>3.94</v>
      </c>
      <c r="M17" s="13">
        <v>-2.2000000000000002</v>
      </c>
      <c r="N17" s="13">
        <v>3.84</v>
      </c>
      <c r="O17" s="13">
        <v>1</v>
      </c>
      <c r="P17" s="12">
        <v>1.53</v>
      </c>
      <c r="Q17" s="12">
        <v>2.8</v>
      </c>
      <c r="R17" s="14">
        <v>0.05</v>
      </c>
      <c r="S17" s="15">
        <f t="shared" si="4"/>
        <v>4.3575761523696315</v>
      </c>
      <c r="T17" s="33" t="str">
        <f t="shared" si="29"/>
        <v>'Pt'</v>
      </c>
      <c r="U17" s="34" t="str">
        <f t="shared" si="30"/>
        <v>'fcc'</v>
      </c>
      <c r="V17" s="34">
        <f t="shared" si="31"/>
        <v>12</v>
      </c>
      <c r="W17" s="34">
        <v>1</v>
      </c>
      <c r="X17" s="35">
        <f t="shared" si="32"/>
        <v>195.08</v>
      </c>
      <c r="Y17" s="36">
        <f t="shared" si="33"/>
        <v>6.4956062543554074</v>
      </c>
      <c r="Z17" s="37">
        <f t="shared" si="34"/>
        <v>4.92</v>
      </c>
      <c r="AA17" s="37">
        <f t="shared" si="35"/>
        <v>2.2000000000000002</v>
      </c>
      <c r="AB17" s="37">
        <f t="shared" si="36"/>
        <v>6</v>
      </c>
      <c r="AC17" s="37">
        <f t="shared" si="37"/>
        <v>2.2000000000000002</v>
      </c>
      <c r="AD17" s="36">
        <f t="shared" si="38"/>
        <v>3.9173715677734737</v>
      </c>
      <c r="AE17" s="37">
        <f t="shared" si="39"/>
        <v>5.77</v>
      </c>
      <c r="AF17" s="37">
        <f t="shared" si="40"/>
        <v>0.9</v>
      </c>
      <c r="AG17" s="33">
        <v>1</v>
      </c>
      <c r="AH17" s="38">
        <f t="shared" si="41"/>
        <v>3.94</v>
      </c>
      <c r="AI17" s="38">
        <f t="shared" si="42"/>
        <v>-2.2000000000000002</v>
      </c>
      <c r="AJ17" s="38">
        <f t="shared" si="43"/>
        <v>3.84</v>
      </c>
      <c r="AK17" s="38">
        <f t="shared" si="44"/>
        <v>1</v>
      </c>
      <c r="AL17" s="39">
        <v>3</v>
      </c>
    </row>
    <row r="18" spans="1:38" x14ac:dyDescent="0.3">
      <c r="A18" s="12" t="s">
        <v>57</v>
      </c>
      <c r="B18" s="12" t="s">
        <v>40</v>
      </c>
      <c r="C18" s="13">
        <v>63.545999999999999</v>
      </c>
      <c r="D18" s="13">
        <v>3.54</v>
      </c>
      <c r="E18" s="13">
        <v>2.5550000000000002</v>
      </c>
      <c r="F18" s="13">
        <v>0.88619999999999999</v>
      </c>
      <c r="G18" s="13">
        <v>0.94</v>
      </c>
      <c r="H18" s="13">
        <v>3.83</v>
      </c>
      <c r="I18" s="13">
        <v>2.2000000000000002</v>
      </c>
      <c r="J18" s="13">
        <v>6</v>
      </c>
      <c r="K18" s="13">
        <v>2.2000000000000002</v>
      </c>
      <c r="L18" s="13">
        <v>2.72</v>
      </c>
      <c r="M18" s="13">
        <v>3.04</v>
      </c>
      <c r="N18" s="13">
        <v>1.95</v>
      </c>
      <c r="O18" s="13">
        <v>1</v>
      </c>
      <c r="P18" s="12">
        <v>1.21</v>
      </c>
      <c r="Q18" s="12">
        <v>2.8</v>
      </c>
      <c r="R18" s="14">
        <v>0.05</v>
      </c>
      <c r="S18" s="15">
        <f t="shared" si="4"/>
        <v>4.0193527326008702</v>
      </c>
      <c r="T18" s="33" t="str">
        <f t="shared" si="29"/>
        <v>'Cu'</v>
      </c>
      <c r="U18" s="34" t="str">
        <f t="shared" si="30"/>
        <v>'fcc'</v>
      </c>
      <c r="V18" s="34">
        <f t="shared" si="31"/>
        <v>12</v>
      </c>
      <c r="W18" s="34">
        <v>1</v>
      </c>
      <c r="X18" s="35">
        <f t="shared" si="32"/>
        <v>63.545999999999999</v>
      </c>
      <c r="Y18" s="36">
        <f t="shared" si="33"/>
        <v>5.1548300829763924</v>
      </c>
      <c r="Z18" s="37">
        <f t="shared" si="34"/>
        <v>3.83</v>
      </c>
      <c r="AA18" s="37">
        <f t="shared" si="35"/>
        <v>2.2000000000000002</v>
      </c>
      <c r="AB18" s="37">
        <f t="shared" si="36"/>
        <v>6</v>
      </c>
      <c r="AC18" s="37">
        <f t="shared" si="37"/>
        <v>2.2000000000000002</v>
      </c>
      <c r="AD18" s="36">
        <f t="shared" si="38"/>
        <v>3.6133156518632585</v>
      </c>
      <c r="AE18" s="37">
        <f t="shared" si="39"/>
        <v>3.54</v>
      </c>
      <c r="AF18" s="37">
        <f t="shared" si="40"/>
        <v>0.94</v>
      </c>
      <c r="AG18" s="33">
        <v>1</v>
      </c>
      <c r="AH18" s="38">
        <f t="shared" si="41"/>
        <v>2.72</v>
      </c>
      <c r="AI18" s="38">
        <f t="shared" si="42"/>
        <v>3.04</v>
      </c>
      <c r="AJ18" s="38">
        <f t="shared" si="43"/>
        <v>1.95</v>
      </c>
      <c r="AK18" s="38">
        <f t="shared" si="44"/>
        <v>1</v>
      </c>
      <c r="AL18" s="39">
        <v>3</v>
      </c>
    </row>
    <row r="19" spans="1:38" x14ac:dyDescent="0.3">
      <c r="A19" s="12" t="s">
        <v>66</v>
      </c>
      <c r="B19" s="12" t="s">
        <v>40</v>
      </c>
      <c r="C19" s="13">
        <v>107.86799999999999</v>
      </c>
      <c r="D19" s="13">
        <v>2.85</v>
      </c>
      <c r="E19" s="13">
        <v>2.88</v>
      </c>
      <c r="F19" s="13">
        <v>0.6784</v>
      </c>
      <c r="G19" s="13">
        <v>0.94</v>
      </c>
      <c r="H19" s="13">
        <v>4.7300000000000004</v>
      </c>
      <c r="I19" s="13">
        <v>2.2000000000000002</v>
      </c>
      <c r="J19" s="13">
        <v>6</v>
      </c>
      <c r="K19" s="13">
        <v>2.2000000000000002</v>
      </c>
      <c r="L19" s="13">
        <v>3.4</v>
      </c>
      <c r="M19" s="13">
        <v>3</v>
      </c>
      <c r="N19" s="13">
        <v>1.5</v>
      </c>
      <c r="O19" s="13">
        <v>1</v>
      </c>
      <c r="P19" s="12">
        <v>1.38</v>
      </c>
      <c r="Q19" s="12">
        <v>2.8</v>
      </c>
      <c r="R19" s="14">
        <v>0.05</v>
      </c>
      <c r="S19" s="15">
        <f t="shared" si="4"/>
        <v>4.5306206927164396</v>
      </c>
      <c r="T19" s="33" t="str">
        <f t="shared" si="29"/>
        <v>'Ag'</v>
      </c>
      <c r="U19" s="34" t="str">
        <f t="shared" si="30"/>
        <v>'fcc'</v>
      </c>
      <c r="V19" s="34">
        <f t="shared" si="31"/>
        <v>12</v>
      </c>
      <c r="W19" s="34">
        <v>1</v>
      </c>
      <c r="X19" s="35">
        <f t="shared" si="32"/>
        <v>107.86799999999999</v>
      </c>
      <c r="Y19" s="36">
        <f t="shared" si="33"/>
        <v>6.0155172576879465</v>
      </c>
      <c r="Z19" s="37">
        <f t="shared" si="34"/>
        <v>4.7300000000000004</v>
      </c>
      <c r="AA19" s="37">
        <f t="shared" si="35"/>
        <v>2.2000000000000002</v>
      </c>
      <c r="AB19" s="37">
        <f t="shared" si="36"/>
        <v>6</v>
      </c>
      <c r="AC19" s="37">
        <f t="shared" si="37"/>
        <v>2.2000000000000002</v>
      </c>
      <c r="AD19" s="36">
        <f t="shared" si="38"/>
        <v>4.0729350596345135</v>
      </c>
      <c r="AE19" s="37">
        <f t="shared" si="39"/>
        <v>2.85</v>
      </c>
      <c r="AF19" s="37">
        <f t="shared" si="40"/>
        <v>0.94</v>
      </c>
      <c r="AG19" s="33">
        <v>1</v>
      </c>
      <c r="AH19" s="38">
        <f t="shared" si="41"/>
        <v>3.4</v>
      </c>
      <c r="AI19" s="38">
        <f t="shared" si="42"/>
        <v>3</v>
      </c>
      <c r="AJ19" s="38">
        <f t="shared" si="43"/>
        <v>1.5</v>
      </c>
      <c r="AK19" s="38">
        <f t="shared" si="44"/>
        <v>1</v>
      </c>
      <c r="AL19" s="39">
        <v>3</v>
      </c>
    </row>
    <row r="20" spans="1:38" x14ac:dyDescent="0.3">
      <c r="A20" s="12" t="s">
        <v>67</v>
      </c>
      <c r="B20" s="12" t="s">
        <v>40</v>
      </c>
      <c r="C20" s="13">
        <v>196.96700000000001</v>
      </c>
      <c r="D20" s="13">
        <v>3.93</v>
      </c>
      <c r="E20" s="13">
        <v>2.88</v>
      </c>
      <c r="F20" s="13">
        <v>1.1253</v>
      </c>
      <c r="G20" s="13">
        <v>1</v>
      </c>
      <c r="H20" s="13">
        <v>5.77</v>
      </c>
      <c r="I20" s="13">
        <v>2.2000000000000002</v>
      </c>
      <c r="J20" s="13">
        <v>6</v>
      </c>
      <c r="K20" s="13">
        <v>2.2000000000000002</v>
      </c>
      <c r="L20" s="13">
        <v>2.9</v>
      </c>
      <c r="M20" s="13">
        <v>1.64</v>
      </c>
      <c r="N20" s="13">
        <v>2</v>
      </c>
      <c r="O20" s="13">
        <v>1</v>
      </c>
      <c r="P20" s="12">
        <v>1.53</v>
      </c>
      <c r="Q20" s="12">
        <v>2.8</v>
      </c>
      <c r="R20" s="14">
        <v>0.05</v>
      </c>
      <c r="S20" s="15">
        <f t="shared" si="4"/>
        <v>4.5306206927164396</v>
      </c>
      <c r="T20" s="33" t="str">
        <f t="shared" si="29"/>
        <v>'Au'</v>
      </c>
      <c r="U20" s="34" t="str">
        <f t="shared" si="30"/>
        <v>'fcc'</v>
      </c>
      <c r="V20" s="34">
        <f t="shared" si="31"/>
        <v>12</v>
      </c>
      <c r="W20" s="34">
        <v>1</v>
      </c>
      <c r="X20" s="35">
        <f t="shared" si="32"/>
        <v>196.96700000000001</v>
      </c>
      <c r="Y20" s="36">
        <f t="shared" si="33"/>
        <v>6.5976666932271506</v>
      </c>
      <c r="Z20" s="37">
        <f t="shared" si="34"/>
        <v>5.77</v>
      </c>
      <c r="AA20" s="37">
        <f t="shared" si="35"/>
        <v>2.2000000000000002</v>
      </c>
      <c r="AB20" s="37">
        <f t="shared" si="36"/>
        <v>6</v>
      </c>
      <c r="AC20" s="37">
        <f t="shared" si="37"/>
        <v>2.2000000000000002</v>
      </c>
      <c r="AD20" s="36">
        <f t="shared" si="38"/>
        <v>4.0729350596345135</v>
      </c>
      <c r="AE20" s="37">
        <f t="shared" si="39"/>
        <v>3.93</v>
      </c>
      <c r="AF20" s="37">
        <f t="shared" si="40"/>
        <v>1</v>
      </c>
      <c r="AG20" s="33">
        <v>1</v>
      </c>
      <c r="AH20" s="38">
        <f t="shared" si="41"/>
        <v>2.9</v>
      </c>
      <c r="AI20" s="38">
        <f t="shared" si="42"/>
        <v>1.64</v>
      </c>
      <c r="AJ20" s="38">
        <f t="shared" si="43"/>
        <v>2</v>
      </c>
      <c r="AK20" s="38">
        <f t="shared" si="44"/>
        <v>1</v>
      </c>
      <c r="AL20" s="39">
        <v>3</v>
      </c>
    </row>
    <row r="21" spans="1:38" x14ac:dyDescent="0.3">
      <c r="A21" s="12" t="s">
        <v>44</v>
      </c>
      <c r="B21" s="12" t="s">
        <v>40</v>
      </c>
      <c r="C21" s="13">
        <v>26.981999999999999</v>
      </c>
      <c r="D21" s="13">
        <v>3.36</v>
      </c>
      <c r="E21" s="13">
        <v>2.86</v>
      </c>
      <c r="F21" s="13">
        <v>0.4955</v>
      </c>
      <c r="G21" s="13">
        <v>1.1599999999999999</v>
      </c>
      <c r="H21" s="13">
        <v>3.2</v>
      </c>
      <c r="I21" s="13">
        <v>2.6</v>
      </c>
      <c r="J21" s="13">
        <v>6</v>
      </c>
      <c r="K21" s="13">
        <v>2.6</v>
      </c>
      <c r="L21" s="13">
        <v>3.05</v>
      </c>
      <c r="M21" s="13">
        <v>0.51</v>
      </c>
      <c r="N21" s="13">
        <v>7.75</v>
      </c>
      <c r="O21" s="13">
        <v>1</v>
      </c>
      <c r="P21" s="12">
        <v>0.49</v>
      </c>
      <c r="Q21" s="12">
        <v>2.8</v>
      </c>
      <c r="R21" s="14">
        <v>0.05</v>
      </c>
      <c r="S21" s="15">
        <f t="shared" si="4"/>
        <v>4.4991580490170202</v>
      </c>
      <c r="T21" s="33" t="str">
        <f t="shared" si="29"/>
        <v>'Al'</v>
      </c>
      <c r="U21" s="34" t="str">
        <f t="shared" si="30"/>
        <v>'fcc'</v>
      </c>
      <c r="V21" s="34">
        <f t="shared" si="31"/>
        <v>12</v>
      </c>
      <c r="W21" s="34">
        <v>1</v>
      </c>
      <c r="X21" s="35">
        <f t="shared" si="32"/>
        <v>26.981999999999999</v>
      </c>
      <c r="Y21" s="36">
        <f t="shared" si="33"/>
        <v>4.6855976824499876</v>
      </c>
      <c r="Z21" s="37">
        <f t="shared" si="34"/>
        <v>3.2</v>
      </c>
      <c r="AA21" s="37">
        <f t="shared" si="35"/>
        <v>2.6</v>
      </c>
      <c r="AB21" s="37">
        <f t="shared" si="36"/>
        <v>6</v>
      </c>
      <c r="AC21" s="37">
        <f t="shared" si="37"/>
        <v>2.6</v>
      </c>
      <c r="AD21" s="36">
        <f t="shared" si="38"/>
        <v>4.0446507883870515</v>
      </c>
      <c r="AE21" s="37">
        <f t="shared" si="39"/>
        <v>3.36</v>
      </c>
      <c r="AF21" s="37">
        <f t="shared" si="40"/>
        <v>1.1599999999999999</v>
      </c>
      <c r="AG21" s="33">
        <v>1</v>
      </c>
      <c r="AH21" s="38">
        <f t="shared" si="41"/>
        <v>3.05</v>
      </c>
      <c r="AI21" s="38">
        <f t="shared" si="42"/>
        <v>0.51</v>
      </c>
      <c r="AJ21" s="38">
        <f t="shared" si="43"/>
        <v>7.75</v>
      </c>
      <c r="AK21" s="38">
        <f t="shared" si="44"/>
        <v>1</v>
      </c>
      <c r="AL21" s="39">
        <v>3</v>
      </c>
    </row>
    <row r="22" spans="1:38" x14ac:dyDescent="0.3">
      <c r="A22" s="12" t="s">
        <v>68</v>
      </c>
      <c r="B22" s="12" t="s">
        <v>40</v>
      </c>
      <c r="C22" s="13">
        <v>207.2</v>
      </c>
      <c r="D22" s="13">
        <v>2.04</v>
      </c>
      <c r="E22" s="13">
        <v>3.5</v>
      </c>
      <c r="F22" s="13">
        <v>0.30459999999999998</v>
      </c>
      <c r="G22" s="13">
        <v>1.01</v>
      </c>
      <c r="H22" s="13">
        <v>5.42</v>
      </c>
      <c r="I22" s="13">
        <v>2.2000000000000002</v>
      </c>
      <c r="J22" s="13">
        <v>6</v>
      </c>
      <c r="K22" s="13">
        <v>2.2000000000000002</v>
      </c>
      <c r="L22" s="13">
        <v>3.1</v>
      </c>
      <c r="M22" s="13">
        <v>3.91</v>
      </c>
      <c r="N22" s="13">
        <v>1.25</v>
      </c>
      <c r="O22" s="13">
        <v>1</v>
      </c>
      <c r="P22" s="12">
        <v>0.81</v>
      </c>
      <c r="Q22" s="12">
        <v>2.8</v>
      </c>
      <c r="R22" s="14">
        <v>0</v>
      </c>
      <c r="S22" s="15">
        <f t="shared" si="4"/>
        <v>5.5059626473984515</v>
      </c>
      <c r="T22" s="33" t="str">
        <f t="shared" si="29"/>
        <v>'Pb'</v>
      </c>
      <c r="U22" s="34" t="str">
        <f t="shared" si="30"/>
        <v>'fcc'</v>
      </c>
      <c r="V22" s="34">
        <f t="shared" si="31"/>
        <v>12</v>
      </c>
      <c r="W22" s="34">
        <v>1</v>
      </c>
      <c r="X22" s="35">
        <f t="shared" si="32"/>
        <v>207.2</v>
      </c>
      <c r="Y22" s="36">
        <f t="shared" si="33"/>
        <v>6.3828654274082579</v>
      </c>
      <c r="Z22" s="37">
        <f t="shared" si="34"/>
        <v>5.42</v>
      </c>
      <c r="AA22" s="37">
        <f t="shared" si="35"/>
        <v>2.2000000000000002</v>
      </c>
      <c r="AB22" s="37">
        <f t="shared" si="36"/>
        <v>6</v>
      </c>
      <c r="AC22" s="37">
        <f t="shared" si="37"/>
        <v>2.2000000000000002</v>
      </c>
      <c r="AD22" s="36">
        <f t="shared" si="38"/>
        <v>4.9497474683058327</v>
      </c>
      <c r="AE22" s="37">
        <f t="shared" si="39"/>
        <v>2.04</v>
      </c>
      <c r="AF22" s="37">
        <f t="shared" si="40"/>
        <v>1.01</v>
      </c>
      <c r="AG22" s="33">
        <v>1</v>
      </c>
      <c r="AH22" s="38">
        <f t="shared" si="41"/>
        <v>3.1</v>
      </c>
      <c r="AI22" s="38">
        <f t="shared" si="42"/>
        <v>3.91</v>
      </c>
      <c r="AJ22" s="38">
        <f t="shared" si="43"/>
        <v>1.25</v>
      </c>
      <c r="AK22" s="38">
        <f t="shared" si="44"/>
        <v>1</v>
      </c>
      <c r="AL22" s="39">
        <v>3</v>
      </c>
    </row>
    <row r="23" spans="1:38" x14ac:dyDescent="0.3">
      <c r="A23" s="12" t="s">
        <v>45</v>
      </c>
      <c r="B23" s="12" t="s">
        <v>41</v>
      </c>
      <c r="C23" s="13">
        <v>12.010999999999999</v>
      </c>
      <c r="D23" s="13">
        <v>7.37</v>
      </c>
      <c r="E23" s="13">
        <v>1.54</v>
      </c>
      <c r="F23" s="13">
        <v>2.7749999999999999</v>
      </c>
      <c r="G23" s="13">
        <v>1.18</v>
      </c>
      <c r="H23" s="13">
        <v>4.25</v>
      </c>
      <c r="I23" s="13">
        <v>2.8</v>
      </c>
      <c r="J23" s="13">
        <v>2</v>
      </c>
      <c r="K23" s="13">
        <v>5</v>
      </c>
      <c r="L23" s="13">
        <v>3.2</v>
      </c>
      <c r="M23" s="13">
        <v>1.44</v>
      </c>
      <c r="N23" s="13">
        <v>-4.4800000000000004</v>
      </c>
      <c r="O23" s="13">
        <v>6</v>
      </c>
      <c r="P23" s="12">
        <v>1.41</v>
      </c>
      <c r="Q23" s="12">
        <v>2.8</v>
      </c>
      <c r="R23" s="14">
        <v>0</v>
      </c>
      <c r="S23" s="15">
        <f t="shared" si="4"/>
        <v>2.7320864444680542</v>
      </c>
      <c r="T23" s="33" t="str">
        <f t="shared" si="29"/>
        <v>'C'</v>
      </c>
      <c r="U23" s="34" t="str">
        <f t="shared" si="30"/>
        <v>'dia'</v>
      </c>
      <c r="V23" s="34">
        <f t="shared" si="31"/>
        <v>4</v>
      </c>
      <c r="W23" s="34">
        <v>1</v>
      </c>
      <c r="X23" s="35">
        <f t="shared" si="32"/>
        <v>12.010999999999999</v>
      </c>
      <c r="Y23" s="36">
        <f t="shared" si="33"/>
        <v>4.3651999165680682</v>
      </c>
      <c r="Z23" s="37">
        <f t="shared" si="34"/>
        <v>4.25</v>
      </c>
      <c r="AA23" s="37">
        <f t="shared" si="35"/>
        <v>2.8</v>
      </c>
      <c r="AB23" s="37">
        <f t="shared" si="36"/>
        <v>2</v>
      </c>
      <c r="AC23" s="37">
        <f t="shared" si="37"/>
        <v>5</v>
      </c>
      <c r="AD23" s="36">
        <f t="shared" si="38"/>
        <v>3.5564776582080957</v>
      </c>
      <c r="AE23" s="37">
        <f t="shared" si="39"/>
        <v>7.37</v>
      </c>
      <c r="AF23" s="37">
        <f t="shared" si="40"/>
        <v>1.18</v>
      </c>
      <c r="AG23" s="33">
        <v>1</v>
      </c>
      <c r="AH23" s="38">
        <f t="shared" si="41"/>
        <v>3.2</v>
      </c>
      <c r="AI23" s="38">
        <f t="shared" si="42"/>
        <v>1.44</v>
      </c>
      <c r="AJ23" s="38">
        <f t="shared" si="43"/>
        <v>-4.4800000000000004</v>
      </c>
      <c r="AK23" s="38">
        <f t="shared" si="44"/>
        <v>6</v>
      </c>
      <c r="AL23" s="39">
        <v>3</v>
      </c>
    </row>
    <row r="24" spans="1:38" x14ac:dyDescent="0.3">
      <c r="A24" s="12" t="s">
        <v>49</v>
      </c>
      <c r="B24" s="12" t="s">
        <v>41</v>
      </c>
      <c r="C24" s="13">
        <v>28.085999999999999</v>
      </c>
      <c r="D24" s="13">
        <v>4.63</v>
      </c>
      <c r="E24" s="13">
        <v>2.35</v>
      </c>
      <c r="F24" s="13">
        <v>0.61909999999999998</v>
      </c>
      <c r="G24" s="13">
        <v>0.57999999999999996</v>
      </c>
      <c r="H24" s="13">
        <v>3.55</v>
      </c>
      <c r="I24" s="13">
        <v>2.5</v>
      </c>
      <c r="J24" s="13">
        <v>0</v>
      </c>
      <c r="K24" s="13">
        <v>7.5</v>
      </c>
      <c r="L24" s="13">
        <v>1.8</v>
      </c>
      <c r="M24" s="13">
        <v>5.25</v>
      </c>
      <c r="N24" s="13">
        <v>-2.61</v>
      </c>
      <c r="O24" s="13">
        <v>1.88</v>
      </c>
      <c r="P24" s="12">
        <v>1.41</v>
      </c>
      <c r="Q24" s="12">
        <v>2.8</v>
      </c>
      <c r="R24" s="14">
        <v>0</v>
      </c>
      <c r="S24" s="15">
        <f t="shared" si="4"/>
        <v>4.1690929509739796</v>
      </c>
      <c r="T24" s="33" t="str">
        <f t="shared" si="29"/>
        <v>'Si'</v>
      </c>
      <c r="U24" s="34" t="str">
        <f t="shared" si="30"/>
        <v>'dia'</v>
      </c>
      <c r="V24" s="34">
        <f t="shared" si="31"/>
        <v>4</v>
      </c>
      <c r="W24" s="34">
        <v>1</v>
      </c>
      <c r="X24" s="35">
        <f t="shared" si="32"/>
        <v>28.085999999999999</v>
      </c>
      <c r="Y24" s="36">
        <f t="shared" si="33"/>
        <v>4.9036222512378052</v>
      </c>
      <c r="Z24" s="37">
        <f t="shared" si="34"/>
        <v>3.55</v>
      </c>
      <c r="AA24" s="37">
        <f t="shared" si="35"/>
        <v>2.5</v>
      </c>
      <c r="AB24" s="37">
        <f t="shared" si="36"/>
        <v>0</v>
      </c>
      <c r="AC24" s="37">
        <f t="shared" si="37"/>
        <v>7.5</v>
      </c>
      <c r="AD24" s="36">
        <f t="shared" si="38"/>
        <v>5.4270925303824828</v>
      </c>
      <c r="AE24" s="37">
        <f t="shared" si="39"/>
        <v>4.63</v>
      </c>
      <c r="AF24" s="37">
        <f t="shared" si="40"/>
        <v>0.57999999999999996</v>
      </c>
      <c r="AG24" s="33">
        <v>1</v>
      </c>
      <c r="AH24" s="38">
        <f t="shared" si="41"/>
        <v>1.8</v>
      </c>
      <c r="AI24" s="38">
        <f t="shared" si="42"/>
        <v>5.25</v>
      </c>
      <c r="AJ24" s="38">
        <f t="shared" si="43"/>
        <v>-2.61</v>
      </c>
      <c r="AK24" s="38">
        <f t="shared" si="44"/>
        <v>1.88</v>
      </c>
      <c r="AL24" s="39">
        <v>3</v>
      </c>
    </row>
    <row r="25" spans="1:38" x14ac:dyDescent="0.3">
      <c r="A25" s="12" t="s">
        <v>69</v>
      </c>
      <c r="B25" s="12" t="s">
        <v>41</v>
      </c>
      <c r="C25" s="13">
        <v>72.59</v>
      </c>
      <c r="D25" s="13">
        <v>3.85</v>
      </c>
      <c r="E25" s="13">
        <v>2.4500000000000002</v>
      </c>
      <c r="F25" s="13">
        <v>0.4793</v>
      </c>
      <c r="G25" s="13">
        <v>0.66</v>
      </c>
      <c r="H25" s="13">
        <v>3.95</v>
      </c>
      <c r="I25" s="13">
        <v>2</v>
      </c>
      <c r="J25" s="13">
        <v>0</v>
      </c>
      <c r="K25" s="13">
        <v>7.5</v>
      </c>
      <c r="L25" s="13">
        <v>2.9</v>
      </c>
      <c r="M25" s="13">
        <v>5.77</v>
      </c>
      <c r="N25" s="13">
        <v>-2.2000000000000002</v>
      </c>
      <c r="O25" s="13">
        <v>1.88</v>
      </c>
      <c r="P25" s="12">
        <v>1.41</v>
      </c>
      <c r="Q25" s="12">
        <v>2.8</v>
      </c>
      <c r="R25" s="14">
        <v>0</v>
      </c>
      <c r="S25" s="15">
        <f t="shared" si="4"/>
        <v>4.3465011616537232</v>
      </c>
      <c r="T25" s="33" t="str">
        <f t="shared" ref="T25:T43" si="45">"'"&amp;A25&amp;"'"</f>
        <v>'Ge'</v>
      </c>
      <c r="U25" s="34" t="str">
        <f t="shared" ref="U25:U43" si="46">IF(B25="BCC_A2","'"&amp;"bcc"&amp;"'",IF(B25="FCC_A1","'"&amp;"fcc"&amp;"'",IF(B25="DIA_A4","'"&amp;"dia"&amp;"'",IF(B25="HCP_A3","'"&amp;"hcp"&amp;"'",IF(B25="DIMER","'"&amp;"dim"&amp;"'")))))</f>
        <v>'dia'</v>
      </c>
      <c r="V25" s="34">
        <f t="shared" ref="V25:V43" si="47">IF(B25="BCC_A2",8,IF(B25="FCC_A1",12,IF(B25="DIA_A4",4,IF(B25="HCP_A3",12,IF(B25="DIMER",1)))))</f>
        <v>4</v>
      </c>
      <c r="W25" s="34">
        <v>1</v>
      </c>
      <c r="X25" s="35">
        <f t="shared" ref="X25:X43" si="48">C25</f>
        <v>72.59</v>
      </c>
      <c r="Y25" s="36">
        <f t="shared" ref="Y25:Y43" si="49">IF(B25="BCC_A2",(((E25*2/(3^0.5))^3/2)*9*F25/D25)^0.5,IF(B25="FCC_A1",(((E25*(2^0.5))^3/4)*9*F25/D25)^0.5,IF(B25="DIA_A4",(((E25*4/(6^0.5))*(2^0.5))^3/8*9*F25/D25)^0.5,IF(B25="HCP_A3",(((E25*(2^0.5))^3/4)*9*F25/D25)^0.5,IF(B25="DIMER",F25)))))</f>
        <v>5.0367197114433164</v>
      </c>
      <c r="Z25" s="37">
        <f t="shared" ref="Z25:Z43" si="50">H25</f>
        <v>3.95</v>
      </c>
      <c r="AA25" s="37">
        <f t="shared" ref="AA25:AA43" si="51">I25</f>
        <v>2</v>
      </c>
      <c r="AB25" s="37">
        <f t="shared" ref="AB25:AB43" si="52">J25</f>
        <v>0</v>
      </c>
      <c r="AC25" s="37">
        <f t="shared" ref="AC25:AC43" si="53">K25</f>
        <v>7.5</v>
      </c>
      <c r="AD25" s="36">
        <f t="shared" ref="AD25:AD43" si="54">IF(B25="BCC_A2",E25*2/(3^0.5),IF(B25="FCC_A1",2^0.5*E25,IF(B25="DIA_A4",(E25*4/(6^0.5))*(2^0.5),IF(B25="HCP_A3",E25,IF(B25="DIMER",E25)))))</f>
        <v>5.6580326380583346</v>
      </c>
      <c r="AE25" s="37">
        <f t="shared" ref="AE25:AE43" si="55">D25</f>
        <v>3.85</v>
      </c>
      <c r="AF25" s="37">
        <f t="shared" ref="AF25:AF43" si="56">G25</f>
        <v>0.66</v>
      </c>
      <c r="AG25" s="33">
        <v>1</v>
      </c>
      <c r="AH25" s="38">
        <f t="shared" ref="AH25:AH43" si="57">L25</f>
        <v>2.9</v>
      </c>
      <c r="AI25" s="38">
        <f t="shared" ref="AI25:AI43" si="58">M25</f>
        <v>5.77</v>
      </c>
      <c r="AJ25" s="38">
        <f t="shared" ref="AJ25:AJ43" si="59">N25</f>
        <v>-2.2000000000000002</v>
      </c>
      <c r="AK25" s="38">
        <f t="shared" ref="AK25:AK43" si="60">O25</f>
        <v>1.88</v>
      </c>
      <c r="AL25" s="39">
        <v>3</v>
      </c>
    </row>
    <row r="26" spans="1:38" x14ac:dyDescent="0.3">
      <c r="A26" s="12" t="s">
        <v>46</v>
      </c>
      <c r="B26" s="12" t="s">
        <v>42</v>
      </c>
      <c r="C26" s="13">
        <v>47.88</v>
      </c>
      <c r="D26" s="13">
        <v>4.87</v>
      </c>
      <c r="E26" s="13">
        <v>2.92</v>
      </c>
      <c r="F26" s="13">
        <v>0.68459999999999999</v>
      </c>
      <c r="G26" s="13">
        <v>0.66</v>
      </c>
      <c r="H26" s="13">
        <v>2.7</v>
      </c>
      <c r="I26" s="13">
        <v>1</v>
      </c>
      <c r="J26" s="13">
        <v>3</v>
      </c>
      <c r="K26" s="13">
        <v>1</v>
      </c>
      <c r="L26" s="13">
        <v>6.8</v>
      </c>
      <c r="M26" s="13">
        <v>-2</v>
      </c>
      <c r="N26" s="13">
        <v>-12</v>
      </c>
      <c r="O26" s="13">
        <v>1</v>
      </c>
      <c r="P26" s="12">
        <v>1</v>
      </c>
      <c r="Q26" s="12">
        <v>1.44</v>
      </c>
      <c r="R26" s="14">
        <v>0</v>
      </c>
      <c r="S26" s="15">
        <f t="shared" si="4"/>
        <v>4.5935459801152794</v>
      </c>
      <c r="T26" s="33" t="str">
        <f t="shared" si="45"/>
        <v>'Ti'</v>
      </c>
      <c r="U26" s="34" t="str">
        <f t="shared" si="46"/>
        <v>'hcp'</v>
      </c>
      <c r="V26" s="34">
        <f t="shared" si="47"/>
        <v>12</v>
      </c>
      <c r="W26" s="34">
        <v>1</v>
      </c>
      <c r="X26" s="35">
        <f t="shared" si="48"/>
        <v>47.88</v>
      </c>
      <c r="Y26" s="36">
        <f t="shared" si="49"/>
        <v>4.719456633540938</v>
      </c>
      <c r="Z26" s="37">
        <f t="shared" si="50"/>
        <v>2.7</v>
      </c>
      <c r="AA26" s="37">
        <f t="shared" si="51"/>
        <v>1</v>
      </c>
      <c r="AB26" s="37">
        <f t="shared" si="52"/>
        <v>3</v>
      </c>
      <c r="AC26" s="37">
        <f t="shared" si="53"/>
        <v>1</v>
      </c>
      <c r="AD26" s="36">
        <f t="shared" si="54"/>
        <v>2.92</v>
      </c>
      <c r="AE26" s="37">
        <f t="shared" si="55"/>
        <v>4.87</v>
      </c>
      <c r="AF26" s="37">
        <f t="shared" si="56"/>
        <v>0.66</v>
      </c>
      <c r="AG26" s="33">
        <v>1</v>
      </c>
      <c r="AH26" s="38">
        <f t="shared" si="57"/>
        <v>6.8</v>
      </c>
      <c r="AI26" s="38">
        <f t="shared" si="58"/>
        <v>-2</v>
      </c>
      <c r="AJ26" s="38">
        <f t="shared" si="59"/>
        <v>-12</v>
      </c>
      <c r="AK26" s="38">
        <f t="shared" si="60"/>
        <v>1</v>
      </c>
      <c r="AL26" s="39">
        <v>3</v>
      </c>
    </row>
    <row r="27" spans="1:38" x14ac:dyDescent="0.3">
      <c r="A27" s="12" t="s">
        <v>70</v>
      </c>
      <c r="B27" s="12" t="s">
        <v>42</v>
      </c>
      <c r="C27" s="13">
        <v>91.22</v>
      </c>
      <c r="D27" s="13">
        <v>6.36</v>
      </c>
      <c r="E27" s="13">
        <v>3.2</v>
      </c>
      <c r="F27" s="13">
        <v>0.60399999999999998</v>
      </c>
      <c r="G27" s="13">
        <v>0.68</v>
      </c>
      <c r="H27" s="13">
        <v>2.4500000000000002</v>
      </c>
      <c r="I27" s="13">
        <v>1</v>
      </c>
      <c r="J27" s="13">
        <v>3</v>
      </c>
      <c r="K27" s="13">
        <v>2</v>
      </c>
      <c r="L27" s="13">
        <v>6.3</v>
      </c>
      <c r="M27" s="13">
        <v>-3.3</v>
      </c>
      <c r="N27" s="13">
        <v>-10</v>
      </c>
      <c r="O27" s="13">
        <v>1</v>
      </c>
      <c r="P27" s="12">
        <v>1</v>
      </c>
      <c r="Q27" s="12">
        <v>1.44</v>
      </c>
      <c r="R27" s="14">
        <v>0</v>
      </c>
      <c r="S27" s="15">
        <f t="shared" si="4"/>
        <v>5.0340229919071557</v>
      </c>
      <c r="T27" s="33" t="str">
        <f t="shared" si="45"/>
        <v>'Zr'</v>
      </c>
      <c r="U27" s="34" t="str">
        <f t="shared" si="46"/>
        <v>'hcp'</v>
      </c>
      <c r="V27" s="34">
        <f t="shared" si="47"/>
        <v>12</v>
      </c>
      <c r="W27" s="34">
        <v>1</v>
      </c>
      <c r="X27" s="35">
        <f t="shared" si="48"/>
        <v>91.22</v>
      </c>
      <c r="Y27" s="36">
        <f t="shared" si="49"/>
        <v>4.4501908328134459</v>
      </c>
      <c r="Z27" s="37">
        <f t="shared" si="50"/>
        <v>2.4500000000000002</v>
      </c>
      <c r="AA27" s="37">
        <f t="shared" si="51"/>
        <v>1</v>
      </c>
      <c r="AB27" s="37">
        <f t="shared" si="52"/>
        <v>3</v>
      </c>
      <c r="AC27" s="37">
        <f t="shared" si="53"/>
        <v>2</v>
      </c>
      <c r="AD27" s="36">
        <f t="shared" si="54"/>
        <v>3.2</v>
      </c>
      <c r="AE27" s="37">
        <f t="shared" si="55"/>
        <v>6.36</v>
      </c>
      <c r="AF27" s="37">
        <f t="shared" si="56"/>
        <v>0.68</v>
      </c>
      <c r="AG27" s="33">
        <v>1</v>
      </c>
      <c r="AH27" s="38">
        <f t="shared" si="57"/>
        <v>6.3</v>
      </c>
      <c r="AI27" s="38">
        <f t="shared" si="58"/>
        <v>-3.3</v>
      </c>
      <c r="AJ27" s="38">
        <f t="shared" si="59"/>
        <v>-10</v>
      </c>
      <c r="AK27" s="38">
        <f t="shared" si="60"/>
        <v>1</v>
      </c>
      <c r="AL27" s="39">
        <v>3</v>
      </c>
    </row>
    <row r="28" spans="1:38" x14ac:dyDescent="0.3">
      <c r="A28" s="12" t="s">
        <v>71</v>
      </c>
      <c r="B28" s="12" t="s">
        <v>42</v>
      </c>
      <c r="C28" s="13">
        <v>58.933</v>
      </c>
      <c r="D28" s="13">
        <v>4.41</v>
      </c>
      <c r="E28" s="13">
        <v>2.5</v>
      </c>
      <c r="F28" s="13">
        <v>1.2157</v>
      </c>
      <c r="G28" s="13">
        <v>1</v>
      </c>
      <c r="H28" s="13">
        <v>2.15</v>
      </c>
      <c r="I28" s="13">
        <v>0</v>
      </c>
      <c r="J28" s="13">
        <v>0</v>
      </c>
      <c r="K28" s="13">
        <v>6</v>
      </c>
      <c r="L28" s="13">
        <v>7.2</v>
      </c>
      <c r="M28" s="13">
        <v>0</v>
      </c>
      <c r="N28" s="13">
        <v>-1</v>
      </c>
      <c r="O28" s="13">
        <v>1</v>
      </c>
      <c r="P28" s="12">
        <v>2</v>
      </c>
      <c r="Q28" s="12">
        <v>2.8</v>
      </c>
      <c r="R28" s="14">
        <v>0</v>
      </c>
      <c r="S28" s="15">
        <f t="shared" si="4"/>
        <v>3.9328304624274653</v>
      </c>
      <c r="T28" s="33" t="str">
        <f t="shared" si="45"/>
        <v>'Co'</v>
      </c>
      <c r="U28" s="34" t="str">
        <f t="shared" si="46"/>
        <v>'hcp'</v>
      </c>
      <c r="V28" s="34">
        <f t="shared" si="47"/>
        <v>12</v>
      </c>
      <c r="W28" s="34">
        <v>1</v>
      </c>
      <c r="X28" s="35">
        <f t="shared" si="48"/>
        <v>58.933</v>
      </c>
      <c r="Y28" s="36">
        <f t="shared" si="49"/>
        <v>5.2356147485193612</v>
      </c>
      <c r="Z28" s="37">
        <f t="shared" si="50"/>
        <v>2.15</v>
      </c>
      <c r="AA28" s="37">
        <f t="shared" si="51"/>
        <v>0</v>
      </c>
      <c r="AB28" s="37">
        <f t="shared" si="52"/>
        <v>0</v>
      </c>
      <c r="AC28" s="37">
        <f t="shared" si="53"/>
        <v>6</v>
      </c>
      <c r="AD28" s="36">
        <f t="shared" si="54"/>
        <v>2.5</v>
      </c>
      <c r="AE28" s="37">
        <f t="shared" si="55"/>
        <v>4.41</v>
      </c>
      <c r="AF28" s="37">
        <f t="shared" si="56"/>
        <v>1</v>
      </c>
      <c r="AG28" s="33">
        <v>1</v>
      </c>
      <c r="AH28" s="38">
        <f t="shared" si="57"/>
        <v>7.2</v>
      </c>
      <c r="AI28" s="38">
        <f t="shared" si="58"/>
        <v>0</v>
      </c>
      <c r="AJ28" s="38">
        <f t="shared" si="59"/>
        <v>-1</v>
      </c>
      <c r="AK28" s="38">
        <f t="shared" si="60"/>
        <v>1</v>
      </c>
      <c r="AL28" s="39">
        <v>3</v>
      </c>
    </row>
    <row r="29" spans="1:38" x14ac:dyDescent="0.3">
      <c r="A29" s="12" t="s">
        <v>72</v>
      </c>
      <c r="B29" s="12" t="s">
        <v>42</v>
      </c>
      <c r="C29" s="13">
        <v>24.32</v>
      </c>
      <c r="D29" s="13">
        <v>1.55</v>
      </c>
      <c r="E29" s="13">
        <v>3.2</v>
      </c>
      <c r="F29" s="13">
        <v>0.2303</v>
      </c>
      <c r="G29" s="13">
        <v>0.52</v>
      </c>
      <c r="H29" s="13">
        <v>2.2999999999999998</v>
      </c>
      <c r="I29" s="13">
        <v>1</v>
      </c>
      <c r="J29" s="13">
        <v>3</v>
      </c>
      <c r="K29" s="13">
        <v>1</v>
      </c>
      <c r="L29" s="13">
        <v>9</v>
      </c>
      <c r="M29" s="13">
        <v>-2</v>
      </c>
      <c r="N29" s="13">
        <v>-9.5</v>
      </c>
      <c r="O29" s="13">
        <v>1</v>
      </c>
      <c r="P29" s="12">
        <v>0.49</v>
      </c>
      <c r="Q29" s="12">
        <v>2.8</v>
      </c>
      <c r="R29" s="14">
        <v>0</v>
      </c>
      <c r="S29" s="15">
        <f t="shared" si="4"/>
        <v>5.0340229919071557</v>
      </c>
      <c r="T29" s="33" t="str">
        <f t="shared" si="45"/>
        <v>'Mg'</v>
      </c>
      <c r="U29" s="34" t="str">
        <f t="shared" si="46"/>
        <v>'hcp'</v>
      </c>
      <c r="V29" s="34">
        <f t="shared" si="47"/>
        <v>12</v>
      </c>
      <c r="W29" s="34">
        <v>1</v>
      </c>
      <c r="X29" s="35">
        <f t="shared" si="48"/>
        <v>24.32</v>
      </c>
      <c r="Y29" s="36">
        <f t="shared" si="49"/>
        <v>5.5663414488925653</v>
      </c>
      <c r="Z29" s="37">
        <f t="shared" si="50"/>
        <v>2.2999999999999998</v>
      </c>
      <c r="AA29" s="37">
        <f t="shared" si="51"/>
        <v>1</v>
      </c>
      <c r="AB29" s="37">
        <f t="shared" si="52"/>
        <v>3</v>
      </c>
      <c r="AC29" s="37">
        <f t="shared" si="53"/>
        <v>1</v>
      </c>
      <c r="AD29" s="36">
        <f t="shared" si="54"/>
        <v>3.2</v>
      </c>
      <c r="AE29" s="37">
        <f t="shared" si="55"/>
        <v>1.55</v>
      </c>
      <c r="AF29" s="37">
        <f t="shared" si="56"/>
        <v>0.52</v>
      </c>
      <c r="AG29" s="33">
        <v>1</v>
      </c>
      <c r="AH29" s="38">
        <f t="shared" si="57"/>
        <v>9</v>
      </c>
      <c r="AI29" s="38">
        <f t="shared" si="58"/>
        <v>-2</v>
      </c>
      <c r="AJ29" s="38">
        <f t="shared" si="59"/>
        <v>-9.5</v>
      </c>
      <c r="AK29" s="38">
        <f t="shared" si="60"/>
        <v>1</v>
      </c>
      <c r="AL29" s="39">
        <v>3</v>
      </c>
    </row>
    <row r="30" spans="1:38" x14ac:dyDescent="0.3">
      <c r="A30" s="12" t="s">
        <v>73</v>
      </c>
      <c r="B30" s="12" t="s">
        <v>43</v>
      </c>
      <c r="C30" s="13">
        <v>16</v>
      </c>
      <c r="D30" s="13">
        <v>2.56</v>
      </c>
      <c r="E30" s="13">
        <v>1.21</v>
      </c>
      <c r="F30" s="13">
        <v>5.6</v>
      </c>
      <c r="G30" s="13">
        <v>1.36</v>
      </c>
      <c r="H30" s="13">
        <v>4.55</v>
      </c>
      <c r="I30" s="13">
        <v>2</v>
      </c>
      <c r="J30" s="13">
        <v>2</v>
      </c>
      <c r="K30" s="13">
        <v>2</v>
      </c>
      <c r="L30" s="13">
        <v>0.01</v>
      </c>
      <c r="M30" s="13">
        <v>0.01</v>
      </c>
      <c r="N30" s="13">
        <v>-0.01</v>
      </c>
      <c r="O30" s="13">
        <v>3.75</v>
      </c>
      <c r="P30" s="12">
        <v>1</v>
      </c>
      <c r="Q30" s="12">
        <v>2.8</v>
      </c>
      <c r="R30" s="14">
        <v>0</v>
      </c>
      <c r="S30" s="15">
        <f t="shared" si="4"/>
        <v>2.42</v>
      </c>
      <c r="T30" s="33" t="str">
        <f t="shared" si="45"/>
        <v>'O'</v>
      </c>
      <c r="U30" s="34" t="str">
        <f t="shared" si="46"/>
        <v>'dim'</v>
      </c>
      <c r="V30" s="34">
        <f t="shared" si="47"/>
        <v>1</v>
      </c>
      <c r="W30" s="34">
        <v>1</v>
      </c>
      <c r="X30" s="35">
        <f t="shared" si="48"/>
        <v>16</v>
      </c>
      <c r="Y30" s="36">
        <f t="shared" si="49"/>
        <v>5.6</v>
      </c>
      <c r="Z30" s="37">
        <f t="shared" si="50"/>
        <v>4.55</v>
      </c>
      <c r="AA30" s="37">
        <f t="shared" si="51"/>
        <v>2</v>
      </c>
      <c r="AB30" s="37">
        <f t="shared" si="52"/>
        <v>2</v>
      </c>
      <c r="AC30" s="37">
        <f t="shared" si="53"/>
        <v>2</v>
      </c>
      <c r="AD30" s="36">
        <f t="shared" si="54"/>
        <v>1.21</v>
      </c>
      <c r="AE30" s="37">
        <f t="shared" si="55"/>
        <v>2.56</v>
      </c>
      <c r="AF30" s="37">
        <f t="shared" si="56"/>
        <v>1.36</v>
      </c>
      <c r="AG30" s="33">
        <v>1</v>
      </c>
      <c r="AH30" s="38">
        <f t="shared" si="57"/>
        <v>0.01</v>
      </c>
      <c r="AI30" s="38">
        <f t="shared" si="58"/>
        <v>0.01</v>
      </c>
      <c r="AJ30" s="38">
        <f t="shared" si="59"/>
        <v>-0.01</v>
      </c>
      <c r="AK30" s="38">
        <f t="shared" si="60"/>
        <v>3.75</v>
      </c>
      <c r="AL30" s="39">
        <v>3</v>
      </c>
    </row>
    <row r="31" spans="1:38" x14ac:dyDescent="0.3">
      <c r="A31" s="12" t="s">
        <v>74</v>
      </c>
      <c r="B31" s="12" t="s">
        <v>43</v>
      </c>
      <c r="C31" s="13">
        <v>14.007</v>
      </c>
      <c r="D31" s="13">
        <v>4.88</v>
      </c>
      <c r="E31" s="13">
        <v>1.1000000000000001</v>
      </c>
      <c r="F31" s="13">
        <v>5.96</v>
      </c>
      <c r="G31" s="13">
        <v>1.8</v>
      </c>
      <c r="H31" s="13">
        <v>2.75</v>
      </c>
      <c r="I31" s="13">
        <v>4</v>
      </c>
      <c r="J31" s="13">
        <v>4</v>
      </c>
      <c r="K31" s="13">
        <v>4</v>
      </c>
      <c r="L31" s="13">
        <v>0.05</v>
      </c>
      <c r="M31" s="13">
        <v>1</v>
      </c>
      <c r="N31" s="13">
        <v>0</v>
      </c>
      <c r="O31" s="13">
        <v>18</v>
      </c>
      <c r="P31" s="12">
        <v>2</v>
      </c>
      <c r="Q31" s="12">
        <v>2.8</v>
      </c>
      <c r="R31" s="14">
        <v>0</v>
      </c>
      <c r="S31" s="15">
        <f t="shared" si="4"/>
        <v>2.2000000000000002</v>
      </c>
      <c r="T31" s="33" t="str">
        <f t="shared" si="45"/>
        <v>'N'</v>
      </c>
      <c r="U31" s="34" t="str">
        <f t="shared" si="46"/>
        <v>'dim'</v>
      </c>
      <c r="V31" s="34">
        <f t="shared" si="47"/>
        <v>1</v>
      </c>
      <c r="W31" s="34">
        <v>1</v>
      </c>
      <c r="X31" s="35">
        <f t="shared" si="48"/>
        <v>14.007</v>
      </c>
      <c r="Y31" s="36">
        <f t="shared" si="49"/>
        <v>5.96</v>
      </c>
      <c r="Z31" s="37">
        <f t="shared" si="50"/>
        <v>2.75</v>
      </c>
      <c r="AA31" s="37">
        <f t="shared" si="51"/>
        <v>4</v>
      </c>
      <c r="AB31" s="37">
        <f t="shared" si="52"/>
        <v>4</v>
      </c>
      <c r="AC31" s="37">
        <f t="shared" si="53"/>
        <v>4</v>
      </c>
      <c r="AD31" s="36">
        <f t="shared" si="54"/>
        <v>1.1000000000000001</v>
      </c>
      <c r="AE31" s="37">
        <f t="shared" si="55"/>
        <v>4.88</v>
      </c>
      <c r="AF31" s="37">
        <f t="shared" si="56"/>
        <v>1.8</v>
      </c>
      <c r="AG31" s="33">
        <v>1</v>
      </c>
      <c r="AH31" s="38">
        <f t="shared" si="57"/>
        <v>0.05</v>
      </c>
      <c r="AI31" s="38">
        <f t="shared" si="58"/>
        <v>1</v>
      </c>
      <c r="AJ31" s="38">
        <f t="shared" si="59"/>
        <v>0</v>
      </c>
      <c r="AK31" s="38">
        <f t="shared" si="60"/>
        <v>18</v>
      </c>
      <c r="AL31" s="39">
        <v>3</v>
      </c>
    </row>
    <row r="32" spans="1:38" x14ac:dyDescent="0.3">
      <c r="A32" s="12" t="s">
        <v>47</v>
      </c>
      <c r="B32" s="12" t="s">
        <v>43</v>
      </c>
      <c r="C32" s="13">
        <v>1.008</v>
      </c>
      <c r="D32" s="13">
        <v>2.37</v>
      </c>
      <c r="E32" s="13">
        <v>0.74099999999999999</v>
      </c>
      <c r="F32" s="13">
        <v>2.96</v>
      </c>
      <c r="G32" s="13">
        <v>2.5</v>
      </c>
      <c r="H32" s="13">
        <v>2.96</v>
      </c>
      <c r="I32" s="13">
        <v>3</v>
      </c>
      <c r="J32" s="13">
        <v>3</v>
      </c>
      <c r="K32" s="13">
        <v>2.5</v>
      </c>
      <c r="L32" s="13">
        <v>0.2</v>
      </c>
      <c r="M32" s="13">
        <v>-0.1</v>
      </c>
      <c r="N32" s="13">
        <v>0</v>
      </c>
      <c r="O32" s="13">
        <v>18</v>
      </c>
      <c r="P32" s="12">
        <v>2</v>
      </c>
      <c r="Q32" s="12">
        <v>2.8</v>
      </c>
      <c r="R32" s="14">
        <v>0</v>
      </c>
      <c r="S32" s="15">
        <f t="shared" si="4"/>
        <v>1.482</v>
      </c>
      <c r="T32" s="33" t="str">
        <f t="shared" si="45"/>
        <v>'H'</v>
      </c>
      <c r="U32" s="34" t="str">
        <f t="shared" si="46"/>
        <v>'dim'</v>
      </c>
      <c r="V32" s="34">
        <f t="shared" si="47"/>
        <v>1</v>
      </c>
      <c r="W32" s="34">
        <v>1</v>
      </c>
      <c r="X32" s="35">
        <f t="shared" si="48"/>
        <v>1.008</v>
      </c>
      <c r="Y32" s="36">
        <f t="shared" si="49"/>
        <v>2.96</v>
      </c>
      <c r="Z32" s="37">
        <f t="shared" si="50"/>
        <v>2.96</v>
      </c>
      <c r="AA32" s="37">
        <f t="shared" si="51"/>
        <v>3</v>
      </c>
      <c r="AB32" s="37">
        <f t="shared" si="52"/>
        <v>3</v>
      </c>
      <c r="AC32" s="37">
        <f t="shared" si="53"/>
        <v>2.5</v>
      </c>
      <c r="AD32" s="36">
        <f t="shared" si="54"/>
        <v>0.74099999999999999</v>
      </c>
      <c r="AE32" s="37">
        <f t="shared" si="55"/>
        <v>2.37</v>
      </c>
      <c r="AF32" s="37">
        <f t="shared" si="56"/>
        <v>2.5</v>
      </c>
      <c r="AG32" s="33">
        <v>1</v>
      </c>
      <c r="AH32" s="38">
        <f t="shared" si="57"/>
        <v>0.2</v>
      </c>
      <c r="AI32" s="38">
        <f t="shared" si="58"/>
        <v>-0.1</v>
      </c>
      <c r="AJ32" s="38">
        <f t="shared" si="59"/>
        <v>0</v>
      </c>
      <c r="AK32" s="38">
        <f t="shared" si="60"/>
        <v>18</v>
      </c>
      <c r="AL32" s="39">
        <v>3</v>
      </c>
    </row>
    <row r="33" spans="1:38" x14ac:dyDescent="0.3">
      <c r="A33" s="12" t="s">
        <v>75</v>
      </c>
      <c r="B33" s="12" t="s">
        <v>40</v>
      </c>
      <c r="C33" s="13">
        <v>114.82</v>
      </c>
      <c r="D33" s="13">
        <v>2.5099999999999998</v>
      </c>
      <c r="E33" s="13">
        <v>3.3279999999999998</v>
      </c>
      <c r="F33" s="13">
        <v>0.27</v>
      </c>
      <c r="G33" s="13">
        <v>1</v>
      </c>
      <c r="H33" s="13">
        <v>5.0599999999999996</v>
      </c>
      <c r="I33" s="13">
        <v>5.5</v>
      </c>
      <c r="J33" s="13">
        <v>5.46</v>
      </c>
      <c r="K33" s="13">
        <v>2</v>
      </c>
      <c r="L33" s="13">
        <v>3</v>
      </c>
      <c r="M33" s="13">
        <v>3.1</v>
      </c>
      <c r="N33" s="13">
        <v>2.5</v>
      </c>
      <c r="O33" s="13">
        <v>1</v>
      </c>
      <c r="P33" s="12">
        <v>1.5</v>
      </c>
      <c r="Q33" s="12">
        <v>2.8</v>
      </c>
      <c r="R33" s="14">
        <v>0.05</v>
      </c>
      <c r="S33" s="15">
        <f t="shared" si="4"/>
        <v>5.2353839115834422</v>
      </c>
      <c r="T33" s="33" t="str">
        <f t="shared" si="45"/>
        <v>'In'</v>
      </c>
      <c r="U33" s="34" t="str">
        <f t="shared" si="46"/>
        <v>'fcc'</v>
      </c>
      <c r="V33" s="34">
        <f t="shared" si="47"/>
        <v>12</v>
      </c>
      <c r="W33" s="34">
        <v>1</v>
      </c>
      <c r="X33" s="35">
        <f t="shared" si="48"/>
        <v>114.82</v>
      </c>
      <c r="Y33" s="36">
        <f t="shared" si="49"/>
        <v>5.0232379784745271</v>
      </c>
      <c r="Z33" s="37">
        <f t="shared" si="50"/>
        <v>5.0599999999999996</v>
      </c>
      <c r="AA33" s="37">
        <f t="shared" si="51"/>
        <v>5.5</v>
      </c>
      <c r="AB33" s="37">
        <f t="shared" si="52"/>
        <v>5.46</v>
      </c>
      <c r="AC33" s="37">
        <f t="shared" si="53"/>
        <v>2</v>
      </c>
      <c r="AD33" s="36">
        <f t="shared" si="54"/>
        <v>4.7065027355776605</v>
      </c>
      <c r="AE33" s="37">
        <f t="shared" si="55"/>
        <v>2.5099999999999998</v>
      </c>
      <c r="AF33" s="37">
        <f t="shared" si="56"/>
        <v>1</v>
      </c>
      <c r="AG33" s="33">
        <v>1</v>
      </c>
      <c r="AH33" s="38">
        <f t="shared" si="57"/>
        <v>3</v>
      </c>
      <c r="AI33" s="38">
        <f t="shared" si="58"/>
        <v>3.1</v>
      </c>
      <c r="AJ33" s="38">
        <f t="shared" si="59"/>
        <v>2.5</v>
      </c>
      <c r="AK33" s="38">
        <f t="shared" si="60"/>
        <v>1</v>
      </c>
      <c r="AL33" s="39">
        <v>3</v>
      </c>
    </row>
    <row r="34" spans="1:38" x14ac:dyDescent="0.3">
      <c r="A34" s="12" t="s">
        <v>76</v>
      </c>
      <c r="B34" s="12" t="s">
        <v>40</v>
      </c>
      <c r="C34" s="13">
        <v>69.72</v>
      </c>
      <c r="D34" s="13">
        <v>2.9</v>
      </c>
      <c r="E34" s="13">
        <v>3.0030000000000001</v>
      </c>
      <c r="F34" s="13">
        <v>0.32900000000000001</v>
      </c>
      <c r="G34" s="13">
        <v>0.97</v>
      </c>
      <c r="H34" s="13">
        <v>4.8</v>
      </c>
      <c r="I34" s="13">
        <v>3.1</v>
      </c>
      <c r="J34" s="13">
        <v>6</v>
      </c>
      <c r="K34" s="13">
        <v>0.5</v>
      </c>
      <c r="L34" s="13">
        <v>2.72</v>
      </c>
      <c r="M34" s="13">
        <v>2.06</v>
      </c>
      <c r="N34" s="13">
        <v>-4</v>
      </c>
      <c r="O34" s="13">
        <v>1</v>
      </c>
      <c r="P34" s="12">
        <v>1.4</v>
      </c>
      <c r="Q34" s="12">
        <v>2.8</v>
      </c>
      <c r="R34" s="14">
        <v>9.7000000000000003E-2</v>
      </c>
      <c r="S34" s="15">
        <f t="shared" si="4"/>
        <v>4.724115951467871</v>
      </c>
      <c r="T34" s="33" t="str">
        <f t="shared" si="45"/>
        <v>'Ga'</v>
      </c>
      <c r="U34" s="34" t="str">
        <f t="shared" si="46"/>
        <v>'fcc'</v>
      </c>
      <c r="V34" s="34">
        <f t="shared" si="47"/>
        <v>12</v>
      </c>
      <c r="W34" s="34">
        <v>1</v>
      </c>
      <c r="X34" s="35">
        <f t="shared" si="48"/>
        <v>69.72</v>
      </c>
      <c r="Y34" s="36">
        <f t="shared" si="49"/>
        <v>4.4217654721395547</v>
      </c>
      <c r="Z34" s="37">
        <f t="shared" si="50"/>
        <v>4.8</v>
      </c>
      <c r="AA34" s="37">
        <f t="shared" si="51"/>
        <v>3.1</v>
      </c>
      <c r="AB34" s="37">
        <f t="shared" si="52"/>
        <v>6</v>
      </c>
      <c r="AC34" s="37">
        <f t="shared" si="53"/>
        <v>0.5</v>
      </c>
      <c r="AD34" s="36">
        <f t="shared" si="54"/>
        <v>4.2468833278064047</v>
      </c>
      <c r="AE34" s="37">
        <f t="shared" si="55"/>
        <v>2.9</v>
      </c>
      <c r="AF34" s="37">
        <f t="shared" si="56"/>
        <v>0.97</v>
      </c>
      <c r="AG34" s="33">
        <v>1</v>
      </c>
      <c r="AH34" s="38">
        <f t="shared" si="57"/>
        <v>2.72</v>
      </c>
      <c r="AI34" s="38">
        <f t="shared" si="58"/>
        <v>2.06</v>
      </c>
      <c r="AJ34" s="38">
        <f t="shared" si="59"/>
        <v>-4</v>
      </c>
      <c r="AK34" s="38">
        <f t="shared" si="60"/>
        <v>1</v>
      </c>
      <c r="AL34" s="39">
        <v>3</v>
      </c>
    </row>
    <row r="35" spans="1:38" x14ac:dyDescent="0.3">
      <c r="A35" s="12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2"/>
      <c r="Q35" s="12"/>
      <c r="R35" s="14"/>
      <c r="S35" s="15" t="b">
        <f t="shared" si="4"/>
        <v>0</v>
      </c>
      <c r="T35" s="33" t="str">
        <f t="shared" si="45"/>
        <v>''</v>
      </c>
      <c r="U35" s="34" t="b">
        <f t="shared" si="46"/>
        <v>0</v>
      </c>
      <c r="V35" s="34" t="b">
        <f t="shared" si="47"/>
        <v>0</v>
      </c>
      <c r="W35" s="34">
        <v>1</v>
      </c>
      <c r="X35" s="35">
        <f t="shared" si="48"/>
        <v>0</v>
      </c>
      <c r="Y35" s="36" t="b">
        <f t="shared" si="49"/>
        <v>0</v>
      </c>
      <c r="Z35" s="37">
        <f t="shared" si="50"/>
        <v>0</v>
      </c>
      <c r="AA35" s="37">
        <f t="shared" si="51"/>
        <v>0</v>
      </c>
      <c r="AB35" s="37">
        <f t="shared" si="52"/>
        <v>0</v>
      </c>
      <c r="AC35" s="37">
        <f t="shared" si="53"/>
        <v>0</v>
      </c>
      <c r="AD35" s="36" t="b">
        <f t="shared" si="54"/>
        <v>0</v>
      </c>
      <c r="AE35" s="37">
        <f t="shared" si="55"/>
        <v>0</v>
      </c>
      <c r="AF35" s="37">
        <f t="shared" si="56"/>
        <v>0</v>
      </c>
      <c r="AG35" s="33">
        <v>1</v>
      </c>
      <c r="AH35" s="38">
        <f t="shared" si="57"/>
        <v>0</v>
      </c>
      <c r="AI35" s="38">
        <f t="shared" si="58"/>
        <v>0</v>
      </c>
      <c r="AJ35" s="38">
        <f t="shared" si="59"/>
        <v>0</v>
      </c>
      <c r="AK35" s="38">
        <f t="shared" si="60"/>
        <v>0</v>
      </c>
      <c r="AL35" s="39">
        <v>3</v>
      </c>
    </row>
    <row r="36" spans="1:38" x14ac:dyDescent="0.3">
      <c r="A36" s="12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2"/>
      <c r="Q36" s="12"/>
      <c r="R36" s="14"/>
      <c r="S36" s="15" t="b">
        <f t="shared" si="4"/>
        <v>0</v>
      </c>
      <c r="T36" s="33" t="str">
        <f t="shared" si="45"/>
        <v>''</v>
      </c>
      <c r="U36" s="34" t="b">
        <f t="shared" si="46"/>
        <v>0</v>
      </c>
      <c r="V36" s="34" t="b">
        <f t="shared" si="47"/>
        <v>0</v>
      </c>
      <c r="W36" s="34">
        <v>1</v>
      </c>
      <c r="X36" s="35">
        <f t="shared" si="48"/>
        <v>0</v>
      </c>
      <c r="Y36" s="36" t="b">
        <f t="shared" si="49"/>
        <v>0</v>
      </c>
      <c r="Z36" s="37">
        <f t="shared" si="50"/>
        <v>0</v>
      </c>
      <c r="AA36" s="37">
        <f t="shared" si="51"/>
        <v>0</v>
      </c>
      <c r="AB36" s="37">
        <f t="shared" si="52"/>
        <v>0</v>
      </c>
      <c r="AC36" s="37">
        <f t="shared" si="53"/>
        <v>0</v>
      </c>
      <c r="AD36" s="36" t="b">
        <f t="shared" si="54"/>
        <v>0</v>
      </c>
      <c r="AE36" s="37">
        <f t="shared" si="55"/>
        <v>0</v>
      </c>
      <c r="AF36" s="37">
        <f t="shared" si="56"/>
        <v>0</v>
      </c>
      <c r="AG36" s="33">
        <v>1</v>
      </c>
      <c r="AH36" s="38">
        <f t="shared" si="57"/>
        <v>0</v>
      </c>
      <c r="AI36" s="38">
        <f t="shared" si="58"/>
        <v>0</v>
      </c>
      <c r="AJ36" s="38">
        <f t="shared" si="59"/>
        <v>0</v>
      </c>
      <c r="AK36" s="38">
        <f t="shared" si="60"/>
        <v>0</v>
      </c>
      <c r="AL36" s="39">
        <v>3</v>
      </c>
    </row>
    <row r="37" spans="1:38" x14ac:dyDescent="0.3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2"/>
      <c r="Q37" s="12"/>
      <c r="R37" s="14"/>
      <c r="S37" s="15" t="b">
        <f t="shared" si="4"/>
        <v>0</v>
      </c>
      <c r="T37" s="33" t="str">
        <f t="shared" si="45"/>
        <v>''</v>
      </c>
      <c r="U37" s="34" t="b">
        <f t="shared" si="46"/>
        <v>0</v>
      </c>
      <c r="V37" s="34" t="b">
        <f t="shared" si="47"/>
        <v>0</v>
      </c>
      <c r="W37" s="34">
        <v>1</v>
      </c>
      <c r="X37" s="35">
        <f t="shared" si="48"/>
        <v>0</v>
      </c>
      <c r="Y37" s="36" t="b">
        <f t="shared" si="49"/>
        <v>0</v>
      </c>
      <c r="Z37" s="37">
        <f t="shared" si="50"/>
        <v>0</v>
      </c>
      <c r="AA37" s="37">
        <f t="shared" si="51"/>
        <v>0</v>
      </c>
      <c r="AB37" s="37">
        <f t="shared" si="52"/>
        <v>0</v>
      </c>
      <c r="AC37" s="37">
        <f t="shared" si="53"/>
        <v>0</v>
      </c>
      <c r="AD37" s="36" t="b">
        <f t="shared" si="54"/>
        <v>0</v>
      </c>
      <c r="AE37" s="37">
        <f t="shared" si="55"/>
        <v>0</v>
      </c>
      <c r="AF37" s="37">
        <f t="shared" si="56"/>
        <v>0</v>
      </c>
      <c r="AG37" s="33">
        <v>1</v>
      </c>
      <c r="AH37" s="38">
        <f t="shared" si="57"/>
        <v>0</v>
      </c>
      <c r="AI37" s="38">
        <f t="shared" si="58"/>
        <v>0</v>
      </c>
      <c r="AJ37" s="38">
        <f t="shared" si="59"/>
        <v>0</v>
      </c>
      <c r="AK37" s="38">
        <f t="shared" si="60"/>
        <v>0</v>
      </c>
      <c r="AL37" s="39">
        <v>3</v>
      </c>
    </row>
    <row r="38" spans="1:38" x14ac:dyDescent="0.3">
      <c r="A38" s="12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2"/>
      <c r="Q38" s="12"/>
      <c r="R38" s="14"/>
      <c r="S38" s="15" t="b">
        <f t="shared" si="4"/>
        <v>0</v>
      </c>
      <c r="T38" s="33" t="str">
        <f t="shared" si="45"/>
        <v>''</v>
      </c>
      <c r="U38" s="34" t="b">
        <f t="shared" si="46"/>
        <v>0</v>
      </c>
      <c r="V38" s="34" t="b">
        <f t="shared" si="47"/>
        <v>0</v>
      </c>
      <c r="W38" s="34">
        <v>1</v>
      </c>
      <c r="X38" s="35">
        <f t="shared" si="48"/>
        <v>0</v>
      </c>
      <c r="Y38" s="36" t="b">
        <f t="shared" si="49"/>
        <v>0</v>
      </c>
      <c r="Z38" s="37">
        <f t="shared" si="50"/>
        <v>0</v>
      </c>
      <c r="AA38" s="37">
        <f t="shared" si="51"/>
        <v>0</v>
      </c>
      <c r="AB38" s="37">
        <f t="shared" si="52"/>
        <v>0</v>
      </c>
      <c r="AC38" s="37">
        <f t="shared" si="53"/>
        <v>0</v>
      </c>
      <c r="AD38" s="36" t="b">
        <f t="shared" si="54"/>
        <v>0</v>
      </c>
      <c r="AE38" s="37">
        <f t="shared" si="55"/>
        <v>0</v>
      </c>
      <c r="AF38" s="37">
        <f t="shared" si="56"/>
        <v>0</v>
      </c>
      <c r="AG38" s="33">
        <v>1</v>
      </c>
      <c r="AH38" s="38">
        <f t="shared" si="57"/>
        <v>0</v>
      </c>
      <c r="AI38" s="38">
        <f t="shared" si="58"/>
        <v>0</v>
      </c>
      <c r="AJ38" s="38">
        <f t="shared" si="59"/>
        <v>0</v>
      </c>
      <c r="AK38" s="38">
        <f t="shared" si="60"/>
        <v>0</v>
      </c>
      <c r="AL38" s="39">
        <v>3</v>
      </c>
    </row>
    <row r="39" spans="1:38" x14ac:dyDescent="0.3">
      <c r="A39" s="12"/>
      <c r="B39" s="12"/>
      <c r="C39" s="13"/>
      <c r="D39" s="13"/>
      <c r="E39" s="13"/>
      <c r="F39" s="13" t="s">
        <v>108</v>
      </c>
      <c r="G39" s="13"/>
      <c r="H39" s="13"/>
      <c r="I39" s="13"/>
      <c r="J39" s="13"/>
      <c r="K39" s="13"/>
      <c r="L39" s="13"/>
      <c r="M39" s="13"/>
      <c r="N39" s="13"/>
      <c r="O39" s="13"/>
      <c r="P39" s="12"/>
      <c r="Q39" s="12"/>
      <c r="R39" s="14"/>
      <c r="S39" s="15" t="b">
        <f t="shared" si="4"/>
        <v>0</v>
      </c>
      <c r="T39" s="33" t="str">
        <f t="shared" si="45"/>
        <v>''</v>
      </c>
      <c r="U39" s="34" t="b">
        <f t="shared" si="46"/>
        <v>0</v>
      </c>
      <c r="V39" s="34" t="b">
        <f t="shared" si="47"/>
        <v>0</v>
      </c>
      <c r="W39" s="34">
        <v>1</v>
      </c>
      <c r="X39" s="35">
        <f t="shared" si="48"/>
        <v>0</v>
      </c>
      <c r="Y39" s="36" t="b">
        <f t="shared" si="49"/>
        <v>0</v>
      </c>
      <c r="Z39" s="37">
        <f t="shared" si="50"/>
        <v>0</v>
      </c>
      <c r="AA39" s="37">
        <f t="shared" si="51"/>
        <v>0</v>
      </c>
      <c r="AB39" s="37">
        <f t="shared" si="52"/>
        <v>0</v>
      </c>
      <c r="AC39" s="37">
        <f t="shared" si="53"/>
        <v>0</v>
      </c>
      <c r="AD39" s="36" t="b">
        <f t="shared" si="54"/>
        <v>0</v>
      </c>
      <c r="AE39" s="37">
        <f t="shared" si="55"/>
        <v>0</v>
      </c>
      <c r="AF39" s="37">
        <f t="shared" si="56"/>
        <v>0</v>
      </c>
      <c r="AG39" s="33">
        <v>1</v>
      </c>
      <c r="AH39" s="38">
        <f t="shared" si="57"/>
        <v>0</v>
      </c>
      <c r="AI39" s="38">
        <f t="shared" si="58"/>
        <v>0</v>
      </c>
      <c r="AJ39" s="38">
        <f t="shared" si="59"/>
        <v>0</v>
      </c>
      <c r="AK39" s="38">
        <f t="shared" si="60"/>
        <v>0</v>
      </c>
      <c r="AL39" s="39">
        <v>3</v>
      </c>
    </row>
    <row r="40" spans="1:38" x14ac:dyDescent="0.3">
      <c r="A40" s="12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2"/>
      <c r="Q40" s="12"/>
      <c r="R40" s="14"/>
      <c r="S40" s="15" t="b">
        <f t="shared" si="4"/>
        <v>0</v>
      </c>
      <c r="T40" s="33" t="str">
        <f t="shared" si="45"/>
        <v>''</v>
      </c>
      <c r="U40" s="34" t="b">
        <f t="shared" si="46"/>
        <v>0</v>
      </c>
      <c r="V40" s="34" t="b">
        <f t="shared" si="47"/>
        <v>0</v>
      </c>
      <c r="W40" s="34">
        <v>1</v>
      </c>
      <c r="X40" s="35">
        <f t="shared" si="48"/>
        <v>0</v>
      </c>
      <c r="Y40" s="36" t="b">
        <f t="shared" si="49"/>
        <v>0</v>
      </c>
      <c r="Z40" s="37">
        <f t="shared" si="50"/>
        <v>0</v>
      </c>
      <c r="AA40" s="37">
        <f t="shared" si="51"/>
        <v>0</v>
      </c>
      <c r="AB40" s="37">
        <f t="shared" si="52"/>
        <v>0</v>
      </c>
      <c r="AC40" s="37">
        <f t="shared" si="53"/>
        <v>0</v>
      </c>
      <c r="AD40" s="36" t="b">
        <f t="shared" si="54"/>
        <v>0</v>
      </c>
      <c r="AE40" s="37">
        <f t="shared" si="55"/>
        <v>0</v>
      </c>
      <c r="AF40" s="37">
        <f t="shared" si="56"/>
        <v>0</v>
      </c>
      <c r="AG40" s="33">
        <v>1</v>
      </c>
      <c r="AH40" s="38">
        <f t="shared" si="57"/>
        <v>0</v>
      </c>
      <c r="AI40" s="38">
        <f t="shared" si="58"/>
        <v>0</v>
      </c>
      <c r="AJ40" s="38">
        <f t="shared" si="59"/>
        <v>0</v>
      </c>
      <c r="AK40" s="38">
        <f t="shared" si="60"/>
        <v>0</v>
      </c>
      <c r="AL40" s="39">
        <v>3</v>
      </c>
    </row>
    <row r="41" spans="1:38" x14ac:dyDescent="0.3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2"/>
      <c r="Q41" s="12"/>
      <c r="R41" s="14"/>
      <c r="S41" s="15" t="b">
        <f t="shared" si="4"/>
        <v>0</v>
      </c>
      <c r="T41" s="33" t="str">
        <f t="shared" si="45"/>
        <v>''</v>
      </c>
      <c r="U41" s="34" t="b">
        <f t="shared" si="46"/>
        <v>0</v>
      </c>
      <c r="V41" s="34" t="b">
        <f t="shared" si="47"/>
        <v>0</v>
      </c>
      <c r="W41" s="34">
        <v>1</v>
      </c>
      <c r="X41" s="35">
        <f t="shared" si="48"/>
        <v>0</v>
      </c>
      <c r="Y41" s="36" t="b">
        <f t="shared" si="49"/>
        <v>0</v>
      </c>
      <c r="Z41" s="37">
        <f t="shared" si="50"/>
        <v>0</v>
      </c>
      <c r="AA41" s="37">
        <f t="shared" si="51"/>
        <v>0</v>
      </c>
      <c r="AB41" s="37">
        <f t="shared" si="52"/>
        <v>0</v>
      </c>
      <c r="AC41" s="37">
        <f t="shared" si="53"/>
        <v>0</v>
      </c>
      <c r="AD41" s="36" t="b">
        <f t="shared" si="54"/>
        <v>0</v>
      </c>
      <c r="AE41" s="37">
        <f t="shared" si="55"/>
        <v>0</v>
      </c>
      <c r="AF41" s="37">
        <f t="shared" si="56"/>
        <v>0</v>
      </c>
      <c r="AG41" s="33">
        <v>1</v>
      </c>
      <c r="AH41" s="38">
        <f t="shared" si="57"/>
        <v>0</v>
      </c>
      <c r="AI41" s="38">
        <f t="shared" si="58"/>
        <v>0</v>
      </c>
      <c r="AJ41" s="38">
        <f t="shared" si="59"/>
        <v>0</v>
      </c>
      <c r="AK41" s="38">
        <f t="shared" si="60"/>
        <v>0</v>
      </c>
      <c r="AL41" s="39">
        <v>3</v>
      </c>
    </row>
    <row r="42" spans="1:38" x14ac:dyDescent="0.3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2"/>
      <c r="Q42" s="12"/>
      <c r="R42" s="14"/>
      <c r="S42" s="15" t="b">
        <f t="shared" si="4"/>
        <v>0</v>
      </c>
      <c r="T42" s="33" t="str">
        <f t="shared" si="45"/>
        <v>''</v>
      </c>
      <c r="U42" s="34" t="b">
        <f t="shared" si="46"/>
        <v>0</v>
      </c>
      <c r="V42" s="34" t="b">
        <f t="shared" si="47"/>
        <v>0</v>
      </c>
      <c r="W42" s="34">
        <v>1</v>
      </c>
      <c r="X42" s="35">
        <f t="shared" si="48"/>
        <v>0</v>
      </c>
      <c r="Y42" s="36" t="b">
        <f t="shared" si="49"/>
        <v>0</v>
      </c>
      <c r="Z42" s="37">
        <f t="shared" si="50"/>
        <v>0</v>
      </c>
      <c r="AA42" s="37">
        <f t="shared" si="51"/>
        <v>0</v>
      </c>
      <c r="AB42" s="37">
        <f t="shared" si="52"/>
        <v>0</v>
      </c>
      <c r="AC42" s="37">
        <f t="shared" si="53"/>
        <v>0</v>
      </c>
      <c r="AD42" s="36" t="b">
        <f t="shared" si="54"/>
        <v>0</v>
      </c>
      <c r="AE42" s="37">
        <f t="shared" si="55"/>
        <v>0</v>
      </c>
      <c r="AF42" s="37">
        <f t="shared" si="56"/>
        <v>0</v>
      </c>
      <c r="AG42" s="33">
        <v>1</v>
      </c>
      <c r="AH42" s="38">
        <f t="shared" si="57"/>
        <v>0</v>
      </c>
      <c r="AI42" s="38">
        <f t="shared" si="58"/>
        <v>0</v>
      </c>
      <c r="AJ42" s="38">
        <f t="shared" si="59"/>
        <v>0</v>
      </c>
      <c r="AK42" s="38">
        <f t="shared" si="60"/>
        <v>0</v>
      </c>
      <c r="AL42" s="39">
        <v>3</v>
      </c>
    </row>
    <row r="43" spans="1:38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0"/>
      <c r="Q43" s="50"/>
      <c r="R43" s="52"/>
      <c r="S43" s="53" t="b">
        <f t="shared" si="4"/>
        <v>0</v>
      </c>
      <c r="T43" s="33" t="str">
        <f t="shared" si="45"/>
        <v>''</v>
      </c>
      <c r="U43" s="34" t="b">
        <f t="shared" si="46"/>
        <v>0</v>
      </c>
      <c r="V43" s="34" t="b">
        <f t="shared" si="47"/>
        <v>0</v>
      </c>
      <c r="W43" s="34">
        <v>1</v>
      </c>
      <c r="X43" s="35">
        <f t="shared" si="48"/>
        <v>0</v>
      </c>
      <c r="Y43" s="54" t="b">
        <f t="shared" si="49"/>
        <v>0</v>
      </c>
      <c r="Z43" s="55">
        <f t="shared" si="50"/>
        <v>0</v>
      </c>
      <c r="AA43" s="55">
        <f t="shared" si="51"/>
        <v>0</v>
      </c>
      <c r="AB43" s="55">
        <f t="shared" si="52"/>
        <v>0</v>
      </c>
      <c r="AC43" s="55">
        <f t="shared" si="53"/>
        <v>0</v>
      </c>
      <c r="AD43" s="54" t="b">
        <f t="shared" si="54"/>
        <v>0</v>
      </c>
      <c r="AE43" s="55">
        <f t="shared" si="55"/>
        <v>0</v>
      </c>
      <c r="AF43" s="55">
        <f t="shared" si="56"/>
        <v>0</v>
      </c>
      <c r="AG43" s="33">
        <v>1</v>
      </c>
      <c r="AH43" s="38">
        <f t="shared" si="57"/>
        <v>0</v>
      </c>
      <c r="AI43" s="38">
        <f t="shared" si="58"/>
        <v>0</v>
      </c>
      <c r="AJ43" s="38">
        <f t="shared" si="59"/>
        <v>0</v>
      </c>
      <c r="AK43" s="38">
        <f t="shared" si="60"/>
        <v>0</v>
      </c>
      <c r="AL43" s="39">
        <v>3</v>
      </c>
    </row>
    <row r="44" spans="1:38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0"/>
      <c r="Q44" s="50"/>
      <c r="R44" s="52"/>
      <c r="S44" s="53" t="b">
        <f t="shared" si="4"/>
        <v>0</v>
      </c>
      <c r="T44" s="33" t="str">
        <f t="shared" ref="T44:T45" si="61">"'"&amp;A44&amp;"'"</f>
        <v>''</v>
      </c>
      <c r="U44" s="34" t="b">
        <f t="shared" ref="U44:U45" si="62">IF(B44="BCC_A2","'"&amp;"bcc"&amp;"'",IF(B44="FCC_A1","'"&amp;"fcc"&amp;"'",IF(B44="DIA_A4","'"&amp;"dia"&amp;"'",IF(B44="HCP_A3","'"&amp;"hcp"&amp;"'",IF(B44="DIMER","'"&amp;"dim"&amp;"'")))))</f>
        <v>0</v>
      </c>
      <c r="V44" s="34" t="b">
        <f t="shared" ref="V44:V45" si="63">IF(B44="BCC_A2",8,IF(B44="FCC_A1",12,IF(B44="DIA_A4",4,IF(B44="HCP_A3",12,IF(B44="DIMER",1)))))</f>
        <v>0</v>
      </c>
      <c r="W44" s="34">
        <v>1</v>
      </c>
      <c r="X44" s="35">
        <f t="shared" ref="X44:X45" si="64">C44</f>
        <v>0</v>
      </c>
      <c r="Y44" s="54" t="b">
        <f t="shared" ref="Y44:Y45" si="65">IF(B44="BCC_A2",(((E44*2/(3^0.5))^3/2)*9*F44/D44)^0.5,IF(B44="FCC_A1",(((E44*(2^0.5))^3/4)*9*F44/D44)^0.5,IF(B44="DIA_A4",(((E44*4/(6^0.5))*(2^0.5))^3/8*9*F44/D44)^0.5,IF(B44="HCP_A3",(((E44*(2^0.5))^3/4)*9*F44/D44)^0.5,IF(B44="DIMER",F44)))))</f>
        <v>0</v>
      </c>
      <c r="Z44" s="55">
        <f t="shared" ref="Z44:Z45" si="66">H44</f>
        <v>0</v>
      </c>
      <c r="AA44" s="55">
        <f t="shared" ref="AA44:AA45" si="67">I44</f>
        <v>0</v>
      </c>
      <c r="AB44" s="55">
        <f t="shared" ref="AB44:AB45" si="68">J44</f>
        <v>0</v>
      </c>
      <c r="AC44" s="55">
        <f t="shared" ref="AC44:AC45" si="69">K44</f>
        <v>0</v>
      </c>
      <c r="AD44" s="54" t="b">
        <f t="shared" ref="AD44:AD45" si="70">IF(B44="BCC_A2",E44*2/(3^0.5),IF(B44="FCC_A1",2^0.5*E44,IF(B44="DIA_A4",(E44*4/(6^0.5))*(2^0.5),IF(B44="HCP_A3",E44,IF(B44="DIMER",E44)))))</f>
        <v>0</v>
      </c>
      <c r="AE44" s="55">
        <f t="shared" ref="AE44:AE45" si="71">D44</f>
        <v>0</v>
      </c>
      <c r="AF44" s="55">
        <f t="shared" ref="AF44:AF45" si="72">G44</f>
        <v>0</v>
      </c>
      <c r="AG44" s="33">
        <v>1</v>
      </c>
      <c r="AH44" s="38">
        <f t="shared" ref="AH44:AH45" si="73">L44</f>
        <v>0</v>
      </c>
      <c r="AI44" s="38">
        <f t="shared" ref="AI44:AI45" si="74">M44</f>
        <v>0</v>
      </c>
      <c r="AJ44" s="38">
        <f t="shared" ref="AJ44:AJ45" si="75">N44</f>
        <v>0</v>
      </c>
      <c r="AK44" s="38">
        <f t="shared" ref="AK44:AK45" si="76">O44</f>
        <v>0</v>
      </c>
      <c r="AL44" s="39">
        <v>3</v>
      </c>
    </row>
    <row r="45" spans="1:38" x14ac:dyDescent="0.3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6"/>
      <c r="Q45" s="56"/>
      <c r="R45" s="58"/>
      <c r="S45" s="59" t="b">
        <f t="shared" si="4"/>
        <v>0</v>
      </c>
      <c r="T45" s="60" t="str">
        <f t="shared" si="61"/>
        <v>''</v>
      </c>
      <c r="U45" s="61" t="b">
        <f t="shared" si="62"/>
        <v>0</v>
      </c>
      <c r="V45" s="61" t="b">
        <f t="shared" si="63"/>
        <v>0</v>
      </c>
      <c r="W45" s="61">
        <v>1</v>
      </c>
      <c r="X45" s="62">
        <f t="shared" si="64"/>
        <v>0</v>
      </c>
      <c r="Y45" s="63" t="b">
        <f t="shared" si="65"/>
        <v>0</v>
      </c>
      <c r="Z45" s="64">
        <f t="shared" si="66"/>
        <v>0</v>
      </c>
      <c r="AA45" s="64">
        <f t="shared" si="67"/>
        <v>0</v>
      </c>
      <c r="AB45" s="64">
        <f t="shared" si="68"/>
        <v>0</v>
      </c>
      <c r="AC45" s="64">
        <f t="shared" si="69"/>
        <v>0</v>
      </c>
      <c r="AD45" s="63" t="b">
        <f t="shared" si="70"/>
        <v>0</v>
      </c>
      <c r="AE45" s="64">
        <f t="shared" si="71"/>
        <v>0</v>
      </c>
      <c r="AF45" s="64">
        <f t="shared" si="72"/>
        <v>0</v>
      </c>
      <c r="AG45" s="60">
        <v>1</v>
      </c>
      <c r="AH45" s="65">
        <f t="shared" si="73"/>
        <v>0</v>
      </c>
      <c r="AI45" s="65">
        <f t="shared" si="74"/>
        <v>0</v>
      </c>
      <c r="AJ45" s="65">
        <f t="shared" si="75"/>
        <v>0</v>
      </c>
      <c r="AK45" s="65">
        <f t="shared" si="76"/>
        <v>0</v>
      </c>
      <c r="AL45" s="66">
        <v>3</v>
      </c>
    </row>
  </sheetData>
  <sheetProtection algorithmName="SHA-512" hashValue="6+lnhNDKSDhwIRM7jDlcszuzFUE0ROOrbTCUZ7UgklXaCZHdL5CTa+B2fZ9QyXv0UVIGZfiRS1tFjhEQVYODCA==" saltValue="Jyg+b9lHtgI6WAyH+EQVIQ==" spinCount="100000" sheet="1" objects="1" scenarios="1"/>
  <sortState ref="T3:X8">
    <sortCondition sortBy="fontColor" ref="X2" dxfId="0"/>
  </sortState>
  <mergeCells count="6">
    <mergeCell ref="A1:AL1"/>
    <mergeCell ref="T3:AL3"/>
    <mergeCell ref="A3:R4"/>
    <mergeCell ref="T4:X4"/>
    <mergeCell ref="Y4:AF4"/>
    <mergeCell ref="AG4:AL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14"/>
  <sheetViews>
    <sheetView zoomScale="85" zoomScaleNormal="85" workbookViewId="0">
      <selection activeCell="G7" sqref="G7"/>
    </sheetView>
  </sheetViews>
  <sheetFormatPr defaultRowHeight="24.95" customHeight="1" x14ac:dyDescent="0.3"/>
  <cols>
    <col min="1" max="1" width="17.875" style="2" customWidth="1"/>
    <col min="2" max="2" width="32.875" style="1" bestFit="1" customWidth="1"/>
    <col min="3" max="3" width="5.75" style="2" hidden="1" customWidth="1"/>
    <col min="4" max="4" width="4.625" style="2" customWidth="1"/>
    <col min="5" max="5" width="50.75" style="3" bestFit="1" customWidth="1"/>
    <col min="6" max="6" width="5.625" style="2" customWidth="1"/>
    <col min="7" max="16384" width="9" style="2"/>
  </cols>
  <sheetData>
    <row r="2" spans="1:7" ht="44.25" customHeight="1" x14ac:dyDescent="0.3">
      <c r="A2" s="7"/>
      <c r="B2" s="40" t="s">
        <v>105</v>
      </c>
      <c r="E2" s="46" t="s">
        <v>101</v>
      </c>
    </row>
    <row r="3" spans="1:7" ht="39" customHeight="1" x14ac:dyDescent="0.3">
      <c r="B3" s="41" t="s">
        <v>50</v>
      </c>
      <c r="C3" s="2">
        <f>VLOOKUP($B$3,Library!$A$6:$AL$45, 4, FALSE)</f>
        <v>4.29</v>
      </c>
      <c r="E3" s="48" t="s">
        <v>111</v>
      </c>
      <c r="G3" s="47" t="s">
        <v>112</v>
      </c>
    </row>
    <row r="4" spans="1:7" ht="24.95" customHeight="1" x14ac:dyDescent="0.3">
      <c r="C4" s="2">
        <f>VLOOKUP($B$3,Library!$A$6:$AL$45, 5, FALSE)</f>
        <v>2.48</v>
      </c>
      <c r="E4" s="42" t="str">
        <f>"delr = "&amp;C6</f>
        <v>delr = 0.1</v>
      </c>
    </row>
    <row r="5" spans="1:7" ht="24.95" customHeight="1" x14ac:dyDescent="0.3">
      <c r="C5" s="2">
        <v>4.8</v>
      </c>
      <c r="E5" s="42" t="str">
        <f>"augt1 = "&amp;C12</f>
        <v>augt1 = 0</v>
      </c>
    </row>
    <row r="6" spans="1:7" ht="24.95" customHeight="1" x14ac:dyDescent="0.3">
      <c r="C6" s="2">
        <v>0.1</v>
      </c>
      <c r="E6" s="42" t="s">
        <v>109</v>
      </c>
    </row>
    <row r="7" spans="1:7" ht="24.95" customHeight="1" x14ac:dyDescent="0.3">
      <c r="C7" s="2">
        <f>IF(VLOOKUP($B$3,Library!$A$3:$AL$42, 2, FALSE)="DIMER",0,1)</f>
        <v>1</v>
      </c>
      <c r="E7" s="42" t="s">
        <v>110</v>
      </c>
    </row>
    <row r="8" spans="1:7" ht="24.95" customHeight="1" x14ac:dyDescent="0.3">
      <c r="C8" s="2">
        <f>VLOOKUP($B$3,Library!$A$6:$AL$45, 18, FALSE)</f>
        <v>0.05</v>
      </c>
      <c r="E8" s="42" t="str">
        <f>"nn2(1,1) = "&amp;C7</f>
        <v>nn2(1,1) = 1</v>
      </c>
    </row>
    <row r="9" spans="1:7" ht="24.95" customHeight="1" x14ac:dyDescent="0.3">
      <c r="C9" s="2">
        <f>VLOOKUP($B$3,Library!$A$6:$AL$45, 18, FALSE)</f>
        <v>0.05</v>
      </c>
      <c r="E9" s="42" t="str">
        <f>"Ec(1,1) = "&amp;C3</f>
        <v>Ec(1,1) = 4.29</v>
      </c>
    </row>
    <row r="10" spans="1:7" ht="24.95" customHeight="1" x14ac:dyDescent="0.3">
      <c r="C10" s="2">
        <f>VLOOKUP($B$3,Library!$A$6:$AL$45, 16, FALSE)</f>
        <v>0.36</v>
      </c>
      <c r="E10" s="42" t="str">
        <f>"re(1,1) = "&amp;C4</f>
        <v>re(1,1) = 2.48</v>
      </c>
    </row>
    <row r="11" spans="1:7" ht="24.95" customHeight="1" x14ac:dyDescent="0.3">
      <c r="C11" s="2">
        <f>VLOOKUP($B$3,Library!$A$6:$AL$45, 17, FALSE)</f>
        <v>2.8</v>
      </c>
      <c r="E11" s="42" t="str">
        <f>"attrac(1,1) = "&amp;C8</f>
        <v>attrac(1,1) = 0.05</v>
      </c>
    </row>
    <row r="12" spans="1:7" ht="24.95" customHeight="1" x14ac:dyDescent="0.3">
      <c r="C12" s="2">
        <v>0</v>
      </c>
      <c r="E12" s="42" t="str">
        <f>"repuls(1,1) = "&amp;C9</f>
        <v>repuls(1,1) = 0.05</v>
      </c>
    </row>
    <row r="13" spans="1:7" ht="24.95" customHeight="1" x14ac:dyDescent="0.3">
      <c r="E13" s="42" t="str">
        <f>"Cmin(1,1,1) = "&amp;C10</f>
        <v>Cmin(1,1,1) = 0.36</v>
      </c>
    </row>
    <row r="14" spans="1:7" ht="24.95" customHeight="1" x14ac:dyDescent="0.3">
      <c r="E14" s="43" t="str">
        <f>"Cmax(1,1,1) = "&amp;C11</f>
        <v>Cmax(1,1,1) = 2.8</v>
      </c>
    </row>
  </sheetData>
  <sheetProtection algorithmName="SHA-512" hashValue="pIVVuDt0vbmdJp0GWmqipkCMSfYNDb4IXcErUZct25sqq1vJWC95vhWOE6o+gYyaMcyDC49QvHctqJAZY18wWQ==" saltValue="aeBZOjDM1ktAJaK+ukOPbw==" spinCount="100000" sheet="1" objects="1" scenarios="1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9"/>
  <sheetViews>
    <sheetView tabSelected="1" topLeftCell="B2" zoomScaleNormal="100" workbookViewId="0">
      <selection activeCell="D8" sqref="D8"/>
    </sheetView>
  </sheetViews>
  <sheetFormatPr defaultRowHeight="14.25" x14ac:dyDescent="0.3"/>
  <cols>
    <col min="1" max="1" width="9.875" style="17" hidden="1" customWidth="1"/>
    <col min="2" max="2" width="9.875" style="17" customWidth="1"/>
    <col min="3" max="3" width="42.125" style="24" customWidth="1"/>
    <col min="4" max="4" width="24.75" style="17" customWidth="1"/>
    <col min="5" max="5" width="2.875" style="16" customWidth="1"/>
    <col min="6" max="7" width="3.375" style="16" bestFit="1" customWidth="1"/>
    <col min="8" max="8" width="8" style="16" bestFit="1" customWidth="1"/>
    <col min="9" max="9" width="13.5" style="16" bestFit="1" customWidth="1"/>
    <col min="10" max="11" width="12.75" style="16" bestFit="1" customWidth="1"/>
    <col min="12" max="12" width="5.5" style="16" bestFit="1" customWidth="1"/>
    <col min="13" max="21" width="8.625" style="16" customWidth="1"/>
    <col min="22" max="22" width="2.875" style="16" customWidth="1"/>
    <col min="23" max="23" width="4.375" style="17" customWidth="1"/>
    <col min="24" max="24" width="123.375" style="8" customWidth="1"/>
    <col min="25" max="16384" width="9" style="7"/>
  </cols>
  <sheetData>
    <row r="1" spans="1:24" hidden="1" x14ac:dyDescent="0.3">
      <c r="M1" s="16" t="s">
        <v>116</v>
      </c>
      <c r="N1" s="16" t="s">
        <v>115</v>
      </c>
      <c r="O1" s="16" t="s">
        <v>117</v>
      </c>
      <c r="P1" s="16" t="s">
        <v>118</v>
      </c>
      <c r="Q1" s="16" t="s">
        <v>119</v>
      </c>
      <c r="R1" s="16" t="s">
        <v>120</v>
      </c>
    </row>
    <row r="2" spans="1:24" ht="17.25" customHeight="1" x14ac:dyDescent="0.3">
      <c r="C2" s="77" t="s">
        <v>103</v>
      </c>
      <c r="E2" s="27"/>
      <c r="F2" s="27"/>
      <c r="G2" s="27"/>
      <c r="H2" s="27"/>
      <c r="I2" s="27"/>
      <c r="J2" s="67">
        <f>IF(J5=0,L2,J5)</f>
        <v>2.3639999999999999</v>
      </c>
      <c r="K2" s="27">
        <f>IF(K5=0,IF(H5="L12A3B",VLOOKUP($F$5,Library!$A$6:$AL$45,6,FALSE)*0.75+VLOOKUP($G$5,Library!$A$6:$AL$45,6,FALSE)*0.25,IF(OR(H5="L12AB3",H5="MC_BCC"),VLOOKUP($F$5,Library!$A$6:$AL$45,6,FALSE)*0.25+VLOOKUP($G$5,Library!$A$6:$AL$45,6,FALSE)*0.75,IF(H5="FCC_B1",VLOOKUP($F$5,Library!$A$6:$AL$45,6,FALSE)*0.5+VLOOKUP($G$5,Library!$A$6:$AL$45,6,FALSE)*0.5,IF(H5="BCC_B2",VLOOKUP($F$5,Library!$A$6:$AL$45,6,FALSE)*0.5+VLOOKUP($G$5,Library!$A$6:$AL$45,6,FALSE)*0.5,IF(H5="ZnS_B3",VLOOKUP($F$5,Library!$A$6:$AL$45,6,FALSE)*0.5+VLOOKUP($G$5,Library!$A$6:$AL$45,6,FALSE)*0.5))))),K5)</f>
        <v>1.65</v>
      </c>
      <c r="L2" s="27">
        <f>IF($H$5="FCC_B1",(((M2*0.5+P2*0.5)*8)^(1/3))/2,IF($H$5="BCC_B2",(((M2*0.5+P2*0.5)*2)^(1/3))/SQRT(4/3),IF($H$5="ZnS_B3",(((M2*0.5+P2*0.5) *8) ^(1/3))*(SQRT(3)/4),IF($H$5="L12A3B",(((M2*0.75+P2*0.25)*4)^(1/3))/SQRT(2),IF($H$5="L12AB3","N/A: LAMMPS doesn't support L12AB3","N/A")))))</f>
        <v>2.4352469804925496</v>
      </c>
      <c r="M2" s="27">
        <f>IF(N2="FCC_A1",0.25*(O2*SQRT(2))^3,IF(N2="BCC_A2",0.5*(O2*(2/SQRT(3)))^3,IF(N2="HCP_A3",(O2^3)/SQRT(2),IF(N2="DIA_A4",((O2*4/SQRT(3))^3)/8,IF(N2="DIMER",(O2)^3,"N/A")))))</f>
        <v>11.74175871619628</v>
      </c>
      <c r="N2" s="27" t="str">
        <f>VLOOKUP($F$5,Library!$A$6:$AL$45,2,FALSE)</f>
        <v>BCC_A2</v>
      </c>
      <c r="O2" s="27">
        <f>VLOOKUP($F$5,Library!$A$6:$AL$45,5,FALSE)</f>
        <v>2.48</v>
      </c>
      <c r="P2" s="27">
        <f>IF(Q2="FCC_A1",0.25*(R2*SQRT(2))^3,IF(Q2="BCC_A2",0.5*(R2*(2/SQRT(3)))^3,IF(Q2="HCP_A3",(R2^3)/SQRT(2),IF(Q2="DIA_A4",((R2*4/SQRT(3))^3)/8,IF(Q2="DIMER",(R2)^3,"N/A")))))</f>
        <v>5.6230282761375454</v>
      </c>
      <c r="Q2" s="27" t="str">
        <f>VLOOKUP($G$5,Library!$A$6:$AL$45,2,FALSE)</f>
        <v>DIA_A4</v>
      </c>
      <c r="R2" s="27">
        <f>VLOOKUP($G$5,Library!$A$6:$AL$45,5,FALSE)</f>
        <v>1.54</v>
      </c>
      <c r="S2" s="18"/>
      <c r="T2" s="27"/>
      <c r="U2" s="27"/>
      <c r="V2" s="27"/>
    </row>
    <row r="3" spans="1:24" ht="29.25" customHeight="1" x14ac:dyDescent="0.3">
      <c r="C3" s="78"/>
      <c r="E3" s="18"/>
      <c r="F3" s="76" t="s">
        <v>107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18"/>
    </row>
    <row r="4" spans="1:24" ht="21" customHeight="1" x14ac:dyDescent="0.3">
      <c r="A4" s="17">
        <v>4.8</v>
      </c>
      <c r="C4" s="49" t="s">
        <v>111</v>
      </c>
      <c r="D4" s="79" t="s">
        <v>113</v>
      </c>
      <c r="E4" s="18"/>
      <c r="F4" s="28">
        <v>1</v>
      </c>
      <c r="G4" s="28">
        <v>2</v>
      </c>
      <c r="H4" s="28" t="s">
        <v>4</v>
      </c>
      <c r="I4" s="28" t="s">
        <v>53</v>
      </c>
      <c r="J4" s="28" t="s">
        <v>7</v>
      </c>
      <c r="K4" s="28" t="s">
        <v>8</v>
      </c>
      <c r="L4" s="28" t="s">
        <v>54</v>
      </c>
      <c r="M4" s="28" t="s">
        <v>78</v>
      </c>
      <c r="N4" s="28" t="s">
        <v>79</v>
      </c>
      <c r="O4" s="28" t="s">
        <v>80</v>
      </c>
      <c r="P4" s="28" t="s">
        <v>81</v>
      </c>
      <c r="Q4" s="28" t="s">
        <v>55</v>
      </c>
      <c r="R4" s="28" t="s">
        <v>82</v>
      </c>
      <c r="S4" s="28" t="s">
        <v>83</v>
      </c>
      <c r="T4" s="28" t="s">
        <v>84</v>
      </c>
      <c r="U4" s="28" t="s">
        <v>85</v>
      </c>
      <c r="V4" s="18"/>
    </row>
    <row r="5" spans="1:24" ht="21.75" customHeight="1" x14ac:dyDescent="0.3">
      <c r="A5" s="17">
        <v>0.1</v>
      </c>
      <c r="C5" s="25" t="str">
        <f>"delr = "&amp;A5</f>
        <v>delr = 0.1</v>
      </c>
      <c r="D5" s="79"/>
      <c r="E5" s="18"/>
      <c r="F5" s="81" t="s">
        <v>50</v>
      </c>
      <c r="G5" s="81" t="s">
        <v>56</v>
      </c>
      <c r="H5" s="81" t="s">
        <v>99</v>
      </c>
      <c r="I5" s="82">
        <v>0.95</v>
      </c>
      <c r="J5" s="82">
        <v>2.3639999999999999</v>
      </c>
      <c r="K5" s="82">
        <v>1.65</v>
      </c>
      <c r="L5" s="81">
        <v>0</v>
      </c>
      <c r="M5" s="81">
        <v>0</v>
      </c>
      <c r="N5" s="81">
        <v>0.16</v>
      </c>
      <c r="O5" s="81">
        <v>0.16</v>
      </c>
      <c r="P5" s="81">
        <v>0.16</v>
      </c>
      <c r="Q5" s="81" t="s">
        <v>52</v>
      </c>
      <c r="R5" s="81">
        <v>0</v>
      </c>
      <c r="S5" s="81">
        <v>1.44</v>
      </c>
      <c r="T5" s="81">
        <v>0</v>
      </c>
      <c r="U5" s="81">
        <v>0</v>
      </c>
      <c r="V5" s="18"/>
    </row>
    <row r="6" spans="1:24" ht="15" x14ac:dyDescent="0.3">
      <c r="A6" s="17">
        <v>0</v>
      </c>
      <c r="C6" s="25" t="str">
        <f>"augt1 = "&amp;A6</f>
        <v>augt1 = 0</v>
      </c>
      <c r="D6" s="7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4" ht="15" x14ac:dyDescent="0.3">
      <c r="A7" s="17">
        <v>2</v>
      </c>
      <c r="C7" s="25" t="str">
        <f>"erose_form = "&amp;A7</f>
        <v>erose_form = 2</v>
      </c>
      <c r="D7" s="7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X7" s="11"/>
    </row>
    <row r="8" spans="1:24" ht="15" x14ac:dyDescent="0.3">
      <c r="A8" s="17">
        <v>2</v>
      </c>
      <c r="C8" s="25" t="str">
        <f>"ialloy = "&amp;A8</f>
        <v>ialloy = 2</v>
      </c>
      <c r="D8" s="19"/>
      <c r="E8" s="21"/>
      <c r="F8" s="11" t="s">
        <v>102</v>
      </c>
      <c r="I8" s="22"/>
      <c r="J8" s="22"/>
      <c r="K8" s="22"/>
      <c r="V8" s="21"/>
      <c r="X8" s="69" t="s">
        <v>77</v>
      </c>
    </row>
    <row r="9" spans="1:24" ht="15" customHeight="1" x14ac:dyDescent="0.3">
      <c r="C9" s="25"/>
      <c r="D9" s="80" t="s">
        <v>114</v>
      </c>
      <c r="F9" s="70" t="s">
        <v>50</v>
      </c>
      <c r="G9" s="70" t="s">
        <v>56</v>
      </c>
      <c r="H9" s="70" t="s">
        <v>100</v>
      </c>
      <c r="I9" s="71">
        <v>0.95</v>
      </c>
      <c r="J9" s="71">
        <v>2.3639999999999999</v>
      </c>
      <c r="K9" s="71">
        <v>1.65</v>
      </c>
      <c r="L9" s="70">
        <v>0</v>
      </c>
      <c r="M9" s="70">
        <v>0</v>
      </c>
      <c r="N9" s="70">
        <v>0.16</v>
      </c>
      <c r="O9" s="70">
        <v>0.16</v>
      </c>
      <c r="P9" s="70">
        <v>0.16</v>
      </c>
      <c r="Q9" s="70" t="s">
        <v>52</v>
      </c>
      <c r="R9" s="70">
        <v>0</v>
      </c>
      <c r="S9" s="70">
        <v>1.44</v>
      </c>
      <c r="T9" s="70">
        <v>0</v>
      </c>
      <c r="U9" s="70">
        <v>0</v>
      </c>
      <c r="X9" s="68" t="s">
        <v>98</v>
      </c>
    </row>
    <row r="10" spans="1:24" ht="15" x14ac:dyDescent="0.3">
      <c r="A10" s="17">
        <v>0</v>
      </c>
      <c r="C10" s="25" t="str">
        <f>"zbl(1,1) = "&amp;A10</f>
        <v>zbl(1,1) = 0</v>
      </c>
      <c r="D10" s="80"/>
      <c r="X10" s="68"/>
    </row>
    <row r="11" spans="1:24" ht="15" x14ac:dyDescent="0.3">
      <c r="A11" s="17">
        <f>IF(VLOOKUP($F$5,Library!$A$3:$AL$42, 2, FALSE)="DIMER",0,1)</f>
        <v>1</v>
      </c>
      <c r="C11" s="25" t="str">
        <f>"nn2(1,1) = "&amp;A11</f>
        <v>nn2(1,1) = 1</v>
      </c>
      <c r="D11" s="80"/>
      <c r="I11" s="22"/>
      <c r="J11" s="22"/>
      <c r="K11" s="22"/>
      <c r="X11" s="68"/>
    </row>
    <row r="12" spans="1:24" ht="15" x14ac:dyDescent="0.3">
      <c r="A12" s="17">
        <f>VLOOKUP($F$5,Library!$A$3:$AL$42, 18, FALSE)</f>
        <v>0.05</v>
      </c>
      <c r="C12" s="25" t="str">
        <f>"attrac(1,1) = "&amp;A12</f>
        <v>attrac(1,1) = 0.05</v>
      </c>
      <c r="D12" s="80"/>
      <c r="I12" s="22"/>
      <c r="J12" s="22"/>
      <c r="K12" s="22"/>
      <c r="X12" s="68"/>
    </row>
    <row r="13" spans="1:24" ht="15" x14ac:dyDescent="0.3">
      <c r="A13" s="17">
        <f>VLOOKUP($F$5,Library!$A$3:$AL$42, 18, FALSE)</f>
        <v>0.05</v>
      </c>
      <c r="C13" s="25" t="str">
        <f>"repuls(1,1) = "&amp;A13</f>
        <v>repuls(1,1) = 0.05</v>
      </c>
      <c r="D13" s="80"/>
      <c r="I13" s="22"/>
      <c r="J13" s="22"/>
      <c r="K13" s="22"/>
      <c r="X13" s="68"/>
    </row>
    <row r="14" spans="1:24" ht="15" x14ac:dyDescent="0.3">
      <c r="A14" s="17">
        <f>VLOOKUP($F$5,Library!$A$3:$AL$42, 16, FALSE)</f>
        <v>0.36</v>
      </c>
      <c r="C14" s="25" t="str">
        <f>"Cmin(1,1,1) = "&amp;A14</f>
        <v>Cmin(1,1,1) = 0.36</v>
      </c>
      <c r="D14" s="80"/>
      <c r="I14" s="22"/>
      <c r="J14" s="22"/>
      <c r="K14" s="22"/>
      <c r="X14" s="68"/>
    </row>
    <row r="15" spans="1:24" ht="24.75" customHeight="1" x14ac:dyDescent="0.3">
      <c r="A15" s="17">
        <f>VLOOKUP($F$5,Library!$A$3:$AL$42, 17, FALSE)</f>
        <v>2.8</v>
      </c>
      <c r="C15" s="25" t="str">
        <f>"Cmax(1,1,1) = "&amp;A15</f>
        <v>Cmax(1,1,1) = 2.8</v>
      </c>
      <c r="D15" s="80"/>
      <c r="I15" s="22"/>
      <c r="J15" s="22"/>
      <c r="K15" s="22"/>
      <c r="X15" s="68"/>
    </row>
    <row r="16" spans="1:24" ht="15" x14ac:dyDescent="0.3">
      <c r="A16" s="17">
        <f>VLOOKUP($F$5,Library!$A$3:$AL$42, 4, FALSE)</f>
        <v>4.29</v>
      </c>
      <c r="C16" s="25" t="str">
        <f>"Ec(1,1) = "&amp;A16</f>
        <v>Ec(1,1) = 4.29</v>
      </c>
      <c r="D16" s="80"/>
      <c r="I16" s="22"/>
      <c r="J16" s="22"/>
      <c r="K16" s="22"/>
      <c r="X16" s="68"/>
    </row>
    <row r="17" spans="1:24" ht="15" x14ac:dyDescent="0.3">
      <c r="A17" s="17">
        <f>VLOOKUP($F$5,Library!$A$3:$AL$42, 5, FALSE)</f>
        <v>2.48</v>
      </c>
      <c r="C17" s="25" t="str">
        <f>"re(1,1) = "&amp;A17</f>
        <v>re(1,1) = 2.48</v>
      </c>
      <c r="D17" s="80"/>
      <c r="I17" s="22"/>
      <c r="J17" s="22"/>
      <c r="K17" s="22"/>
      <c r="X17" s="68"/>
    </row>
    <row r="18" spans="1:24" ht="15" x14ac:dyDescent="0.3">
      <c r="C18" s="25"/>
      <c r="D18" s="80"/>
      <c r="I18" s="22"/>
      <c r="J18" s="22"/>
      <c r="K18" s="22"/>
      <c r="X18" s="68"/>
    </row>
    <row r="19" spans="1:24" ht="15" x14ac:dyDescent="0.3">
      <c r="A19" s="17">
        <v>0</v>
      </c>
      <c r="C19" s="25" t="str">
        <f>"zbl(2,2) = "&amp;A19</f>
        <v>zbl(2,2) = 0</v>
      </c>
      <c r="D19" s="19"/>
      <c r="I19" s="22"/>
      <c r="J19" s="22"/>
      <c r="K19" s="22"/>
      <c r="X19" s="68"/>
    </row>
    <row r="20" spans="1:24" ht="15" x14ac:dyDescent="0.3">
      <c r="A20" s="17">
        <f>IF(VLOOKUP($G$5,Library!$A$3:$AL$42, 2, FALSE)="DIMER",0,1)</f>
        <v>1</v>
      </c>
      <c r="C20" s="25" t="str">
        <f>"nn2(2,2) = "&amp;A20</f>
        <v>nn2(2,2) = 1</v>
      </c>
      <c r="D20" s="19"/>
      <c r="I20" s="22"/>
      <c r="J20" s="22"/>
      <c r="K20" s="22"/>
      <c r="X20" s="68"/>
    </row>
    <row r="21" spans="1:24" ht="15" x14ac:dyDescent="0.3">
      <c r="A21" s="17">
        <f>VLOOKUP($G$5,Library!$A$3:$AL$42, 18, FALSE)</f>
        <v>0</v>
      </c>
      <c r="C21" s="25" t="str">
        <f>"attrac(2,2) = "&amp;A21</f>
        <v>attrac(2,2) = 0</v>
      </c>
      <c r="D21" s="19"/>
      <c r="I21" s="22"/>
      <c r="J21" s="22"/>
      <c r="K21" s="22"/>
      <c r="X21" s="68"/>
    </row>
    <row r="22" spans="1:24" ht="15" x14ac:dyDescent="0.3">
      <c r="A22" s="17">
        <f>VLOOKUP($G$5,Library!$A$3:$AL$42, 18, FALSE)</f>
        <v>0</v>
      </c>
      <c r="C22" s="25" t="str">
        <f>"repuls(2,2) = "&amp;A22</f>
        <v>repuls(2,2) = 0</v>
      </c>
      <c r="D22" s="19"/>
      <c r="I22" s="22"/>
      <c r="J22" s="22"/>
      <c r="K22" s="22"/>
      <c r="X22" s="68"/>
    </row>
    <row r="23" spans="1:24" ht="15" x14ac:dyDescent="0.3">
      <c r="A23" s="17">
        <f>VLOOKUP($G$5,Library!$A$3:$AL$42, 16, FALSE)</f>
        <v>1.41</v>
      </c>
      <c r="C23" s="25" t="str">
        <f>"Cmin(2,2,2) = "&amp;A23</f>
        <v>Cmin(2,2,2) = 1.41</v>
      </c>
      <c r="D23" s="19"/>
      <c r="I23" s="22"/>
      <c r="J23" s="22"/>
      <c r="K23" s="22"/>
      <c r="X23" s="68"/>
    </row>
    <row r="24" spans="1:24" ht="15" x14ac:dyDescent="0.3">
      <c r="A24" s="17">
        <f>VLOOKUP($G$5,Library!$A$3:$AL$42, 17, FALSE)</f>
        <v>2.8</v>
      </c>
      <c r="C24" s="25" t="str">
        <f>"Cmax(2,2,2) = "&amp;A24</f>
        <v>Cmax(2,2,2) = 2.8</v>
      </c>
      <c r="D24" s="19"/>
      <c r="I24" s="22"/>
      <c r="J24" s="22"/>
      <c r="K24" s="22"/>
      <c r="X24" s="68"/>
    </row>
    <row r="25" spans="1:24" ht="15" x14ac:dyDescent="0.3">
      <c r="A25" s="17">
        <f>VLOOKUP($G$5,Library!$A$3:$AL$42, 4, FALSE)</f>
        <v>7.37</v>
      </c>
      <c r="C25" s="25" t="str">
        <f>"Ec(2,2) = "&amp;A25</f>
        <v>Ec(2,2) = 7.37</v>
      </c>
      <c r="D25" s="19"/>
      <c r="I25" s="22"/>
      <c r="J25" s="22"/>
      <c r="K25" s="22"/>
      <c r="X25" s="68"/>
    </row>
    <row r="26" spans="1:24" ht="15" x14ac:dyDescent="0.3">
      <c r="A26" s="17">
        <f>VLOOKUP($G$5,Library!$A$3:$AL$42, 5, FALSE)</f>
        <v>1.54</v>
      </c>
      <c r="C26" s="25" t="str">
        <f>"re(2,2) = "&amp;A26</f>
        <v>re(2,2) = 1.54</v>
      </c>
      <c r="D26" s="19"/>
      <c r="I26" s="22"/>
      <c r="J26" s="22"/>
      <c r="K26" s="22"/>
      <c r="V26" s="21"/>
      <c r="X26" s="68"/>
    </row>
    <row r="27" spans="1:24" ht="16.5" x14ac:dyDescent="0.3">
      <c r="C27" s="25"/>
      <c r="D27" s="19"/>
      <c r="F27" s="44"/>
      <c r="G27" s="44"/>
      <c r="H27" s="44"/>
      <c r="I27" s="45"/>
      <c r="J27" s="45"/>
      <c r="K27" s="45"/>
      <c r="L27" s="44"/>
      <c r="M27" s="44"/>
      <c r="N27" s="44"/>
      <c r="O27" s="44"/>
      <c r="P27" s="44"/>
      <c r="Q27" s="44"/>
      <c r="R27" s="44"/>
      <c r="S27" s="44"/>
      <c r="T27" s="44"/>
      <c r="U27" s="44"/>
      <c r="X27" s="68"/>
    </row>
    <row r="28" spans="1:24" ht="15" x14ac:dyDescent="0.3">
      <c r="A28" s="17">
        <v>0</v>
      </c>
      <c r="C28" s="25" t="str">
        <f>"zbl(1,2) = "&amp;A28</f>
        <v>zbl(1,2) = 0</v>
      </c>
      <c r="D28" s="19"/>
      <c r="I28" s="20"/>
      <c r="J28" s="20"/>
      <c r="K28" s="20"/>
      <c r="X28" s="68"/>
    </row>
    <row r="29" spans="1:24" ht="15" x14ac:dyDescent="0.3">
      <c r="A29" s="17">
        <v>1</v>
      </c>
      <c r="C29" s="25" t="str">
        <f>"nn2(1,2) = "&amp;A29</f>
        <v>nn2(1,2) = 1</v>
      </c>
      <c r="D29" s="19"/>
      <c r="X29" s="68"/>
    </row>
    <row r="30" spans="1:24" ht="15" x14ac:dyDescent="0.3">
      <c r="A30" s="17">
        <f>VLOOKUP($F$5,Library!$A$3:$AL$42, 15, FALSE)</f>
        <v>1</v>
      </c>
      <c r="C30" s="25" t="str">
        <f>"rho0(1) = "&amp;A30</f>
        <v>rho0(1) = 1</v>
      </c>
      <c r="D30" s="19"/>
    </row>
    <row r="31" spans="1:24" ht="15" x14ac:dyDescent="0.3">
      <c r="A31" s="17">
        <f>VLOOKUP($G$5,Library!$A$3:$AL$42, 15, FALSE)</f>
        <v>6</v>
      </c>
      <c r="C31" s="25" t="str">
        <f>"rho0(2) = "&amp;A31</f>
        <v>rho0(2) = 6</v>
      </c>
      <c r="D31" s="19"/>
    </row>
    <row r="32" spans="1:24" ht="15" x14ac:dyDescent="0.3">
      <c r="A32" s="17">
        <f>IF(H5="L12A3B",A16*0.75+A25*0.25-I5,IF(OR(H5="FCC_B1",H5="BCC_B2",H5="ZnS_B3"),A16*0.5+A25*0.5-I5,A16*0.5+A25*0.5-I5))</f>
        <v>4.1100000000000003</v>
      </c>
      <c r="C32" s="25" t="str">
        <f>"Ec(1,2) = "&amp;A32</f>
        <v>Ec(1,2) = 4.11</v>
      </c>
      <c r="D32" s="19"/>
    </row>
    <row r="33" spans="1:4" ht="15" x14ac:dyDescent="0.3">
      <c r="A33" s="17">
        <f>J2</f>
        <v>2.3639999999999999</v>
      </c>
      <c r="C33" s="25" t="str">
        <f>"re(1,2) = "&amp;A33</f>
        <v>re(1,2) = 2.364</v>
      </c>
      <c r="D33" s="19"/>
    </row>
    <row r="34" spans="1:4" ht="15" x14ac:dyDescent="0.3">
      <c r="A34" s="23">
        <f>IF(H5="FCC_B1",(A33^3*9*K2/A32)^0.5,IF(H5="BCC_B2",(((A33*2/(3^0.5))^3/2*9*K2/A32))^0.5,IF(H5="L12A3B",((A33/(2^0.5)*2)^3/4*9*K2/A32)^0.5,IF(H5="ZnS_B3",(((A33*4/(6^0.5))*(2^0.5))^3/8*9*K2/A32)^0.5))))</f>
        <v>5.8097310130007651</v>
      </c>
      <c r="B34" s="23"/>
      <c r="C34" s="25" t="str">
        <f>"alpha(1,2) = "&amp;A34</f>
        <v>alpha(1,2) = 5.80973101300077</v>
      </c>
      <c r="D34" s="19"/>
    </row>
    <row r="35" spans="1:4" ht="15" x14ac:dyDescent="0.3">
      <c r="A35" s="17">
        <f>IF(L5=0,IF(H5="L12A3B",VLOOKUP($F$5,Library!$A$3:$AL$42,18,FALSE)*0.75+VLOOKUP($G$5,Library!$A$3:$AL$42,18,FALSE)*0.25,IF(OR(H5="FCC_B1",H5="BCC_B2",H5="ZnS_B3"),VLOOKUP($F$5,Library!$A$3:$AL$42,18,FALSE)*0.5+VLOOKUP($G$5,Library!$A$3:$AL$42,18,FALSE)*0.5)),L5)</f>
        <v>3.7500000000000006E-2</v>
      </c>
      <c r="C35" s="25" t="str">
        <f>"attrac(1,2) = "&amp;A35</f>
        <v>attrac(1,2) = 0.0375</v>
      </c>
      <c r="D35" s="19"/>
    </row>
    <row r="36" spans="1:4" ht="15" x14ac:dyDescent="0.3">
      <c r="A36" s="17">
        <f>IF(L5=0,IF(H5="L12A3B",VLOOKUP($F$5,Library!$A$3:$AL$42,18,FALSE)*0.75+VLOOKUP($G$5,Library!$A$3:$AL$42,18,FALSE)*0.25,IF(OR(H5="FCC_B1",H5="BCC_B2",H5="ZnS_B3"),VLOOKUP($F$5,Library!$A$3:$AL$42,18,FALSE)*0.5+VLOOKUP($G$5,Library!$A$3:$AL$42,18,FALSE)*0.5)),L5)</f>
        <v>3.7500000000000006E-2</v>
      </c>
      <c r="C36" s="25" t="str">
        <f>"repuls(1,2) = "&amp;A36</f>
        <v>repuls(1,2) = 0.0375</v>
      </c>
      <c r="D36" s="19"/>
    </row>
    <row r="37" spans="1:4" ht="15" x14ac:dyDescent="0.3">
      <c r="A37" s="17">
        <f>IF(M5=0,VLOOKUP($F$5,Library!$A$3:$AL$42,16,FALSE),M5)</f>
        <v>0.36</v>
      </c>
      <c r="C37" s="25" t="str">
        <f>"Cmin(1,1,2) = "&amp;A37</f>
        <v>Cmin(1,1,2) = 0.36</v>
      </c>
      <c r="D37" s="19"/>
    </row>
    <row r="38" spans="1:4" ht="15" x14ac:dyDescent="0.3">
      <c r="A38" s="17">
        <f>IF(N5=0,VLOOKUP($G$5,Library!$A$3:$AL$42,16,FALSE),N5)</f>
        <v>0.16</v>
      </c>
      <c r="C38" s="25" t="str">
        <f>"Cmin(2,2,1) = "&amp;A38</f>
        <v>Cmin(2,2,1) = 0.16</v>
      </c>
      <c r="D38" s="19"/>
    </row>
    <row r="39" spans="1:4" ht="15" x14ac:dyDescent="0.3">
      <c r="A39" s="17">
        <f>IF(O5=0,(0.5*(VLOOKUP($F$5,Library!$A$3:$AL$42,16,FALSE)^0.5)+0.5*(VLOOKUP($G$5,Library!$A$3:$AL$42,16,FALSE)^0.5))^2,O5)</f>
        <v>0.16</v>
      </c>
      <c r="C39" s="25" t="str">
        <f>"Cmin(1,2,1) = "&amp;A39</f>
        <v>Cmin(1,2,1) = 0.16</v>
      </c>
      <c r="D39" s="19"/>
    </row>
    <row r="40" spans="1:4" ht="15" x14ac:dyDescent="0.3">
      <c r="A40" s="17">
        <f>IF(P5=0,(0.5*(VLOOKUP($F$5,Library!$A$3:$AL$42,16,FALSE)^0.5)+0.5*(VLOOKUP($G$5,Library!$A$3:$AL$42,16,FALSE)^0.5))^2,P5)</f>
        <v>0.16</v>
      </c>
      <c r="C40" s="25" t="str">
        <f>"Cmin(1,2,2) = "&amp;A40</f>
        <v>Cmin(1,2,2) = 0.16</v>
      </c>
      <c r="D40" s="19"/>
    </row>
    <row r="41" spans="1:4" ht="15" x14ac:dyDescent="0.3">
      <c r="A41" s="17">
        <f>A39</f>
        <v>0.16</v>
      </c>
      <c r="C41" s="25" t="str">
        <f>"Cmin(2,1,1) = "&amp;A41</f>
        <v>Cmin(2,1,1) = 0.16</v>
      </c>
      <c r="D41" s="19"/>
    </row>
    <row r="42" spans="1:4" ht="15" x14ac:dyDescent="0.3">
      <c r="A42" s="17">
        <f>A40</f>
        <v>0.16</v>
      </c>
      <c r="C42" s="25" t="str">
        <f>"Cmin(2,1,2) = "&amp;A42</f>
        <v>Cmin(2,1,2) = 0.16</v>
      </c>
      <c r="D42" s="19"/>
    </row>
    <row r="43" spans="1:4" ht="15" x14ac:dyDescent="0.3">
      <c r="A43" s="17">
        <f>IF(R5=0,2.8,R5)</f>
        <v>2.8</v>
      </c>
      <c r="C43" s="25" t="str">
        <f>"Cmax(1,1,2) = "&amp;A43</f>
        <v>Cmax(1,1,2) = 2.8</v>
      </c>
      <c r="D43" s="19"/>
    </row>
    <row r="44" spans="1:4" ht="15" x14ac:dyDescent="0.3">
      <c r="A44" s="17">
        <f>IF(S5=0,2.8,S5)</f>
        <v>1.44</v>
      </c>
      <c r="C44" s="25" t="str">
        <f>"Cmax(2,2,1) = "&amp;A44</f>
        <v>Cmax(2,2,1) = 1.44</v>
      </c>
      <c r="D44" s="19"/>
    </row>
    <row r="45" spans="1:4" ht="15" x14ac:dyDescent="0.3">
      <c r="A45" s="17">
        <f>IF(T5=0,2.8,T5)</f>
        <v>2.8</v>
      </c>
      <c r="C45" s="25" t="str">
        <f>"Cmax(1,2,1) = "&amp;A45</f>
        <v>Cmax(1,2,1) = 2.8</v>
      </c>
      <c r="D45" s="19"/>
    </row>
    <row r="46" spans="1:4" ht="15" x14ac:dyDescent="0.3">
      <c r="A46" s="17">
        <f>IF(U5=0,2.8,U5)</f>
        <v>2.8</v>
      </c>
      <c r="C46" s="25" t="str">
        <f>"Cmax(1,2,2) = "&amp;A46</f>
        <v>Cmax(1,2,2) = 2.8</v>
      </c>
      <c r="D46" s="19"/>
    </row>
    <row r="47" spans="1:4" ht="15" x14ac:dyDescent="0.3">
      <c r="A47" s="17">
        <f>A45</f>
        <v>2.8</v>
      </c>
      <c r="C47" s="25" t="str">
        <f>"Cmax(2,1,1) = "&amp;A47</f>
        <v>Cmax(2,1,1) = 2.8</v>
      </c>
      <c r="D47" s="19"/>
    </row>
    <row r="48" spans="1:4" ht="15" x14ac:dyDescent="0.3">
      <c r="A48" s="17">
        <f>A46</f>
        <v>2.8</v>
      </c>
      <c r="C48" s="25" t="str">
        <f>"Cmax(2,1,2) = "&amp;A48</f>
        <v>Cmax(2,1,2) = 2.8</v>
      </c>
      <c r="D48" s="19"/>
    </row>
    <row r="49" spans="1:4" ht="15" x14ac:dyDescent="0.3">
      <c r="A49" s="17" t="str">
        <f>IF(H5="FCC_B1","b1",IF(H5="L12A3B","l12",IF(H5="BCC_B2","b2",IF(H5="ZnS_B3","dia"))))</f>
        <v>l12</v>
      </c>
      <c r="C49" s="26" t="str">
        <f>"lattce(1,2) = "&amp;"'"&amp;A49&amp;"'"</f>
        <v>lattce(1,2) = 'l12'</v>
      </c>
      <c r="D49" s="19"/>
    </row>
  </sheetData>
  <sheetProtection algorithmName="SHA-512" hashValue="yPhUhqJjnL8nN2tpeCjYlwGjF4xNdq9SdJS1bzDGaTKzkD0hNPOJNHOCj6LxvaGnlZexQ5M73RRCFr035H/W3w==" saltValue="8UuMTCyGc0AzMJRH0XYeQQ==" spinCount="100000" sheet="1" objects="1" scenarios="1"/>
  <sortState ref="F5:Z23">
    <sortCondition ref="F5:F23"/>
    <sortCondition ref="G5:G23"/>
  </sortState>
  <mergeCells count="4">
    <mergeCell ref="F3:U3"/>
    <mergeCell ref="C2:C3"/>
    <mergeCell ref="D4:D7"/>
    <mergeCell ref="D9:D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Library</vt:lpstr>
      <vt:lpstr>Meam-Unary</vt:lpstr>
      <vt:lpstr>Meam-Binary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orangke</dc:creator>
  <cp:lastModifiedBy>Sangho Oh</cp:lastModifiedBy>
  <dcterms:created xsi:type="dcterms:W3CDTF">2011-02-09T09:23:36Z</dcterms:created>
  <dcterms:modified xsi:type="dcterms:W3CDTF">2020-11-09T11:06:56Z</dcterms:modified>
</cp:coreProperties>
</file>