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Users/iliebloots/Downloads/Domino/Configurator 2.3/"/>
    </mc:Choice>
  </mc:AlternateContent>
  <xr:revisionPtr revIDLastSave="0" documentId="8_{8C13103E-C4C1-4114-B86B-E02AA3D349AF}" xr6:coauthVersionLast="47" xr6:coauthVersionMax="47" xr10:uidLastSave="{00000000-0000-0000-0000-000000000000}"/>
  <bookViews>
    <workbookView xWindow="40060" yWindow="40" windowWidth="30240" windowHeight="17860" firstSheet="1" activeTab="1" xr2:uid="{0C7598FB-DD81-418E-BD9F-BBCBBF88BB79}"/>
  </bookViews>
  <sheets>
    <sheet name="PRC import" sheetId="1" r:id="rId1"/>
    <sheet name="Configure" sheetId="2" r:id="rId2"/>
    <sheet name="Calc" sheetId="5" r:id="rId3"/>
    <sheet name="Fastening" sheetId="7" r:id="rId4"/>
    <sheet name="List" sheetId="8" r:id="rId5"/>
    <sheet name="Language" sheetId="6" r:id="rId6"/>
    <sheet name="Articles" sheetId="3" r:id="rId7"/>
    <sheet name="Price" sheetId="9" r:id="rId8"/>
    <sheet name="Montage" sheetId="10"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2" i="5" l="1"/>
  <c r="E5" i="6" l="1"/>
  <c r="D15" i="5"/>
  <c r="D17" i="5" s="1" a="1"/>
  <c r="D17" i="5" s="1"/>
  <c r="D219" i="3"/>
  <c r="D220" i="3"/>
  <c r="D222" i="3"/>
  <c r="B418" i="5"/>
  <c r="A418" i="5" s="1"/>
  <c r="E15" i="6"/>
  <c r="F298" i="5" l="1"/>
  <c r="F397" i="5"/>
  <c r="F388" i="5"/>
  <c r="F379" i="5"/>
  <c r="F319" i="5"/>
  <c r="F267" i="5"/>
  <c r="F243" i="5"/>
  <c r="F224" i="5"/>
  <c r="F175" i="5"/>
  <c r="F139" i="5"/>
  <c r="F310" i="5"/>
  <c r="F268" i="5"/>
  <c r="F244" i="5"/>
  <c r="F174" i="5"/>
  <c r="F363" i="5"/>
  <c r="F299" i="5"/>
  <c r="F245" i="5"/>
  <c r="F301" i="5"/>
  <c r="F271" i="5"/>
  <c r="F272" i="5"/>
  <c r="F283" i="5"/>
  <c r="F330" i="5"/>
  <c r="F242" i="5"/>
  <c r="F223" i="5"/>
  <c r="F159" i="5"/>
  <c r="F378" i="5"/>
  <c r="F269" i="5"/>
  <c r="F173" i="5"/>
  <c r="F343" i="5"/>
  <c r="F220" i="5"/>
  <c r="F342" i="5"/>
  <c r="F221" i="5"/>
  <c r="F331" i="5"/>
  <c r="F266" i="5"/>
  <c r="F160" i="5"/>
  <c r="F284" i="5"/>
  <c r="F222" i="5"/>
  <c r="F352" i="5"/>
  <c r="F300" i="5"/>
  <c r="F270" i="5"/>
  <c r="F241" i="5"/>
  <c r="D16" i="5" a="1"/>
  <c r="D16" i="5" s="1"/>
  <c r="E13" i="6"/>
  <c r="E14" i="6"/>
  <c r="D217" i="3"/>
  <c r="D218" i="3"/>
  <c r="D221" i="3"/>
  <c r="D223" i="3"/>
  <c r="D224" i="3"/>
  <c r="B419" i="5"/>
  <c r="A419" i="5" s="1"/>
  <c r="B420" i="5"/>
  <c r="D57" i="5"/>
  <c r="F198" i="5" l="1"/>
  <c r="F199" i="5"/>
  <c r="F201" i="5"/>
  <c r="F157" i="5"/>
  <c r="F545" i="5"/>
  <c r="F202" i="5"/>
  <c r="F158" i="5"/>
  <c r="F203" i="5"/>
  <c r="F197" i="5"/>
  <c r="F200" i="5"/>
  <c r="F156" i="5"/>
  <c r="C114" i="5" a="1"/>
  <c r="C114" i="5" s="1"/>
  <c r="D203" i="3"/>
  <c r="D174" i="3"/>
  <c r="D175" i="3"/>
  <c r="B506" i="5"/>
  <c r="A506" i="5" s="1"/>
  <c r="B507" i="5"/>
  <c r="A507" i="5" s="1"/>
  <c r="B508" i="5"/>
  <c r="A508" i="5" s="1"/>
  <c r="B509" i="5"/>
  <c r="A509" i="5" s="1"/>
  <c r="B512" i="5"/>
  <c r="A512" i="5" s="1"/>
  <c r="B513" i="5"/>
  <c r="A513" i="5" s="1"/>
  <c r="B514" i="5"/>
  <c r="A514" i="5" s="1"/>
  <c r="B515" i="5"/>
  <c r="A515" i="5" s="1"/>
  <c r="B516" i="5"/>
  <c r="A516" i="5" s="1"/>
  <c r="B517" i="5"/>
  <c r="A517" i="5" s="1"/>
  <c r="Y18" i="7"/>
  <c r="Y17" i="7"/>
  <c r="Y14" i="7"/>
  <c r="Y15" i="7"/>
  <c r="Y16" i="7"/>
  <c r="Y13" i="7"/>
  <c r="V10" i="7"/>
  <c r="V9" i="7"/>
  <c r="V6" i="7"/>
  <c r="V8" i="7"/>
  <c r="V7" i="7"/>
  <c r="V4" i="7"/>
  <c r="V5" i="7"/>
  <c r="V3" i="7"/>
  <c r="D22" i="5"/>
  <c r="W17" i="7" s="1"/>
  <c r="E19" i="6"/>
  <c r="D230" i="3"/>
  <c r="D231" i="3"/>
  <c r="D232" i="3"/>
  <c r="D21" i="5"/>
  <c r="D95" i="5"/>
  <c r="E95" i="5" s="1"/>
  <c r="E16" i="6"/>
  <c r="D48" i="5"/>
  <c r="D51" i="5"/>
  <c r="D50" i="5"/>
  <c r="D52" i="5"/>
  <c r="D188" i="3"/>
  <c r="D201" i="3"/>
  <c r="B129" i="5"/>
  <c r="A129" i="5" s="1"/>
  <c r="B130" i="5"/>
  <c r="A130" i="5" s="1"/>
  <c r="B131" i="5"/>
  <c r="A131" i="5" s="1"/>
  <c r="B132" i="5"/>
  <c r="A132" i="5" s="1"/>
  <c r="B133" i="5"/>
  <c r="A133" i="5" s="1"/>
  <c r="B134" i="5"/>
  <c r="A134" i="5" s="1"/>
  <c r="B135" i="5"/>
  <c r="A135" i="5" s="1"/>
  <c r="B136" i="5"/>
  <c r="A136" i="5" s="1"/>
  <c r="B137" i="5"/>
  <c r="A137" i="5" s="1"/>
  <c r="B138" i="5"/>
  <c r="A138" i="5" s="1"/>
  <c r="B140" i="5"/>
  <c r="A140" i="5" s="1"/>
  <c r="B141" i="5"/>
  <c r="A141" i="5" s="1"/>
  <c r="B142" i="5"/>
  <c r="A142" i="5" s="1"/>
  <c r="B143" i="5"/>
  <c r="A143" i="5" s="1"/>
  <c r="B144" i="5"/>
  <c r="A144" i="5" s="1"/>
  <c r="B145" i="5"/>
  <c r="A145" i="5" s="1"/>
  <c r="B146" i="5"/>
  <c r="A146" i="5" s="1"/>
  <c r="B147" i="5"/>
  <c r="A147" i="5" s="1"/>
  <c r="B148" i="5"/>
  <c r="A148" i="5" s="1"/>
  <c r="B149" i="5"/>
  <c r="A149" i="5" s="1"/>
  <c r="B150" i="5"/>
  <c r="A150" i="5" s="1"/>
  <c r="B151" i="5"/>
  <c r="A151" i="5" s="1"/>
  <c r="B152" i="5"/>
  <c r="A152" i="5" s="1"/>
  <c r="B153" i="5"/>
  <c r="A153" i="5" s="1"/>
  <c r="B154" i="5"/>
  <c r="A154" i="5" s="1"/>
  <c r="B155" i="5"/>
  <c r="A155" i="5" s="1"/>
  <c r="B156" i="5"/>
  <c r="B161" i="5"/>
  <c r="A161" i="5" s="1"/>
  <c r="B162" i="5"/>
  <c r="A162" i="5" s="1"/>
  <c r="B163" i="5"/>
  <c r="A163" i="5" s="1"/>
  <c r="B164" i="5"/>
  <c r="A164" i="5" s="1"/>
  <c r="B165" i="5"/>
  <c r="A165" i="5" s="1"/>
  <c r="B166" i="5"/>
  <c r="A166" i="5" s="1"/>
  <c r="B167" i="5"/>
  <c r="A167" i="5" s="1"/>
  <c r="B168" i="5"/>
  <c r="A168" i="5" s="1"/>
  <c r="B169" i="5"/>
  <c r="A169" i="5" s="1"/>
  <c r="B170" i="5"/>
  <c r="A170" i="5" s="1"/>
  <c r="B171" i="5"/>
  <c r="A171" i="5" s="1"/>
  <c r="B172" i="5"/>
  <c r="A172" i="5" s="1"/>
  <c r="B176" i="5"/>
  <c r="A176" i="5" s="1"/>
  <c r="B177" i="5"/>
  <c r="A177" i="5" s="1"/>
  <c r="B178" i="5"/>
  <c r="A178" i="5" s="1"/>
  <c r="B179" i="5"/>
  <c r="A179" i="5" s="1"/>
  <c r="B180" i="5"/>
  <c r="A180" i="5" s="1"/>
  <c r="B181" i="5"/>
  <c r="A181" i="5" s="1"/>
  <c r="B182" i="5"/>
  <c r="A182" i="5" s="1"/>
  <c r="B183" i="5"/>
  <c r="A183" i="5" s="1"/>
  <c r="B184" i="5"/>
  <c r="A184" i="5" s="1"/>
  <c r="B185" i="5"/>
  <c r="A185" i="5" s="1"/>
  <c r="B186" i="5"/>
  <c r="A186" i="5" s="1"/>
  <c r="B187" i="5"/>
  <c r="A187" i="5" s="1"/>
  <c r="B188" i="5"/>
  <c r="A188" i="5" s="1"/>
  <c r="B189" i="5"/>
  <c r="A189" i="5" s="1"/>
  <c r="B190" i="5"/>
  <c r="A190" i="5" s="1"/>
  <c r="B191" i="5"/>
  <c r="A191" i="5" s="1"/>
  <c r="B192" i="5"/>
  <c r="A192" i="5" s="1"/>
  <c r="B193" i="5"/>
  <c r="A193" i="5" s="1"/>
  <c r="B194" i="5"/>
  <c r="A194" i="5" s="1"/>
  <c r="B195" i="5"/>
  <c r="A195" i="5" s="1"/>
  <c r="B196" i="5"/>
  <c r="A196" i="5" s="1"/>
  <c r="B204" i="5"/>
  <c r="A204" i="5" s="1"/>
  <c r="B205" i="5"/>
  <c r="A205" i="5" s="1"/>
  <c r="B206" i="5"/>
  <c r="A206" i="5" s="1"/>
  <c r="B207" i="5"/>
  <c r="A207" i="5" s="1"/>
  <c r="B208" i="5"/>
  <c r="A208" i="5" s="1"/>
  <c r="B209" i="5"/>
  <c r="A209" i="5" s="1"/>
  <c r="B210" i="5"/>
  <c r="A210" i="5" s="1"/>
  <c r="B211" i="5"/>
  <c r="A211" i="5" s="1"/>
  <c r="B212" i="5"/>
  <c r="A212" i="5" s="1"/>
  <c r="B213" i="5"/>
  <c r="A213" i="5" s="1"/>
  <c r="B214" i="5"/>
  <c r="A214" i="5" s="1"/>
  <c r="B215" i="5"/>
  <c r="A215" i="5" s="1"/>
  <c r="B216" i="5"/>
  <c r="A216" i="5" s="1"/>
  <c r="B217" i="5"/>
  <c r="A217" i="5" s="1"/>
  <c r="B218" i="5"/>
  <c r="A218" i="5" s="1"/>
  <c r="B219" i="5"/>
  <c r="A219" i="5" s="1"/>
  <c r="B225" i="5"/>
  <c r="A225" i="5" s="1"/>
  <c r="B226" i="5"/>
  <c r="A226" i="5" s="1"/>
  <c r="B227" i="5"/>
  <c r="A227" i="5" s="1"/>
  <c r="B228" i="5"/>
  <c r="A228" i="5" s="1"/>
  <c r="B229" i="5"/>
  <c r="A229" i="5" s="1"/>
  <c r="B230" i="5"/>
  <c r="A230" i="5" s="1"/>
  <c r="B231" i="5"/>
  <c r="A231" i="5" s="1"/>
  <c r="B232" i="5"/>
  <c r="A232" i="5" s="1"/>
  <c r="B233" i="5"/>
  <c r="A233" i="5" s="1"/>
  <c r="B234" i="5"/>
  <c r="A234" i="5" s="1"/>
  <c r="B235" i="5"/>
  <c r="A235" i="5" s="1"/>
  <c r="B236" i="5"/>
  <c r="A236" i="5" s="1"/>
  <c r="B237" i="5"/>
  <c r="A237" i="5" s="1"/>
  <c r="B238" i="5"/>
  <c r="A238" i="5" s="1"/>
  <c r="B239" i="5"/>
  <c r="A239" i="5" s="1"/>
  <c r="B240" i="5"/>
  <c r="A240" i="5" s="1"/>
  <c r="B246" i="5"/>
  <c r="A246" i="5" s="1"/>
  <c r="B247" i="5"/>
  <c r="A247" i="5" s="1"/>
  <c r="B248" i="5"/>
  <c r="A248" i="5" s="1"/>
  <c r="B249" i="5"/>
  <c r="A249" i="5" s="1"/>
  <c r="B250" i="5"/>
  <c r="A250" i="5" s="1"/>
  <c r="B251" i="5"/>
  <c r="A251" i="5" s="1"/>
  <c r="B252" i="5"/>
  <c r="A252" i="5" s="1"/>
  <c r="B253" i="5"/>
  <c r="A253" i="5" s="1"/>
  <c r="B254" i="5"/>
  <c r="A254" i="5" s="1"/>
  <c r="B255" i="5"/>
  <c r="A255" i="5" s="1"/>
  <c r="B256" i="5"/>
  <c r="A256" i="5" s="1"/>
  <c r="B257" i="5"/>
  <c r="A257" i="5" s="1"/>
  <c r="B258" i="5"/>
  <c r="A258" i="5" s="1"/>
  <c r="B259" i="5"/>
  <c r="A259" i="5" s="1"/>
  <c r="B260" i="5"/>
  <c r="A260" i="5" s="1"/>
  <c r="B261" i="5"/>
  <c r="A261" i="5" s="1"/>
  <c r="B262" i="5"/>
  <c r="A262" i="5" s="1"/>
  <c r="B263" i="5"/>
  <c r="A263" i="5" s="1"/>
  <c r="B264" i="5"/>
  <c r="A264" i="5" s="1"/>
  <c r="B265" i="5"/>
  <c r="A265" i="5" s="1"/>
  <c r="B273" i="5"/>
  <c r="A273" i="5" s="1"/>
  <c r="B274" i="5"/>
  <c r="A274" i="5" s="1"/>
  <c r="B275" i="5"/>
  <c r="A275" i="5" s="1"/>
  <c r="B276" i="5"/>
  <c r="A276" i="5" s="1"/>
  <c r="B277" i="5"/>
  <c r="A277" i="5" s="1"/>
  <c r="B278" i="5"/>
  <c r="A278" i="5" s="1"/>
  <c r="B279" i="5"/>
  <c r="A279" i="5" s="1"/>
  <c r="B280" i="5"/>
  <c r="A280" i="5" s="1"/>
  <c r="B281" i="5"/>
  <c r="A281" i="5" s="1"/>
  <c r="B282" i="5"/>
  <c r="A282" i="5" s="1"/>
  <c r="B285" i="5"/>
  <c r="A285" i="5" s="1"/>
  <c r="B286" i="5"/>
  <c r="A286" i="5" s="1"/>
  <c r="B287" i="5"/>
  <c r="A287" i="5" s="1"/>
  <c r="B288" i="5"/>
  <c r="A288" i="5" s="1"/>
  <c r="B289" i="5"/>
  <c r="A289" i="5" s="1"/>
  <c r="B290" i="5"/>
  <c r="A290" i="5" s="1"/>
  <c r="B291" i="5"/>
  <c r="A291" i="5" s="1"/>
  <c r="B292" i="5"/>
  <c r="A292" i="5" s="1"/>
  <c r="B293" i="5"/>
  <c r="A293" i="5" s="1"/>
  <c r="B294" i="5"/>
  <c r="A294" i="5" s="1"/>
  <c r="B295" i="5"/>
  <c r="A295" i="5" s="1"/>
  <c r="B296" i="5"/>
  <c r="A296" i="5" s="1"/>
  <c r="B297" i="5"/>
  <c r="A297" i="5" s="1"/>
  <c r="B302" i="5"/>
  <c r="A302" i="5" s="1"/>
  <c r="B303" i="5"/>
  <c r="A303" i="5" s="1"/>
  <c r="B304" i="5"/>
  <c r="A304" i="5" s="1"/>
  <c r="B305" i="5"/>
  <c r="A305" i="5" s="1"/>
  <c r="B306" i="5"/>
  <c r="A306" i="5" s="1"/>
  <c r="B307" i="5"/>
  <c r="A307" i="5" s="1"/>
  <c r="B308" i="5"/>
  <c r="A308" i="5" s="1"/>
  <c r="B309" i="5"/>
  <c r="A309" i="5" s="1"/>
  <c r="B311" i="5"/>
  <c r="A311" i="5" s="1"/>
  <c r="B312" i="5"/>
  <c r="A312" i="5" s="1"/>
  <c r="B313" i="5"/>
  <c r="A313" i="5" s="1"/>
  <c r="B314" i="5"/>
  <c r="A314" i="5" s="1"/>
  <c r="B315" i="5"/>
  <c r="A315" i="5" s="1"/>
  <c r="B316" i="5"/>
  <c r="A316" i="5" s="1"/>
  <c r="B317" i="5"/>
  <c r="A317" i="5" s="1"/>
  <c r="B318" i="5"/>
  <c r="A318" i="5" s="1"/>
  <c r="B320" i="5"/>
  <c r="A320" i="5" s="1"/>
  <c r="B321" i="5"/>
  <c r="A321" i="5" s="1"/>
  <c r="B322" i="5"/>
  <c r="A322" i="5" s="1"/>
  <c r="B323" i="5"/>
  <c r="A323" i="5" s="1"/>
  <c r="B324" i="5"/>
  <c r="A324" i="5" s="1"/>
  <c r="B325" i="5"/>
  <c r="A325" i="5" s="1"/>
  <c r="B326" i="5"/>
  <c r="A326" i="5" s="1"/>
  <c r="B327" i="5"/>
  <c r="A327" i="5" s="1"/>
  <c r="B328" i="5"/>
  <c r="A328" i="5" s="1"/>
  <c r="B329" i="5"/>
  <c r="A329" i="5" s="1"/>
  <c r="B332" i="5"/>
  <c r="A332" i="5" s="1"/>
  <c r="B333" i="5"/>
  <c r="A333" i="5" s="1"/>
  <c r="B334" i="5"/>
  <c r="A334" i="5" s="1"/>
  <c r="B335" i="5"/>
  <c r="A335" i="5" s="1"/>
  <c r="B336" i="5"/>
  <c r="A336" i="5" s="1"/>
  <c r="B337" i="5"/>
  <c r="A337" i="5" s="1"/>
  <c r="B338" i="5"/>
  <c r="A338" i="5" s="1"/>
  <c r="B339" i="5"/>
  <c r="A339" i="5" s="1"/>
  <c r="B340" i="5"/>
  <c r="A340" i="5" s="1"/>
  <c r="B341" i="5"/>
  <c r="A341" i="5" s="1"/>
  <c r="B344" i="5"/>
  <c r="A344" i="5" s="1"/>
  <c r="B345" i="5"/>
  <c r="A345" i="5" s="1"/>
  <c r="B346" i="5"/>
  <c r="A346" i="5" s="1"/>
  <c r="B347" i="5"/>
  <c r="A347" i="5" s="1"/>
  <c r="B348" i="5"/>
  <c r="A348" i="5" s="1"/>
  <c r="B349" i="5"/>
  <c r="A349" i="5" s="1"/>
  <c r="B350" i="5"/>
  <c r="A350" i="5" s="1"/>
  <c r="B351" i="5"/>
  <c r="A351" i="5" s="1"/>
  <c r="B353" i="5"/>
  <c r="A353" i="5" s="1"/>
  <c r="B354" i="5"/>
  <c r="A354" i="5" s="1"/>
  <c r="B355" i="5"/>
  <c r="A355" i="5" s="1"/>
  <c r="B356" i="5"/>
  <c r="A356" i="5" s="1"/>
  <c r="B357" i="5"/>
  <c r="A357" i="5" s="1"/>
  <c r="B358" i="5"/>
  <c r="A358" i="5" s="1"/>
  <c r="B359" i="5"/>
  <c r="A359" i="5" s="1"/>
  <c r="B360" i="5"/>
  <c r="A360" i="5" s="1"/>
  <c r="B361" i="5"/>
  <c r="A361" i="5" s="1"/>
  <c r="B362" i="5"/>
  <c r="A362" i="5" s="1"/>
  <c r="B364" i="5"/>
  <c r="A364" i="5" s="1"/>
  <c r="B365" i="5"/>
  <c r="A365" i="5" s="1"/>
  <c r="B366" i="5"/>
  <c r="A366" i="5" s="1"/>
  <c r="B367" i="5"/>
  <c r="A367" i="5" s="1"/>
  <c r="B368" i="5"/>
  <c r="A368" i="5" s="1"/>
  <c r="B369" i="5"/>
  <c r="A369" i="5" s="1"/>
  <c r="B370" i="5"/>
  <c r="A370" i="5" s="1"/>
  <c r="B371" i="5"/>
  <c r="A371" i="5" s="1"/>
  <c r="B372" i="5"/>
  <c r="A372" i="5" s="1"/>
  <c r="B373" i="5"/>
  <c r="A373" i="5" s="1"/>
  <c r="B374" i="5"/>
  <c r="A374" i="5" s="1"/>
  <c r="B375" i="5"/>
  <c r="A375" i="5" s="1"/>
  <c r="B376" i="5"/>
  <c r="A376" i="5" s="1"/>
  <c r="B377" i="5"/>
  <c r="A377" i="5" s="1"/>
  <c r="B380" i="5"/>
  <c r="A380" i="5" s="1"/>
  <c r="B381" i="5"/>
  <c r="A381" i="5" s="1"/>
  <c r="B382" i="5"/>
  <c r="A382" i="5" s="1"/>
  <c r="B383" i="5"/>
  <c r="A383" i="5" s="1"/>
  <c r="B384" i="5"/>
  <c r="A384" i="5" s="1"/>
  <c r="B385" i="5"/>
  <c r="A385" i="5" s="1"/>
  <c r="B386" i="5"/>
  <c r="A386" i="5" s="1"/>
  <c r="B387" i="5"/>
  <c r="A387" i="5" s="1"/>
  <c r="B389" i="5"/>
  <c r="A389" i="5" s="1"/>
  <c r="B390" i="5"/>
  <c r="A390" i="5" s="1"/>
  <c r="B391" i="5"/>
  <c r="A391" i="5" s="1"/>
  <c r="B392" i="5"/>
  <c r="A392" i="5" s="1"/>
  <c r="B393" i="5"/>
  <c r="A393" i="5" s="1"/>
  <c r="B394" i="5"/>
  <c r="A394" i="5" s="1"/>
  <c r="B395" i="5"/>
  <c r="A395" i="5" s="1"/>
  <c r="B396" i="5"/>
  <c r="A396" i="5" s="1"/>
  <c r="B398" i="5"/>
  <c r="A398" i="5" s="1"/>
  <c r="B399" i="5"/>
  <c r="A399" i="5" s="1"/>
  <c r="B400" i="5"/>
  <c r="A400" i="5" s="1"/>
  <c r="B401" i="5"/>
  <c r="A401" i="5" s="1"/>
  <c r="A420" i="5"/>
  <c r="B421" i="5"/>
  <c r="A421" i="5" s="1"/>
  <c r="B422" i="5"/>
  <c r="A422" i="5" s="1"/>
  <c r="B423" i="5"/>
  <c r="A423" i="5" s="1"/>
  <c r="B424" i="5"/>
  <c r="A424" i="5" s="1"/>
  <c r="B425" i="5"/>
  <c r="A425" i="5" s="1"/>
  <c r="B426" i="5"/>
  <c r="A426" i="5" s="1"/>
  <c r="B427" i="5"/>
  <c r="A427" i="5" s="1"/>
  <c r="B430" i="5"/>
  <c r="A430" i="5" s="1"/>
  <c r="B431" i="5"/>
  <c r="A431" i="5" s="1"/>
  <c r="B432" i="5"/>
  <c r="A432" i="5" s="1"/>
  <c r="B433" i="5"/>
  <c r="A433" i="5" s="1"/>
  <c r="B440" i="5"/>
  <c r="A440" i="5" s="1"/>
  <c r="B441" i="5"/>
  <c r="A441" i="5" s="1"/>
  <c r="B442" i="5"/>
  <c r="A442" i="5" s="1"/>
  <c r="B443" i="5"/>
  <c r="A443" i="5" s="1"/>
  <c r="B444" i="5"/>
  <c r="A444" i="5" s="1"/>
  <c r="B445" i="5"/>
  <c r="A445" i="5" s="1"/>
  <c r="B446" i="5"/>
  <c r="A446" i="5" s="1"/>
  <c r="B447" i="5"/>
  <c r="A447" i="5" s="1"/>
  <c r="B448" i="5"/>
  <c r="A448" i="5" s="1"/>
  <c r="B449" i="5"/>
  <c r="A449" i="5" s="1"/>
  <c r="B450" i="5"/>
  <c r="A450" i="5" s="1"/>
  <c r="B451" i="5"/>
  <c r="A451" i="5" s="1"/>
  <c r="B452" i="5"/>
  <c r="A452" i="5" s="1"/>
  <c r="B453" i="5"/>
  <c r="A453" i="5" s="1"/>
  <c r="B454" i="5"/>
  <c r="A454" i="5" s="1"/>
  <c r="B455" i="5"/>
  <c r="A455" i="5" s="1"/>
  <c r="B456" i="5"/>
  <c r="A456" i="5" s="1"/>
  <c r="B457" i="5"/>
  <c r="A457" i="5" s="1"/>
  <c r="B458" i="5"/>
  <c r="A458" i="5" s="1"/>
  <c r="B459" i="5"/>
  <c r="A459" i="5" s="1"/>
  <c r="B460" i="5"/>
  <c r="A460" i="5" s="1"/>
  <c r="B461" i="5"/>
  <c r="A461" i="5" s="1"/>
  <c r="B462" i="5"/>
  <c r="A462" i="5" s="1"/>
  <c r="B463" i="5"/>
  <c r="A463" i="5" s="1"/>
  <c r="B464" i="5"/>
  <c r="A464" i="5" s="1"/>
  <c r="B465" i="5"/>
  <c r="A465" i="5" s="1"/>
  <c r="B466" i="5"/>
  <c r="A466" i="5" s="1"/>
  <c r="B467" i="5"/>
  <c r="A467" i="5" s="1"/>
  <c r="B468" i="5"/>
  <c r="A468" i="5" s="1"/>
  <c r="B469" i="5"/>
  <c r="A469" i="5" s="1"/>
  <c r="B470" i="5"/>
  <c r="A470" i="5" s="1"/>
  <c r="B471" i="5"/>
  <c r="A471" i="5" s="1"/>
  <c r="B472" i="5"/>
  <c r="A472" i="5" s="1"/>
  <c r="B473" i="5"/>
  <c r="A473" i="5" s="1"/>
  <c r="B474" i="5"/>
  <c r="A474" i="5" s="1"/>
  <c r="B475" i="5"/>
  <c r="A475" i="5" s="1"/>
  <c r="B476" i="5"/>
  <c r="A476" i="5" s="1"/>
  <c r="B477" i="5"/>
  <c r="A477" i="5" s="1"/>
  <c r="B478" i="5"/>
  <c r="A478" i="5" s="1"/>
  <c r="B479" i="5"/>
  <c r="A479" i="5" s="1"/>
  <c r="B480" i="5"/>
  <c r="A480" i="5" s="1"/>
  <c r="B481" i="5"/>
  <c r="A481" i="5" s="1"/>
  <c r="B482" i="5"/>
  <c r="A482" i="5" s="1"/>
  <c r="B483" i="5"/>
  <c r="A483" i="5" s="1"/>
  <c r="B484" i="5"/>
  <c r="A484" i="5" s="1"/>
  <c r="B485" i="5"/>
  <c r="A485" i="5" s="1"/>
  <c r="B486" i="5"/>
  <c r="A486" i="5" s="1"/>
  <c r="B487" i="5"/>
  <c r="A487" i="5" s="1"/>
  <c r="B488" i="5"/>
  <c r="A488" i="5" s="1"/>
  <c r="B489" i="5"/>
  <c r="A489" i="5" s="1"/>
  <c r="B490" i="5"/>
  <c r="A490" i="5" s="1"/>
  <c r="B491" i="5"/>
  <c r="A491" i="5" s="1"/>
  <c r="B492" i="5"/>
  <c r="A492" i="5" s="1"/>
  <c r="B493" i="5"/>
  <c r="A493" i="5" s="1"/>
  <c r="B518" i="5"/>
  <c r="A518" i="5" s="1"/>
  <c r="B519" i="5"/>
  <c r="A519" i="5" s="1"/>
  <c r="B520" i="5"/>
  <c r="A520" i="5" s="1"/>
  <c r="B521" i="5"/>
  <c r="A521" i="5" s="1"/>
  <c r="B524" i="5"/>
  <c r="A524" i="5" s="1"/>
  <c r="B525" i="5"/>
  <c r="A525" i="5" s="1"/>
  <c r="B526" i="5"/>
  <c r="A526" i="5" s="1"/>
  <c r="B527" i="5"/>
  <c r="A527" i="5" s="1"/>
  <c r="B530" i="5"/>
  <c r="A530" i="5" s="1"/>
  <c r="B531" i="5"/>
  <c r="A531" i="5" s="1"/>
  <c r="B532" i="5"/>
  <c r="A532" i="5" s="1"/>
  <c r="B533" i="5"/>
  <c r="A533" i="5" s="1"/>
  <c r="B537" i="5"/>
  <c r="A537" i="5" s="1"/>
  <c r="B538" i="5"/>
  <c r="A538" i="5" s="1"/>
  <c r="B539" i="5"/>
  <c r="A539" i="5" s="1"/>
  <c r="B540" i="5"/>
  <c r="A540" i="5" s="1"/>
  <c r="B541" i="5"/>
  <c r="A541" i="5" s="1"/>
  <c r="B542" i="5"/>
  <c r="A542" i="5" s="1"/>
  <c r="B543" i="5"/>
  <c r="A543" i="5" s="1"/>
  <c r="B544" i="5"/>
  <c r="A544" i="5" s="1"/>
  <c r="D225" i="3"/>
  <c r="D122" i="3"/>
  <c r="D123" i="3"/>
  <c r="D208" i="3"/>
  <c r="D209" i="3"/>
  <c r="D210" i="3"/>
  <c r="D211" i="3"/>
  <c r="D212" i="3"/>
  <c r="D213" i="3"/>
  <c r="D214" i="3"/>
  <c r="D215" i="3"/>
  <c r="D216"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00" i="3"/>
  <c r="D101" i="3"/>
  <c r="D102" i="3"/>
  <c r="D103" i="3"/>
  <c r="D104" i="3"/>
  <c r="D105" i="3"/>
  <c r="D106" i="3"/>
  <c r="D107" i="3"/>
  <c r="D108" i="3"/>
  <c r="D109" i="3"/>
  <c r="D110" i="3"/>
  <c r="D111" i="3"/>
  <c r="D112" i="3"/>
  <c r="D113" i="3"/>
  <c r="D114" i="3"/>
  <c r="D115" i="3"/>
  <c r="D48" i="3"/>
  <c r="D49" i="3"/>
  <c r="D50" i="3"/>
  <c r="D51" i="3"/>
  <c r="D42" i="3"/>
  <c r="D43" i="3"/>
  <c r="D38" i="5"/>
  <c r="F494" i="5" s="1"/>
  <c r="G494" i="5" s="1" a="1"/>
  <c r="G494" i="5" s="1"/>
  <c r="H494" i="5" s="1"/>
  <c r="D37" i="5"/>
  <c r="D56" i="5"/>
  <c r="D55" i="5"/>
  <c r="D54" i="5"/>
  <c r="D53" i="5"/>
  <c r="D49" i="5"/>
  <c r="E21" i="6"/>
  <c r="D121" i="5" s="1"/>
  <c r="D20" i="6"/>
  <c r="D81" i="5"/>
  <c r="D82" i="5" s="1"/>
  <c r="D73" i="5" s="1"/>
  <c r="C413" i="5" l="1"/>
  <c r="B413" i="5" s="1"/>
  <c r="C416" i="5"/>
  <c r="B416" i="5" s="1"/>
  <c r="C417" i="5"/>
  <c r="B417" i="5" s="1"/>
  <c r="C414" i="5"/>
  <c r="B414" i="5" s="1"/>
  <c r="C415" i="5"/>
  <c r="B415" i="5" s="1"/>
  <c r="C409" i="5"/>
  <c r="B409" i="5" s="1"/>
  <c r="C410" i="5"/>
  <c r="B410" i="5" s="1"/>
  <c r="C412" i="5"/>
  <c r="B412" i="5" s="1"/>
  <c r="C411" i="5"/>
  <c r="B411" i="5" s="1"/>
  <c r="C407" i="5"/>
  <c r="B407" i="5" s="1"/>
  <c r="C408" i="5"/>
  <c r="B408" i="5" s="1"/>
  <c r="C406" i="5"/>
  <c r="B406" i="5" s="1"/>
  <c r="C404" i="5"/>
  <c r="B404" i="5" s="1"/>
  <c r="D97" i="5"/>
  <c r="E97" i="5" s="1"/>
  <c r="F34" i="7"/>
  <c r="C378" i="5"/>
  <c r="B378" i="5" s="1"/>
  <c r="C405" i="5"/>
  <c r="B405" i="5" s="1"/>
  <c r="C402" i="5"/>
  <c r="B402" i="5" s="1"/>
  <c r="E139" i="5"/>
  <c r="B12" i="6" a="1"/>
  <c r="B12" i="6" s="1"/>
  <c r="C12" i="6" a="1"/>
  <c r="C12" i="6" s="1"/>
  <c r="D12" i="6" a="1"/>
  <c r="D12" i="6" s="1"/>
  <c r="D92" i="5"/>
  <c r="C117" i="5"/>
  <c r="B117" i="5" s="1"/>
  <c r="Z14" i="7"/>
  <c r="X17" i="7"/>
  <c r="Z13" i="7"/>
  <c r="Z17" i="7"/>
  <c r="W18" i="7"/>
  <c r="X18" i="7"/>
  <c r="W16" i="7"/>
  <c r="W15" i="7"/>
  <c r="W13" i="7"/>
  <c r="W14" i="7"/>
  <c r="X16" i="7"/>
  <c r="X15" i="7"/>
  <c r="X14" i="7"/>
  <c r="X13" i="7"/>
  <c r="Z18" i="7"/>
  <c r="Z16" i="7"/>
  <c r="Z15" i="7"/>
  <c r="B114" i="5"/>
  <c r="D11" i="6"/>
  <c r="B11" i="6"/>
  <c r="C11" i="6"/>
  <c r="D89" i="5"/>
  <c r="E89" i="5" s="1"/>
  <c r="D90" i="5"/>
  <c r="E90" i="5" s="1"/>
  <c r="E34" i="7"/>
  <c r="E33" i="7"/>
  <c r="F33" i="7"/>
  <c r="C504" i="5"/>
  <c r="B504" i="5" s="1"/>
  <c r="C502" i="5"/>
  <c r="B502" i="5" s="1"/>
  <c r="C500" i="5"/>
  <c r="B500" i="5" s="1"/>
  <c r="C498" i="5"/>
  <c r="B498" i="5" s="1"/>
  <c r="F503" i="5"/>
  <c r="G503" i="5" s="1" a="1"/>
  <c r="G503" i="5" s="1"/>
  <c r="H503" i="5" s="1"/>
  <c r="F502" i="5"/>
  <c r="G502" i="5" s="1" a="1"/>
  <c r="G502" i="5" s="1"/>
  <c r="H502" i="5" s="1"/>
  <c r="F501" i="5"/>
  <c r="G501" i="5" s="1" a="1"/>
  <c r="G501" i="5" s="1"/>
  <c r="H501" i="5" s="1"/>
  <c r="F504" i="5"/>
  <c r="G504" i="5" s="1" a="1"/>
  <c r="G504" i="5" s="1"/>
  <c r="H504" i="5" s="1"/>
  <c r="F500" i="5"/>
  <c r="G500" i="5" s="1" a="1"/>
  <c r="G500" i="5" s="1"/>
  <c r="H500" i="5" s="1"/>
  <c r="F499" i="5"/>
  <c r="G499" i="5" s="1" a="1"/>
  <c r="G499" i="5" s="1"/>
  <c r="H499" i="5" s="1"/>
  <c r="F498" i="5"/>
  <c r="G498" i="5" s="1" a="1"/>
  <c r="G498" i="5" s="1"/>
  <c r="H498" i="5" s="1"/>
  <c r="F505" i="5"/>
  <c r="G505" i="5" s="1" a="1"/>
  <c r="G505" i="5" s="1"/>
  <c r="H505" i="5" s="1"/>
  <c r="F496" i="5"/>
  <c r="G496" i="5" s="1" a="1"/>
  <c r="G496" i="5" s="1"/>
  <c r="H496" i="5" s="1"/>
  <c r="F495" i="5"/>
  <c r="G495" i="5" s="1" a="1"/>
  <c r="G495" i="5" s="1"/>
  <c r="H495" i="5" s="1"/>
  <c r="F497" i="5"/>
  <c r="G497" i="5" s="1" a="1"/>
  <c r="G497" i="5" s="1"/>
  <c r="H497" i="5" s="1"/>
  <c r="C388" i="5"/>
  <c r="B388" i="5" s="1"/>
  <c r="C403" i="5"/>
  <c r="B403" i="5" s="1"/>
  <c r="C397" i="5"/>
  <c r="B397" i="5" s="1"/>
  <c r="C379" i="5"/>
  <c r="B379" i="5" s="1"/>
  <c r="C363" i="5"/>
  <c r="B363" i="5" s="1"/>
  <c r="C175" i="5"/>
  <c r="B175" i="5" s="1"/>
  <c r="D104" i="5"/>
  <c r="E104" i="5" s="1"/>
  <c r="A124" i="5"/>
  <c r="A122" i="5"/>
  <c r="A123" i="5"/>
  <c r="A125" i="5"/>
  <c r="C124" i="5"/>
  <c r="C125" i="5"/>
  <c r="C122" i="5"/>
  <c r="C123" i="5"/>
  <c r="B20" i="6"/>
  <c r="C20" i="6"/>
  <c r="E20" i="6" l="1"/>
  <c r="D120" i="5" s="1"/>
  <c r="D200" i="3" l="1"/>
  <c r="D202" i="3"/>
  <c r="D120" i="3"/>
  <c r="D121" i="3"/>
  <c r="D124" i="3"/>
  <c r="D125" i="3"/>
  <c r="D24" i="3"/>
  <c r="D25" i="3"/>
  <c r="D26" i="3"/>
  <c r="D27" i="3"/>
  <c r="D185" i="3" l="1"/>
  <c r="D186" i="3"/>
  <c r="D187" i="3"/>
  <c r="D40" i="5"/>
  <c r="D3" i="3"/>
  <c r="D4" i="3"/>
  <c r="D5" i="3"/>
  <c r="D6" i="3"/>
  <c r="D7" i="3"/>
  <c r="D8" i="3"/>
  <c r="D9" i="3"/>
  <c r="D10" i="3"/>
  <c r="D11" i="3"/>
  <c r="D12" i="3"/>
  <c r="D13" i="3"/>
  <c r="D14" i="3"/>
  <c r="D15" i="3"/>
  <c r="D16" i="3"/>
  <c r="D17" i="3"/>
  <c r="D18" i="3"/>
  <c r="D19" i="3"/>
  <c r="D20" i="3"/>
  <c r="D21" i="3"/>
  <c r="D22" i="3"/>
  <c r="D23" i="3"/>
  <c r="D28" i="3"/>
  <c r="D29" i="3"/>
  <c r="D30" i="3"/>
  <c r="D31" i="3"/>
  <c r="D32" i="3"/>
  <c r="D33" i="3"/>
  <c r="D34" i="3"/>
  <c r="D35" i="3"/>
  <c r="D36" i="3"/>
  <c r="D37" i="3"/>
  <c r="D38" i="3"/>
  <c r="D39" i="3"/>
  <c r="D40" i="3"/>
  <c r="D41" i="3"/>
  <c r="D44" i="3"/>
  <c r="D45" i="3"/>
  <c r="D46" i="3"/>
  <c r="D47"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16" i="3"/>
  <c r="D117" i="3"/>
  <c r="D118" i="3"/>
  <c r="D119" i="3"/>
  <c r="D176" i="3"/>
  <c r="D177" i="3"/>
  <c r="D178" i="3"/>
  <c r="D179" i="3"/>
  <c r="D180" i="3"/>
  <c r="D181" i="3"/>
  <c r="D182" i="3"/>
  <c r="D183" i="3"/>
  <c r="D184" i="3"/>
  <c r="D189" i="3"/>
  <c r="D190" i="3"/>
  <c r="D191" i="3"/>
  <c r="D192" i="3"/>
  <c r="D193" i="3"/>
  <c r="D194" i="3"/>
  <c r="D195" i="3"/>
  <c r="D196" i="3"/>
  <c r="D197" i="3"/>
  <c r="D198" i="3"/>
  <c r="D199" i="3"/>
  <c r="D204" i="3"/>
  <c r="D205" i="3"/>
  <c r="D206" i="3"/>
  <c r="D207" i="3"/>
  <c r="D226" i="3"/>
  <c r="D227" i="3"/>
  <c r="D228" i="3"/>
  <c r="D229" i="3"/>
  <c r="D2" i="3"/>
  <c r="D99" i="5"/>
  <c r="E99" i="5" s="1"/>
  <c r="D98" i="5"/>
  <c r="E98" i="5" s="1"/>
  <c r="D18" i="5"/>
  <c r="D60" i="5" l="1"/>
  <c r="C69" i="7" s="1"/>
  <c r="E220" i="3"/>
  <c r="E222" i="3"/>
  <c r="E219" i="3"/>
  <c r="C439" i="5"/>
  <c r="B439" i="5" s="1"/>
  <c r="C438" i="5"/>
  <c r="B438" i="5" s="1"/>
  <c r="E223" i="3"/>
  <c r="E224" i="3"/>
  <c r="E221" i="3"/>
  <c r="E217" i="3"/>
  <c r="E218" i="3"/>
  <c r="E203" i="3"/>
  <c r="E174" i="3"/>
  <c r="E175" i="3"/>
  <c r="C300" i="5"/>
  <c r="B300" i="5" s="1"/>
  <c r="C301" i="5"/>
  <c r="B301" i="5" s="1"/>
  <c r="E92" i="5"/>
  <c r="D91" i="5"/>
  <c r="E91" i="5" s="1"/>
  <c r="E230" i="3"/>
  <c r="E231" i="3"/>
  <c r="E232" i="3"/>
  <c r="E188" i="3"/>
  <c r="D59" i="5"/>
  <c r="C68" i="7" s="1"/>
  <c r="E201" i="3"/>
  <c r="E225" i="3"/>
  <c r="E122" i="3"/>
  <c r="E123" i="3"/>
  <c r="C505" i="5"/>
  <c r="B505" i="5" s="1"/>
  <c r="C501" i="5"/>
  <c r="B501" i="5" s="1"/>
  <c r="C503" i="5"/>
  <c r="B503" i="5" s="1"/>
  <c r="C499" i="5"/>
  <c r="B499" i="5" s="1"/>
  <c r="E363" i="5"/>
  <c r="E379" i="5"/>
  <c r="E378" i="5"/>
  <c r="E211" i="3"/>
  <c r="E128" i="3"/>
  <c r="E136" i="3"/>
  <c r="E144" i="3"/>
  <c r="E152" i="3"/>
  <c r="E160" i="3"/>
  <c r="E168" i="3"/>
  <c r="E102" i="3"/>
  <c r="E110" i="3"/>
  <c r="E50" i="3"/>
  <c r="E212" i="3"/>
  <c r="E129" i="3"/>
  <c r="E137" i="3"/>
  <c r="E145" i="3"/>
  <c r="E153" i="3"/>
  <c r="E161" i="3"/>
  <c r="E169" i="3"/>
  <c r="E103" i="3"/>
  <c r="E111" i="3"/>
  <c r="E51" i="3"/>
  <c r="E208" i="3"/>
  <c r="E213" i="3"/>
  <c r="E130" i="3"/>
  <c r="E138" i="3"/>
  <c r="E146" i="3"/>
  <c r="E154" i="3"/>
  <c r="E162" i="3"/>
  <c r="E170" i="3"/>
  <c r="E104" i="3"/>
  <c r="E112" i="3"/>
  <c r="E209" i="3"/>
  <c r="E214" i="3"/>
  <c r="E131" i="3"/>
  <c r="E139" i="3"/>
  <c r="E147" i="3"/>
  <c r="E155" i="3"/>
  <c r="E163" i="3"/>
  <c r="E171" i="3"/>
  <c r="E105" i="3"/>
  <c r="E113" i="3"/>
  <c r="E215" i="3"/>
  <c r="E132" i="3"/>
  <c r="E140" i="3"/>
  <c r="E148" i="3"/>
  <c r="E156" i="3"/>
  <c r="E164" i="3"/>
  <c r="E172" i="3"/>
  <c r="E106" i="3"/>
  <c r="E114" i="3"/>
  <c r="E151" i="3"/>
  <c r="E101" i="3"/>
  <c r="E49" i="3"/>
  <c r="E216" i="3"/>
  <c r="E133" i="3"/>
  <c r="E141" i="3"/>
  <c r="E149" i="3"/>
  <c r="E157" i="3"/>
  <c r="E165" i="3"/>
  <c r="E173" i="3"/>
  <c r="E107" i="3"/>
  <c r="E115" i="3"/>
  <c r="E226" i="3"/>
  <c r="E126" i="3"/>
  <c r="E134" i="3"/>
  <c r="E142" i="3"/>
  <c r="E150" i="3"/>
  <c r="E158" i="3"/>
  <c r="E166" i="3"/>
  <c r="E100" i="3"/>
  <c r="E108" i="3"/>
  <c r="E48" i="3"/>
  <c r="E42" i="3"/>
  <c r="E135" i="3"/>
  <c r="E159" i="3"/>
  <c r="E109" i="3"/>
  <c r="E43" i="3"/>
  <c r="E210" i="3"/>
  <c r="E127" i="3"/>
  <c r="E143" i="3"/>
  <c r="E167" i="3"/>
  <c r="E6" i="3"/>
  <c r="E14" i="3"/>
  <c r="E22" i="3"/>
  <c r="E30" i="3"/>
  <c r="E38" i="3"/>
  <c r="E52" i="3"/>
  <c r="E60" i="3"/>
  <c r="E68" i="3"/>
  <c r="E76" i="3"/>
  <c r="E84" i="3"/>
  <c r="E92" i="3"/>
  <c r="E116" i="3"/>
  <c r="E180" i="3"/>
  <c r="E189" i="3"/>
  <c r="E197" i="3"/>
  <c r="E207" i="3"/>
  <c r="E2" i="3"/>
  <c r="E198" i="3"/>
  <c r="E195" i="3"/>
  <c r="E7" i="3"/>
  <c r="E15" i="3"/>
  <c r="E23" i="3"/>
  <c r="E31" i="3"/>
  <c r="E39" i="3"/>
  <c r="E53" i="3"/>
  <c r="E61" i="3"/>
  <c r="E69" i="3"/>
  <c r="E77" i="3"/>
  <c r="E85" i="3"/>
  <c r="E93" i="3"/>
  <c r="E117" i="3"/>
  <c r="E181" i="3"/>
  <c r="E190" i="3"/>
  <c r="E8" i="3"/>
  <c r="E16" i="3"/>
  <c r="E24" i="3"/>
  <c r="E32" i="3"/>
  <c r="E40" i="3"/>
  <c r="E54" i="3"/>
  <c r="E62" i="3"/>
  <c r="E70" i="3"/>
  <c r="E78" i="3"/>
  <c r="E86" i="3"/>
  <c r="E94" i="3"/>
  <c r="E118" i="3"/>
  <c r="E182" i="3"/>
  <c r="E191" i="3"/>
  <c r="E199" i="3"/>
  <c r="E58" i="3"/>
  <c r="E90" i="3"/>
  <c r="E178" i="3"/>
  <c r="E196" i="3"/>
  <c r="E9" i="3"/>
  <c r="E17" i="3"/>
  <c r="E25" i="3"/>
  <c r="E33" i="3"/>
  <c r="E41" i="3"/>
  <c r="E55" i="3"/>
  <c r="E63" i="3"/>
  <c r="E71" i="3"/>
  <c r="E79" i="3"/>
  <c r="E87" i="3"/>
  <c r="E95" i="3"/>
  <c r="E119" i="3"/>
  <c r="E183" i="3"/>
  <c r="E192" i="3"/>
  <c r="E200" i="3"/>
  <c r="E4" i="3"/>
  <c r="E12" i="3"/>
  <c r="E28" i="3"/>
  <c r="E46" i="3"/>
  <c r="E82" i="3"/>
  <c r="E98" i="3"/>
  <c r="E205" i="3"/>
  <c r="E10" i="3"/>
  <c r="E18" i="3"/>
  <c r="E26" i="3"/>
  <c r="E34" i="3"/>
  <c r="E44" i="3"/>
  <c r="E56" i="3"/>
  <c r="E64" i="3"/>
  <c r="E72" i="3"/>
  <c r="E80" i="3"/>
  <c r="E88" i="3"/>
  <c r="E96" i="3"/>
  <c r="E120" i="3"/>
  <c r="E176" i="3"/>
  <c r="E184" i="3"/>
  <c r="E193" i="3"/>
  <c r="E202" i="3"/>
  <c r="E227" i="3"/>
  <c r="E20" i="3"/>
  <c r="E36" i="3"/>
  <c r="E74" i="3"/>
  <c r="E124" i="3"/>
  <c r="E229" i="3"/>
  <c r="E3" i="3"/>
  <c r="E11" i="3"/>
  <c r="E19" i="3"/>
  <c r="E27" i="3"/>
  <c r="E35" i="3"/>
  <c r="E45" i="3"/>
  <c r="E57" i="3"/>
  <c r="E65" i="3"/>
  <c r="E73" i="3"/>
  <c r="E81" i="3"/>
  <c r="E89" i="3"/>
  <c r="E97" i="3"/>
  <c r="E121" i="3"/>
  <c r="E177" i="3"/>
  <c r="E185" i="3"/>
  <c r="E194" i="3"/>
  <c r="E204" i="3"/>
  <c r="E228" i="3"/>
  <c r="E66" i="3"/>
  <c r="E186" i="3"/>
  <c r="E206" i="3"/>
  <c r="E5" i="3"/>
  <c r="E13" i="3"/>
  <c r="E21" i="3"/>
  <c r="E29" i="3"/>
  <c r="E37" i="3"/>
  <c r="E47" i="3"/>
  <c r="E59" i="3"/>
  <c r="E67" i="3"/>
  <c r="E75" i="3"/>
  <c r="E83" i="3"/>
  <c r="E91" i="3"/>
  <c r="E99" i="3"/>
  <c r="E125" i="3"/>
  <c r="E179" i="3"/>
  <c r="E187" i="3"/>
  <c r="D86" i="5"/>
  <c r="E86" i="5" s="1"/>
  <c r="D87" i="5"/>
  <c r="E87" i="5" s="1"/>
  <c r="C4" i="2"/>
  <c r="D4" i="2"/>
  <c r="E4" i="2"/>
  <c r="F4" i="2"/>
  <c r="G4" i="2"/>
  <c r="C5" i="2"/>
  <c r="D5" i="2"/>
  <c r="E5" i="2"/>
  <c r="F5" i="2"/>
  <c r="G5" i="2"/>
  <c r="C6" i="2"/>
  <c r="D6" i="2"/>
  <c r="E6" i="2"/>
  <c r="F6" i="2"/>
  <c r="G6" i="2"/>
  <c r="C7" i="2"/>
  <c r="D7" i="2"/>
  <c r="E7" i="2"/>
  <c r="F7" i="2"/>
  <c r="G7" i="2"/>
  <c r="C8" i="2"/>
  <c r="D8" i="2"/>
  <c r="E8" i="2"/>
  <c r="F8" i="2"/>
  <c r="G8" i="2"/>
  <c r="C9" i="2"/>
  <c r="D9" i="2"/>
  <c r="E9" i="2"/>
  <c r="F9" i="2"/>
  <c r="G9" i="2"/>
  <c r="C10" i="2"/>
  <c r="D10" i="2"/>
  <c r="E10" i="2"/>
  <c r="F10" i="2"/>
  <c r="G10" i="2"/>
  <c r="C11" i="2"/>
  <c r="D11" i="2"/>
  <c r="E11" i="2"/>
  <c r="F11" i="2"/>
  <c r="G11" i="2"/>
  <c r="C12" i="2"/>
  <c r="D12" i="2"/>
  <c r="E12" i="2"/>
  <c r="F12" i="2"/>
  <c r="G12" i="2"/>
  <c r="C13" i="2"/>
  <c r="D13" i="2"/>
  <c r="E13" i="2"/>
  <c r="F13" i="2"/>
  <c r="G13" i="2"/>
  <c r="D3" i="2"/>
  <c r="E3" i="2"/>
  <c r="F3" i="2"/>
  <c r="G3" i="2"/>
  <c r="C3" i="2"/>
  <c r="B4" i="2"/>
  <c r="B5" i="2"/>
  <c r="B6" i="2"/>
  <c r="B7" i="2"/>
  <c r="B8" i="2"/>
  <c r="B9" i="2"/>
  <c r="B10" i="2"/>
  <c r="B11" i="2"/>
  <c r="B12" i="2"/>
  <c r="B13" i="2"/>
  <c r="B3" i="2"/>
  <c r="D2" i="2"/>
  <c r="E2" i="2"/>
  <c r="F2" i="2"/>
  <c r="G2" i="2"/>
  <c r="C2" i="2"/>
  <c r="B2" i="2"/>
  <c r="E85" i="5" l="1"/>
  <c r="D41" i="5"/>
  <c r="D42" i="5"/>
  <c r="D39" i="5"/>
  <c r="B128" i="5"/>
  <c r="A128" i="5" s="1"/>
  <c r="E102" i="5"/>
  <c r="D34" i="5"/>
  <c r="D33" i="5"/>
  <c r="C202" i="5" s="1"/>
  <c r="B202" i="5" s="1"/>
  <c r="D32" i="5"/>
  <c r="C201" i="5" s="1"/>
  <c r="B201" i="5" s="1"/>
  <c r="D31" i="5"/>
  <c r="C200" i="5" s="1"/>
  <c r="B200" i="5" s="1"/>
  <c r="D30" i="5"/>
  <c r="D28" i="5"/>
  <c r="D27" i="5"/>
  <c r="D139" i="5"/>
  <c r="E7" i="6"/>
  <c r="E6" i="6"/>
  <c r="E4" i="6"/>
  <c r="E3" i="6"/>
  <c r="C110" i="5" s="1" a="1"/>
  <c r="C110" i="5" s="1"/>
  <c r="G388" i="5" l="1" a="1"/>
  <c r="G388" i="5" s="1"/>
  <c r="H388" i="5" s="1"/>
  <c r="G397" i="5" a="1"/>
  <c r="G397" i="5" s="1"/>
  <c r="H397" i="5" s="1"/>
  <c r="G379" i="5" a="1"/>
  <c r="G379" i="5" s="1"/>
  <c r="H379" i="5" s="1"/>
  <c r="G378" i="5" a="1"/>
  <c r="G378" i="5" s="1"/>
  <c r="H378" i="5" s="1"/>
  <c r="G363" i="5" a="1"/>
  <c r="G363" i="5" s="1"/>
  <c r="H363" i="5" s="1"/>
  <c r="G352" i="5" a="1"/>
  <c r="G352" i="5" s="1"/>
  <c r="H352" i="5" s="1"/>
  <c r="G174" i="5" a="1"/>
  <c r="G174" i="5" s="1"/>
  <c r="H174" i="5" s="1"/>
  <c r="G175" i="5" a="1"/>
  <c r="G175" i="5" s="1"/>
  <c r="H175" i="5" s="1"/>
  <c r="G301" i="5" a="1"/>
  <c r="G301" i="5" s="1"/>
  <c r="H301" i="5" s="1"/>
  <c r="G300" i="5" a="1"/>
  <c r="G300" i="5" s="1"/>
  <c r="H300" i="5" s="1"/>
  <c r="G299" i="5" a="1"/>
  <c r="G299" i="5" s="1"/>
  <c r="H299" i="5" s="1"/>
  <c r="C198" i="5"/>
  <c r="B198" i="5" s="1"/>
  <c r="D101" i="5"/>
  <c r="E101" i="5" s="1"/>
  <c r="C203" i="5"/>
  <c r="B203" i="5" s="1"/>
  <c r="G343" i="5" a="1"/>
  <c r="G343" i="5" s="1"/>
  <c r="H343" i="5" s="1"/>
  <c r="G342" i="5" a="1"/>
  <c r="G342" i="5" s="1"/>
  <c r="H342" i="5" s="1"/>
  <c r="G330" i="5" a="1"/>
  <c r="G330" i="5" s="1"/>
  <c r="H330" i="5" s="1"/>
  <c r="D96" i="5"/>
  <c r="E96" i="5" s="1"/>
  <c r="C18" i="6"/>
  <c r="B18" i="6"/>
  <c r="D18" i="6"/>
  <c r="G545" i="5" a="1"/>
  <c r="G545" i="5" s="1"/>
  <c r="H545" i="5" s="1"/>
  <c r="C109" i="5"/>
  <c r="B109" i="5" s="1"/>
  <c r="B110" i="5"/>
  <c r="E523" i="5"/>
  <c r="G523" i="5" s="1" a="1"/>
  <c r="G523" i="5" s="1"/>
  <c r="H523" i="5" s="1"/>
  <c r="D88" i="5"/>
  <c r="G266" i="5" a="1"/>
  <c r="G266" i="5" s="1"/>
  <c r="H266" i="5" s="1"/>
  <c r="E522" i="5"/>
  <c r="G522" i="5" s="1" a="1"/>
  <c r="G522" i="5" s="1"/>
  <c r="C197" i="5"/>
  <c r="B197" i="5" s="1"/>
  <c r="D9" i="5"/>
  <c r="C199" i="5"/>
  <c r="B199" i="5" s="1"/>
  <c r="D10" i="5"/>
  <c r="E428" i="5"/>
  <c r="E429" i="5"/>
  <c r="G429" i="5" s="1" a="1"/>
  <c r="G429" i="5" s="1"/>
  <c r="H429" i="5" s="1"/>
  <c r="G283" i="5" a="1"/>
  <c r="G283" i="5" s="1"/>
  <c r="H283" i="5" s="1"/>
  <c r="G298" i="5" a="1"/>
  <c r="G298" i="5" s="1"/>
  <c r="H298" i="5" s="1"/>
  <c r="D44" i="5"/>
  <c r="D43" i="5"/>
  <c r="D45" i="5"/>
  <c r="D47" i="5"/>
  <c r="D46" i="5"/>
  <c r="G160" i="5" a="1"/>
  <c r="G160" i="5" s="1"/>
  <c r="H160" i="5" s="1"/>
  <c r="G267" i="5" a="1"/>
  <c r="G267" i="5" s="1"/>
  <c r="H267" i="5" s="1"/>
  <c r="G159" i="5" a="1"/>
  <c r="G159" i="5" s="1"/>
  <c r="H159" i="5" s="1"/>
  <c r="G201" i="5" a="1"/>
  <c r="G201" i="5" s="1"/>
  <c r="H201" i="5" s="1"/>
  <c r="G221" i="5" a="1"/>
  <c r="G221" i="5" s="1"/>
  <c r="H221" i="5" s="1"/>
  <c r="G268" i="5" a="1"/>
  <c r="G268" i="5" s="1"/>
  <c r="H268" i="5" s="1"/>
  <c r="G202" i="5" a="1"/>
  <c r="G202" i="5" s="1"/>
  <c r="H202" i="5" s="1"/>
  <c r="G222" i="5" a="1"/>
  <c r="G222" i="5" s="1"/>
  <c r="H222" i="5" s="1"/>
  <c r="G158" i="5" a="1"/>
  <c r="G158" i="5" s="1"/>
  <c r="H158" i="5" s="1"/>
  <c r="G269" i="5" a="1"/>
  <c r="G269" i="5" s="1"/>
  <c r="H269" i="5" s="1"/>
  <c r="G173" i="5" a="1"/>
  <c r="G173" i="5" s="1"/>
  <c r="H173" i="5" s="1"/>
  <c r="G198" i="5" a="1"/>
  <c r="G198" i="5" s="1"/>
  <c r="H198" i="5" s="1"/>
  <c r="G244" i="5" a="1"/>
  <c r="G244" i="5" s="1"/>
  <c r="H244" i="5" s="1"/>
  <c r="G271" i="5" a="1"/>
  <c r="G271" i="5" s="1"/>
  <c r="H271" i="5" s="1"/>
  <c r="G200" i="5" a="1"/>
  <c r="G200" i="5" s="1"/>
  <c r="H200" i="5" s="1"/>
  <c r="G241" i="5" a="1"/>
  <c r="G241" i="5" s="1"/>
  <c r="H241" i="5" s="1"/>
  <c r="G157" i="5" a="1"/>
  <c r="G157" i="5" s="1"/>
  <c r="H157" i="5" s="1"/>
  <c r="G270" i="5" a="1"/>
  <c r="G270" i="5" s="1"/>
  <c r="H270" i="5" s="1"/>
  <c r="G220" i="5" a="1"/>
  <c r="G220" i="5" s="1"/>
  <c r="H220" i="5" s="1"/>
  <c r="G243" i="5" a="1"/>
  <c r="G243" i="5" s="1"/>
  <c r="H243" i="5" s="1"/>
  <c r="G197" i="5" a="1"/>
  <c r="G197" i="5" s="1"/>
  <c r="H197" i="5" s="1"/>
  <c r="G242" i="5" a="1"/>
  <c r="G242" i="5" s="1"/>
  <c r="H242" i="5" s="1"/>
  <c r="G199" i="5" a="1"/>
  <c r="G199" i="5" s="1"/>
  <c r="H199" i="5" s="1"/>
  <c r="G156" i="5" a="1"/>
  <c r="G156" i="5" s="1"/>
  <c r="H156" i="5" s="1"/>
  <c r="G203" i="5" a="1"/>
  <c r="G203" i="5" s="1"/>
  <c r="H203" i="5" s="1"/>
  <c r="G223" i="5" a="1"/>
  <c r="G223" i="5" s="1"/>
  <c r="H223" i="5" s="1"/>
  <c r="C241" i="5"/>
  <c r="B241" i="5" s="1"/>
  <c r="C245" i="5"/>
  <c r="B245" i="5" s="1"/>
  <c r="C244" i="5"/>
  <c r="B244" i="5" s="1"/>
  <c r="C243" i="5"/>
  <c r="B243" i="5" s="1"/>
  <c r="C242" i="5"/>
  <c r="B242" i="5" s="1"/>
  <c r="D29" i="5"/>
  <c r="D26" i="5"/>
  <c r="B10" i="6" l="1"/>
  <c r="D63" i="5" a="1"/>
  <c r="D63" i="5" s="1"/>
  <c r="C331" i="5" s="1"/>
  <c r="B331" i="5" s="1"/>
  <c r="D65" i="5" a="1"/>
  <c r="D65" i="5" s="1"/>
  <c r="C343" i="5" s="1"/>
  <c r="B343" i="5" s="1"/>
  <c r="D62" i="5" a="1"/>
  <c r="D62" i="5" s="1"/>
  <c r="D64" i="5" a="1"/>
  <c r="D64" i="5" s="1"/>
  <c r="C342" i="5" s="1"/>
  <c r="B342" i="5" s="1"/>
  <c r="C319" i="5"/>
  <c r="B319" i="5" s="1"/>
  <c r="C10" i="6"/>
  <c r="D10" i="6"/>
  <c r="E10" i="6" s="1"/>
  <c r="C299" i="5"/>
  <c r="B299" i="5" s="1"/>
  <c r="C310" i="5"/>
  <c r="B310" i="5" s="1"/>
  <c r="C298" i="5"/>
  <c r="B298" i="5" s="1"/>
  <c r="C510" i="5"/>
  <c r="B510" i="5" s="1"/>
  <c r="C511" i="5"/>
  <c r="B511" i="5" s="1"/>
  <c r="D8" i="6" a="1"/>
  <c r="D8" i="6" s="1"/>
  <c r="B8" i="6" a="1"/>
  <c r="B8" i="6" s="1"/>
  <c r="C8" i="6" a="1"/>
  <c r="C8" i="6" s="1"/>
  <c r="E88" i="5"/>
  <c r="D58" i="5"/>
  <c r="C67" i="7" s="1"/>
  <c r="C497" i="5"/>
  <c r="B497" i="5" s="1"/>
  <c r="C496" i="5"/>
  <c r="B496" i="5" s="1"/>
  <c r="C495" i="5"/>
  <c r="B495" i="5" s="1"/>
  <c r="C494" i="5"/>
  <c r="B494" i="5" s="1"/>
  <c r="G428" i="5" a="1"/>
  <c r="G428" i="5" s="1"/>
  <c r="H428" i="5" s="1"/>
  <c r="D35" i="5"/>
  <c r="D68" i="5" s="1"/>
  <c r="E18" i="6"/>
  <c r="C116" i="5" s="1"/>
  <c r="B116" i="5" s="1"/>
  <c r="E11" i="6"/>
  <c r="C112" i="5" s="1"/>
  <c r="B112" i="5" s="1"/>
  <c r="E12" i="6"/>
  <c r="C113" i="5" s="1"/>
  <c r="B113" i="5" s="1"/>
  <c r="D103" i="5"/>
  <c r="E103" i="5" s="1"/>
  <c r="C428" i="5"/>
  <c r="C545" i="5"/>
  <c r="B545" i="5" s="1"/>
  <c r="C429" i="5"/>
  <c r="C437" i="5" s="1"/>
  <c r="C17" i="6"/>
  <c r="C535" i="5"/>
  <c r="B535" i="5" s="1"/>
  <c r="D17" i="6"/>
  <c r="B17" i="6"/>
  <c r="C534" i="5"/>
  <c r="B534" i="5" s="1"/>
  <c r="C536" i="5"/>
  <c r="B536" i="5" s="1"/>
  <c r="B9" i="6"/>
  <c r="D9" i="6"/>
  <c r="C9" i="6"/>
  <c r="D523" i="5"/>
  <c r="C523" i="5" s="1"/>
  <c r="B523" i="5" s="1"/>
  <c r="D100" i="5"/>
  <c r="E100" i="5" s="1"/>
  <c r="D94" i="5"/>
  <c r="E94" i="5" s="1"/>
  <c r="D93" i="5"/>
  <c r="E93" i="5" s="1"/>
  <c r="G139" i="5" a="1"/>
  <c r="G139" i="5" s="1"/>
  <c r="H139" i="5" s="1"/>
  <c r="C70" i="7"/>
  <c r="C71" i="7"/>
  <c r="C529" i="5"/>
  <c r="B529" i="5" s="1"/>
  <c r="C528" i="5"/>
  <c r="B528" i="5" s="1"/>
  <c r="H522" i="5"/>
  <c r="D522" i="5"/>
  <c r="C522" i="5" s="1"/>
  <c r="D12" i="5"/>
  <c r="G15" i="2" s="1"/>
  <c r="D11" i="5"/>
  <c r="G16" i="2" s="1"/>
  <c r="G331" i="5" a="1"/>
  <c r="G331" i="5" s="1"/>
  <c r="H331" i="5" s="1"/>
  <c r="G310" i="5" a="1"/>
  <c r="G310" i="5" s="1"/>
  <c r="H310" i="5" s="1"/>
  <c r="G284" i="5" a="1"/>
  <c r="G284" i="5" s="1"/>
  <c r="H284" i="5" s="1"/>
  <c r="G224" i="5" a="1"/>
  <c r="G224" i="5" s="1"/>
  <c r="H224" i="5" s="1"/>
  <c r="G245" i="5" a="1"/>
  <c r="G245" i="5" s="1"/>
  <c r="H245" i="5" s="1"/>
  <c r="G272" i="5" a="1"/>
  <c r="G272" i="5" s="1"/>
  <c r="H272" i="5" s="1"/>
  <c r="G319" i="5" a="1"/>
  <c r="G319" i="5" s="1"/>
  <c r="H319" i="5" s="1"/>
  <c r="C284" i="5"/>
  <c r="B284" i="5" s="1"/>
  <c r="C158" i="5"/>
  <c r="B158" i="5" s="1"/>
  <c r="C283" i="5"/>
  <c r="B283" i="5" s="1"/>
  <c r="C157" i="5"/>
  <c r="B157" i="5" s="1"/>
  <c r="C173" i="5"/>
  <c r="B173" i="5" s="1"/>
  <c r="C139" i="5"/>
  <c r="B139" i="5" s="1"/>
  <c r="C160" i="5"/>
  <c r="B160" i="5" s="1"/>
  <c r="C272" i="5"/>
  <c r="B272" i="5" s="1"/>
  <c r="C270" i="5"/>
  <c r="B270" i="5" s="1"/>
  <c r="C269" i="5"/>
  <c r="B269" i="5" s="1"/>
  <c r="C271" i="5"/>
  <c r="B271" i="5" s="1"/>
  <c r="C268" i="5"/>
  <c r="B268" i="5" s="1"/>
  <c r="C267" i="5"/>
  <c r="B267" i="5" s="1"/>
  <c r="C266" i="5"/>
  <c r="B266" i="5" s="1"/>
  <c r="C221" i="5"/>
  <c r="B221" i="5" s="1"/>
  <c r="C224" i="5"/>
  <c r="B224" i="5" s="1"/>
  <c r="C220" i="5"/>
  <c r="B220" i="5" s="1"/>
  <c r="C222" i="5"/>
  <c r="B222" i="5" s="1"/>
  <c r="C223" i="5"/>
  <c r="B223" i="5" s="1"/>
  <c r="C174" i="5"/>
  <c r="B174" i="5" s="1"/>
  <c r="C159" i="5"/>
  <c r="B159" i="5" s="1"/>
  <c r="B428" i="5" l="1"/>
  <c r="C436" i="5"/>
  <c r="B436" i="5" s="1"/>
  <c r="C434" i="5"/>
  <c r="B434" i="5" s="1"/>
  <c r="C435" i="5"/>
  <c r="B435" i="5" s="1"/>
  <c r="A319" i="5"/>
  <c r="C352" i="5"/>
  <c r="B352" i="5" s="1"/>
  <c r="C330" i="5"/>
  <c r="B330" i="5" s="1"/>
  <c r="A331" i="5" s="1"/>
  <c r="D105" i="5"/>
  <c r="A245" i="5"/>
  <c r="A203" i="5"/>
  <c r="A343" i="5"/>
  <c r="A220" i="5"/>
  <c r="A224" i="5"/>
  <c r="A272" i="5"/>
  <c r="A159" i="5"/>
  <c r="A284" i="5"/>
  <c r="A267" i="5"/>
  <c r="A269" i="5"/>
  <c r="A221" i="5"/>
  <c r="A266" i="5"/>
  <c r="A241" i="5"/>
  <c r="A200" i="5"/>
  <c r="A157" i="5"/>
  <c r="A242" i="5"/>
  <c r="A268" i="5"/>
  <c r="A199" i="5"/>
  <c r="A243" i="5"/>
  <c r="A300" i="5"/>
  <c r="A198" i="5"/>
  <c r="A201" i="5"/>
  <c r="A222" i="5"/>
  <c r="A270" i="5"/>
  <c r="A197" i="5"/>
  <c r="A174" i="5"/>
  <c r="A223" i="5"/>
  <c r="A271" i="5"/>
  <c r="A283" i="5"/>
  <c r="A173" i="5"/>
  <c r="A158" i="5"/>
  <c r="A298" i="5"/>
  <c r="A310" i="5"/>
  <c r="A299" i="5"/>
  <c r="A202" i="5"/>
  <c r="A139" i="5"/>
  <c r="A156" i="5"/>
  <c r="A244" i="5"/>
  <c r="A301" i="5"/>
  <c r="A160" i="5"/>
  <c r="A175" i="5"/>
  <c r="B437" i="5"/>
  <c r="B429" i="5"/>
  <c r="B522" i="5"/>
  <c r="E17" i="6"/>
  <c r="C115" i="5" s="1"/>
  <c r="B115" i="5" s="1"/>
  <c r="E9" i="6"/>
  <c r="E8" i="6"/>
  <c r="E18" i="2"/>
  <c r="D4" i="8" l="1"/>
  <c r="A330" i="5"/>
  <c r="A414" i="5"/>
  <c r="A505" i="5"/>
  <c r="A352" i="5"/>
  <c r="A342" i="5"/>
  <c r="A417" i="5"/>
  <c r="A411" i="5"/>
  <c r="A416" i="5"/>
  <c r="A413" i="5"/>
  <c r="A412" i="5"/>
  <c r="A410" i="5"/>
  <c r="A405" i="5"/>
  <c r="A402" i="5"/>
  <c r="A415" i="5"/>
  <c r="A435" i="5"/>
  <c r="A408" i="5"/>
  <c r="A409" i="5"/>
  <c r="A404" i="5"/>
  <c r="A407" i="5"/>
  <c r="A406" i="5"/>
  <c r="A403" i="5"/>
  <c r="C111" i="5" a="1"/>
  <c r="C111" i="5" s="1"/>
  <c r="B111" i="5" s="1"/>
  <c r="A510" i="5"/>
  <c r="A511" i="5"/>
  <c r="A238" i="8"/>
  <c r="A239" i="8"/>
  <c r="A240" i="8"/>
  <c r="A241" i="8"/>
  <c r="A242" i="8"/>
  <c r="A244" i="8"/>
  <c r="A243" i="8"/>
  <c r="A245" i="8"/>
  <c r="A221" i="8"/>
  <c r="A226" i="8"/>
  <c r="A234" i="8"/>
  <c r="A218" i="8"/>
  <c r="A227" i="8"/>
  <c r="A235" i="8"/>
  <c r="A219" i="8"/>
  <c r="A220" i="8"/>
  <c r="A229" i="8"/>
  <c r="A222" i="8"/>
  <c r="A230" i="8"/>
  <c r="A223" i="8"/>
  <c r="A231" i="8"/>
  <c r="A224" i="8"/>
  <c r="A232" i="8"/>
  <c r="A225" i="8"/>
  <c r="A233" i="8"/>
  <c r="A228" i="8"/>
  <c r="A545" i="5"/>
  <c r="A237" i="8"/>
  <c r="A378" i="5"/>
  <c r="A535" i="5"/>
  <c r="A534" i="5"/>
  <c r="A536" i="5"/>
  <c r="A439" i="5"/>
  <c r="A500" i="5"/>
  <c r="A504" i="5"/>
  <c r="A503" i="5"/>
  <c r="A499" i="5"/>
  <c r="A502" i="5"/>
  <c r="A501" i="5"/>
  <c r="A498" i="5"/>
  <c r="A163" i="8"/>
  <c r="A171" i="8"/>
  <c r="A179" i="8"/>
  <c r="A187" i="8"/>
  <c r="A164" i="8"/>
  <c r="A172" i="8"/>
  <c r="A180" i="8"/>
  <c r="A165" i="8"/>
  <c r="A173" i="8"/>
  <c r="A181" i="8"/>
  <c r="A158" i="8"/>
  <c r="A166" i="8"/>
  <c r="A174" i="8"/>
  <c r="A182" i="8"/>
  <c r="A159" i="8"/>
  <c r="A167" i="8"/>
  <c r="A175" i="8"/>
  <c r="A183" i="8"/>
  <c r="A160" i="8"/>
  <c r="A168" i="8"/>
  <c r="A176" i="8"/>
  <c r="A184" i="8"/>
  <c r="A161" i="8"/>
  <c r="A169" i="8"/>
  <c r="A177" i="8"/>
  <c r="A185" i="8"/>
  <c r="A162" i="8"/>
  <c r="A170" i="8"/>
  <c r="A178" i="8"/>
  <c r="A186" i="8"/>
  <c r="A495" i="5"/>
  <c r="D3" i="8"/>
  <c r="C4" i="8"/>
  <c r="F4" i="8" s="1"/>
  <c r="E3" i="8"/>
  <c r="C5" i="8"/>
  <c r="F5" i="8" s="1"/>
  <c r="E4" i="8"/>
  <c r="D5" i="8"/>
  <c r="E5" i="8"/>
  <c r="C3" i="8"/>
  <c r="F3" i="8" s="1"/>
  <c r="A494" i="5"/>
  <c r="A497" i="5"/>
  <c r="A496" i="5"/>
  <c r="A438" i="5"/>
  <c r="A388" i="5"/>
  <c r="A429" i="5"/>
  <c r="A437" i="5"/>
  <c r="A428" i="5"/>
  <c r="A523" i="5"/>
  <c r="A529" i="5"/>
  <c r="A528" i="5"/>
  <c r="A522" i="5"/>
  <c r="A436" i="5"/>
  <c r="A379" i="5"/>
  <c r="A434" i="5"/>
  <c r="A397" i="5"/>
  <c r="A363" i="5"/>
  <c r="A251" i="8"/>
  <c r="A250" i="8"/>
  <c r="A246" i="8"/>
  <c r="A247" i="8"/>
  <c r="A249" i="8"/>
  <c r="A248" i="8"/>
  <c r="E2" i="8"/>
  <c r="D2" i="8"/>
  <c r="C2" i="8"/>
  <c r="A236" i="8"/>
  <c r="D2" i="6"/>
  <c r="C2" i="6"/>
  <c r="B2" i="6"/>
  <c r="A124" i="8"/>
  <c r="A132" i="8"/>
  <c r="A140" i="8"/>
  <c r="A148" i="8"/>
  <c r="A194" i="8"/>
  <c r="A202" i="8"/>
  <c r="A200" i="8"/>
  <c r="A125" i="8"/>
  <c r="A133" i="8"/>
  <c r="A141" i="8"/>
  <c r="A149" i="8"/>
  <c r="A157" i="8"/>
  <c r="A195" i="8"/>
  <c r="A203" i="8"/>
  <c r="A211" i="8"/>
  <c r="A130" i="8"/>
  <c r="A154" i="8"/>
  <c r="A126" i="8"/>
  <c r="A134" i="8"/>
  <c r="A142" i="8"/>
  <c r="A150" i="8"/>
  <c r="A188" i="8"/>
  <c r="A196" i="8"/>
  <c r="A204" i="8"/>
  <c r="A212" i="8"/>
  <c r="A119" i="8"/>
  <c r="A122" i="8"/>
  <c r="A192" i="8"/>
  <c r="A127" i="8"/>
  <c r="A135" i="8"/>
  <c r="A143" i="8"/>
  <c r="A151" i="8"/>
  <c r="A189" i="8"/>
  <c r="A197" i="8"/>
  <c r="A205" i="8"/>
  <c r="A213" i="8"/>
  <c r="A208" i="8"/>
  <c r="A120" i="8"/>
  <c r="A128" i="8"/>
  <c r="A136" i="8"/>
  <c r="A144" i="8"/>
  <c r="A152" i="8"/>
  <c r="A190" i="8"/>
  <c r="A198" i="8"/>
  <c r="A206" i="8"/>
  <c r="A214" i="8"/>
  <c r="A121" i="8"/>
  <c r="A129" i="8"/>
  <c r="A137" i="8"/>
  <c r="A145" i="8"/>
  <c r="A153" i="8"/>
  <c r="A191" i="8"/>
  <c r="A199" i="8"/>
  <c r="A207" i="8"/>
  <c r="A215" i="8"/>
  <c r="A138" i="8"/>
  <c r="A216" i="8"/>
  <c r="A123" i="8"/>
  <c r="A131" i="8"/>
  <c r="A139" i="8"/>
  <c r="A147" i="8"/>
  <c r="A155" i="8"/>
  <c r="A193" i="8"/>
  <c r="A201" i="8"/>
  <c r="A209" i="8"/>
  <c r="A217" i="8"/>
  <c r="A156" i="8"/>
  <c r="A210" i="8"/>
  <c r="A146" i="8"/>
  <c r="E8" i="8" l="1"/>
  <c r="D6" i="8"/>
  <c r="D7" i="8"/>
  <c r="E7" i="8"/>
  <c r="E6" i="8"/>
  <c r="C11" i="8"/>
  <c r="F11" i="8" s="1"/>
  <c r="C6" i="8"/>
  <c r="F6" i="8" s="1"/>
  <c r="C8" i="8"/>
  <c r="F8" i="8" s="1"/>
  <c r="E9" i="8"/>
  <c r="D9" i="8"/>
  <c r="C7" i="8"/>
  <c r="F7" i="8" s="1"/>
  <c r="C9" i="8"/>
  <c r="F9" i="8" s="1"/>
  <c r="D8" i="8"/>
  <c r="D11" i="8"/>
  <c r="E11" i="8"/>
  <c r="E10" i="8"/>
  <c r="D10" i="8"/>
  <c r="C10" i="8"/>
  <c r="F10" i="8" s="1"/>
  <c r="C12" i="8"/>
  <c r="F12" i="8" s="1"/>
  <c r="C14" i="8"/>
  <c r="F14" i="8" s="1"/>
  <c r="E12" i="8"/>
  <c r="E14" i="8"/>
  <c r="D12" i="8"/>
  <c r="E65" i="8"/>
  <c r="D13" i="8"/>
  <c r="E74" i="8"/>
  <c r="C26" i="8"/>
  <c r="F26" i="8" s="1"/>
  <c r="D14" i="8"/>
  <c r="C60" i="8"/>
  <c r="F60" i="8" s="1"/>
  <c r="E13" i="8"/>
  <c r="C13" i="8"/>
  <c r="F13" i="8" s="1"/>
  <c r="C42" i="8"/>
  <c r="F42" i="8" s="1"/>
  <c r="E48" i="8"/>
  <c r="D47" i="8"/>
  <c r="D30" i="8"/>
  <c r="E53" i="8"/>
  <c r="D77" i="8"/>
  <c r="E36" i="8"/>
  <c r="D60" i="8"/>
  <c r="E19" i="8"/>
  <c r="D43" i="8"/>
  <c r="D50" i="8"/>
  <c r="D34" i="8"/>
  <c r="D26" i="8"/>
  <c r="D82" i="8"/>
  <c r="D74" i="8"/>
  <c r="C34" i="8"/>
  <c r="F34" i="8" s="1"/>
  <c r="C56" i="8"/>
  <c r="F56" i="8" s="1"/>
  <c r="D81" i="8"/>
  <c r="D17" i="8"/>
  <c r="E40" i="8"/>
  <c r="C57" i="8"/>
  <c r="F57" i="8" s="1"/>
  <c r="D80" i="8"/>
  <c r="D16" i="8"/>
  <c r="E39" i="8"/>
  <c r="C16" i="8"/>
  <c r="F16" i="8" s="1"/>
  <c r="D39" i="8"/>
  <c r="E62" i="8"/>
  <c r="C63" i="8"/>
  <c r="F63" i="8" s="1"/>
  <c r="D86" i="8"/>
  <c r="D22" i="8"/>
  <c r="E45" i="8"/>
  <c r="C46" i="8"/>
  <c r="F46" i="8" s="1"/>
  <c r="D69" i="8"/>
  <c r="E28" i="8"/>
  <c r="C29" i="8"/>
  <c r="F29" i="8" s="1"/>
  <c r="D52" i="8"/>
  <c r="E75" i="8"/>
  <c r="D35" i="8"/>
  <c r="E58" i="8"/>
  <c r="C58" i="8"/>
  <c r="F58" i="8" s="1"/>
  <c r="D88" i="8"/>
  <c r="C54" i="8"/>
  <c r="F54" i="8" s="1"/>
  <c r="C37" i="8"/>
  <c r="F37" i="8" s="1"/>
  <c r="E83" i="8"/>
  <c r="C20" i="8"/>
  <c r="F20" i="8" s="1"/>
  <c r="E66" i="8"/>
  <c r="E73" i="8"/>
  <c r="E57" i="8"/>
  <c r="E49" i="8"/>
  <c r="D18" i="8"/>
  <c r="D66" i="8"/>
  <c r="C27" i="8"/>
  <c r="F27" i="8" s="1"/>
  <c r="D73" i="8"/>
  <c r="E32" i="8"/>
  <c r="C49" i="8"/>
  <c r="F49" i="8" s="1"/>
  <c r="D72" i="8"/>
  <c r="E31" i="8"/>
  <c r="D31" i="8"/>
  <c r="E54" i="8"/>
  <c r="C55" i="8"/>
  <c r="F55" i="8" s="1"/>
  <c r="D78" i="8"/>
  <c r="E37" i="8"/>
  <c r="C38" i="8"/>
  <c r="F38" i="8" s="1"/>
  <c r="D61" i="8"/>
  <c r="E84" i="8"/>
  <c r="E20" i="8"/>
  <c r="C21" i="8"/>
  <c r="F21" i="8" s="1"/>
  <c r="D44" i="8"/>
  <c r="E67" i="8"/>
  <c r="D27" i="8"/>
  <c r="E50" i="8"/>
  <c r="D89" i="8"/>
  <c r="D24" i="8"/>
  <c r="E33" i="8"/>
  <c r="E88" i="8"/>
  <c r="E87" i="8"/>
  <c r="E46" i="8"/>
  <c r="C30" i="8"/>
  <c r="F30" i="8" s="1"/>
  <c r="E42" i="8"/>
  <c r="C85" i="8"/>
  <c r="F85" i="8" s="1"/>
  <c r="C84" i="8"/>
  <c r="F84" i="8" s="1"/>
  <c r="D42" i="8"/>
  <c r="C68" i="8"/>
  <c r="F68" i="8" s="1"/>
  <c r="C86" i="8"/>
  <c r="F86" i="8" s="1"/>
  <c r="E25" i="8"/>
  <c r="E81" i="8"/>
  <c r="D57" i="8"/>
  <c r="E80" i="8"/>
  <c r="E16" i="8"/>
  <c r="C33" i="8"/>
  <c r="F33" i="8" s="1"/>
  <c r="D56" i="8"/>
  <c r="E79" i="8"/>
  <c r="E15" i="8"/>
  <c r="D79" i="8"/>
  <c r="D15" i="8"/>
  <c r="E38" i="8"/>
  <c r="C39" i="8"/>
  <c r="F39" i="8" s="1"/>
  <c r="D62" i="8"/>
  <c r="E85" i="8"/>
  <c r="E21" i="8"/>
  <c r="C22" i="8"/>
  <c r="F22" i="8" s="1"/>
  <c r="D45" i="8"/>
  <c r="E68" i="8"/>
  <c r="D28" i="8"/>
  <c r="E51" i="8"/>
  <c r="C52" i="8"/>
  <c r="F52" i="8" s="1"/>
  <c r="D75" i="8"/>
  <c r="E34" i="8"/>
  <c r="C70" i="8"/>
  <c r="F70" i="8" s="1"/>
  <c r="C24" i="8"/>
  <c r="F24" i="8" s="1"/>
  <c r="C77" i="8"/>
  <c r="F77" i="8" s="1"/>
  <c r="E89" i="8"/>
  <c r="E24" i="8"/>
  <c r="E23" i="8"/>
  <c r="D23" i="8"/>
  <c r="E29" i="8"/>
  <c r="D36" i="8"/>
  <c r="D83" i="8"/>
  <c r="C87" i="8"/>
  <c r="F87" i="8" s="1"/>
  <c r="C78" i="8"/>
  <c r="F78" i="8" s="1"/>
  <c r="C76" i="8"/>
  <c r="F76" i="8" s="1"/>
  <c r="C75" i="8"/>
  <c r="F75" i="8" s="1"/>
  <c r="C83" i="8"/>
  <c r="F83" i="8" s="1"/>
  <c r="C82" i="8"/>
  <c r="F82" i="8" s="1"/>
  <c r="C89" i="8"/>
  <c r="F89" i="8" s="1"/>
  <c r="C19" i="8"/>
  <c r="F19" i="8" s="1"/>
  <c r="E17" i="8"/>
  <c r="D49" i="8"/>
  <c r="E72" i="8"/>
  <c r="C25" i="8"/>
  <c r="F25" i="8" s="1"/>
  <c r="D48" i="8"/>
  <c r="E71" i="8"/>
  <c r="D71" i="8"/>
  <c r="E30" i="8"/>
  <c r="C31" i="8"/>
  <c r="F31" i="8" s="1"/>
  <c r="D54" i="8"/>
  <c r="E77" i="8"/>
  <c r="D37" i="8"/>
  <c r="E60" i="8"/>
  <c r="C61" i="8"/>
  <c r="F61" i="8" s="1"/>
  <c r="D84" i="8"/>
  <c r="D20" i="8"/>
  <c r="E43" i="8"/>
  <c r="C44" i="8"/>
  <c r="F44" i="8" s="1"/>
  <c r="D67" i="8"/>
  <c r="E26" i="8"/>
  <c r="D25" i="8"/>
  <c r="E70" i="8"/>
  <c r="E41" i="8"/>
  <c r="D65" i="8"/>
  <c r="D64" i="8"/>
  <c r="C47" i="8"/>
  <c r="F47" i="8" s="1"/>
  <c r="E76" i="8"/>
  <c r="D19" i="8"/>
  <c r="C69" i="8"/>
  <c r="F69" i="8" s="1"/>
  <c r="C66" i="8"/>
  <c r="F66" i="8" s="1"/>
  <c r="C74" i="8"/>
  <c r="F74" i="8" s="1"/>
  <c r="C72" i="8"/>
  <c r="F72" i="8" s="1"/>
  <c r="C80" i="8"/>
  <c r="F80" i="8" s="1"/>
  <c r="C88" i="8"/>
  <c r="F88" i="8" s="1"/>
  <c r="C18" i="8"/>
  <c r="F18" i="8" s="1"/>
  <c r="D41" i="8"/>
  <c r="E64" i="8"/>
  <c r="C81" i="8"/>
  <c r="F81" i="8" s="1"/>
  <c r="C17" i="8"/>
  <c r="F17" i="8" s="1"/>
  <c r="D40" i="8"/>
  <c r="E63" i="8"/>
  <c r="C40" i="8"/>
  <c r="F40" i="8" s="1"/>
  <c r="D63" i="8"/>
  <c r="E86" i="8"/>
  <c r="E22" i="8"/>
  <c r="C23" i="8"/>
  <c r="F23" i="8" s="1"/>
  <c r="D46" i="8"/>
  <c r="E69" i="8"/>
  <c r="D29" i="8"/>
  <c r="E52" i="8"/>
  <c r="C53" i="8"/>
  <c r="F53" i="8" s="1"/>
  <c r="D76" i="8"/>
  <c r="E35" i="8"/>
  <c r="C36" i="8"/>
  <c r="F36" i="8" s="1"/>
  <c r="D59" i="8"/>
  <c r="E82" i="8"/>
  <c r="E18" i="8"/>
  <c r="C35" i="8"/>
  <c r="F35" i="8" s="1"/>
  <c r="C65" i="8"/>
  <c r="F65" i="8" s="1"/>
  <c r="E47" i="8"/>
  <c r="C50" i="8"/>
  <c r="F50" i="8" s="1"/>
  <c r="D58" i="8"/>
  <c r="C41" i="8"/>
  <c r="F41" i="8" s="1"/>
  <c r="D87" i="8"/>
  <c r="D70" i="8"/>
  <c r="D53" i="8"/>
  <c r="E59" i="8"/>
  <c r="C67" i="8"/>
  <c r="F67" i="8" s="1"/>
  <c r="C51" i="8"/>
  <c r="F51" i="8" s="1"/>
  <c r="C48" i="8"/>
  <c r="F48" i="8" s="1"/>
  <c r="C43" i="8"/>
  <c r="F43" i="8" s="1"/>
  <c r="C64" i="8"/>
  <c r="F64" i="8" s="1"/>
  <c r="C59" i="8"/>
  <c r="F59" i="8" s="1"/>
  <c r="C71" i="8"/>
  <c r="F71" i="8" s="1"/>
  <c r="C79" i="8"/>
  <c r="F79" i="8" s="1"/>
  <c r="D33" i="8"/>
  <c r="E56" i="8"/>
  <c r="C73" i="8"/>
  <c r="F73" i="8" s="1"/>
  <c r="D32" i="8"/>
  <c r="E55" i="8"/>
  <c r="C32" i="8"/>
  <c r="F32" i="8" s="1"/>
  <c r="D55" i="8"/>
  <c r="E78" i="8"/>
  <c r="C15" i="8"/>
  <c r="F15" i="8" s="1"/>
  <c r="D38" i="8"/>
  <c r="E61" i="8"/>
  <c r="C62" i="8"/>
  <c r="F62" i="8" s="1"/>
  <c r="D85" i="8"/>
  <c r="D21" i="8"/>
  <c r="E44" i="8"/>
  <c r="C45" i="8"/>
  <c r="F45" i="8" s="1"/>
  <c r="D68" i="8"/>
  <c r="E27" i="8"/>
  <c r="C28" i="8"/>
  <c r="F28" i="8" s="1"/>
  <c r="D51" i="8"/>
  <c r="F248" i="8"/>
  <c r="C248" i="8"/>
  <c r="D248" i="8"/>
  <c r="F249" i="8"/>
  <c r="C249" i="8"/>
  <c r="D249" i="8"/>
  <c r="F247" i="8"/>
  <c r="E247" i="8"/>
  <c r="C247" i="8"/>
  <c r="D247" i="8"/>
  <c r="C246" i="8"/>
  <c r="F246" i="8"/>
  <c r="E246" i="8"/>
  <c r="D246" i="8"/>
  <c r="F250" i="8"/>
  <c r="C250" i="8"/>
  <c r="D250" i="8"/>
  <c r="F251" i="8"/>
  <c r="C251" i="8"/>
  <c r="D251" i="8"/>
  <c r="F2" i="8"/>
  <c r="E2" i="6"/>
  <c r="C108" i="5" s="1"/>
  <c r="B108" i="5" s="1"/>
  <c r="A115" i="5" s="1"/>
  <c r="A113" i="5" l="1"/>
  <c r="A112" i="5"/>
  <c r="A114" i="5"/>
  <c r="C62" i="7"/>
  <c r="C61" i="7"/>
  <c r="A117" i="5"/>
  <c r="A109" i="5"/>
  <c r="A110" i="5"/>
  <c r="A116" i="5"/>
  <c r="A111" i="5"/>
  <c r="A108" i="5"/>
  <c r="C7" i="7"/>
  <c r="C11" i="7"/>
  <c r="C53" i="7"/>
  <c r="C46" i="7"/>
  <c r="C4" i="7"/>
  <c r="C19" i="7"/>
  <c r="C42" i="7"/>
  <c r="C49" i="7"/>
  <c r="C66" i="7"/>
  <c r="C45" i="7"/>
  <c r="C60" i="7"/>
  <c r="C39" i="7"/>
  <c r="C34" i="7"/>
  <c r="C41" i="7"/>
  <c r="C56" i="7"/>
  <c r="C37" i="7"/>
  <c r="C52" i="7"/>
  <c r="C38" i="7"/>
  <c r="C55" i="7"/>
  <c r="C26" i="7"/>
  <c r="C33" i="7"/>
  <c r="C48" i="7"/>
  <c r="C65" i="7"/>
  <c r="C29" i="7"/>
  <c r="C44" i="7"/>
  <c r="C59" i="7"/>
  <c r="C23" i="7"/>
  <c r="C18" i="7"/>
  <c r="C25" i="7"/>
  <c r="C40" i="7"/>
  <c r="C21" i="7"/>
  <c r="C36" i="7"/>
  <c r="C51" i="7"/>
  <c r="C54" i="7"/>
  <c r="C10" i="7"/>
  <c r="C17" i="7"/>
  <c r="C32" i="7"/>
  <c r="C64" i="7"/>
  <c r="C13" i="7"/>
  <c r="C28" i="7"/>
  <c r="C43" i="7"/>
  <c r="C30" i="7"/>
  <c r="C31" i="7"/>
  <c r="C9" i="7"/>
  <c r="C24" i="7"/>
  <c r="C6" i="7"/>
  <c r="C5" i="7"/>
  <c r="C20" i="7"/>
  <c r="C35" i="7"/>
  <c r="C58" i="7"/>
  <c r="C22" i="7"/>
  <c r="C15" i="7"/>
  <c r="C16" i="7"/>
  <c r="C63" i="7"/>
  <c r="C47" i="7"/>
  <c r="C12" i="7"/>
  <c r="C27" i="7"/>
  <c r="C50" i="7"/>
  <c r="C57" i="7"/>
  <c r="C14" i="7"/>
  <c r="C8" i="7"/>
  <c r="C3" i="7"/>
  <c r="A89" i="8"/>
  <c r="T72" i="7" l="1"/>
  <c r="T73" i="7" s="1"/>
  <c r="D245" i="8"/>
  <c r="B12" i="1" s="1"/>
  <c r="A12" i="1" s="1"/>
  <c r="D238" i="8"/>
  <c r="B5" i="1" s="1"/>
  <c r="D243" i="8"/>
  <c r="B10" i="1" s="1"/>
  <c r="A10" i="1" s="1"/>
  <c r="D240" i="8"/>
  <c r="B7" i="1" s="1"/>
  <c r="D244" i="8"/>
  <c r="B11" i="1" s="1"/>
  <c r="A11" i="1" s="1"/>
  <c r="D242" i="8"/>
  <c r="B9" i="1" s="1"/>
  <c r="A9" i="1" s="1"/>
  <c r="D237" i="8"/>
  <c r="B4" i="1" s="1"/>
  <c r="A4" i="1" s="1"/>
  <c r="D241" i="8"/>
  <c r="B8" i="1" s="1"/>
  <c r="D239" i="8"/>
  <c r="B6" i="1" s="1"/>
  <c r="A111" i="8"/>
  <c r="A112" i="8"/>
  <c r="A113" i="8"/>
  <c r="A114" i="8"/>
  <c r="A115" i="8"/>
  <c r="A117" i="8"/>
  <c r="A116" i="8"/>
  <c r="A110" i="8"/>
  <c r="A118" i="8"/>
  <c r="W72" i="7"/>
  <c r="W73" i="7" s="1"/>
  <c r="X72" i="7"/>
  <c r="X73" i="7" s="1"/>
  <c r="V72" i="7"/>
  <c r="V73" i="7" s="1"/>
  <c r="A91" i="8"/>
  <c r="A99" i="8"/>
  <c r="A107" i="8"/>
  <c r="A92" i="8"/>
  <c r="A100" i="8"/>
  <c r="A108" i="8"/>
  <c r="A93" i="8"/>
  <c r="A101" i="8"/>
  <c r="A109" i="8"/>
  <c r="A103" i="8"/>
  <c r="A94" i="8"/>
  <c r="A102" i="8"/>
  <c r="A95" i="8"/>
  <c r="A96" i="8"/>
  <c r="A104" i="8"/>
  <c r="A97" i="8"/>
  <c r="A105" i="8"/>
  <c r="A98" i="8"/>
  <c r="A106" i="8"/>
  <c r="R72" i="7"/>
  <c r="R73" i="7" s="1"/>
  <c r="E72" i="7"/>
  <c r="E73" i="7" s="1"/>
  <c r="AB72" i="7"/>
  <c r="AB73" i="7" s="1"/>
  <c r="AA72" i="7"/>
  <c r="AA73" i="7" s="1"/>
  <c r="Q72" i="7"/>
  <c r="Q73" i="7" s="1"/>
  <c r="D236" i="8"/>
  <c r="C3" i="1" s="1"/>
  <c r="AC72" i="7"/>
  <c r="AC73" i="7" s="1"/>
  <c r="AD72" i="7"/>
  <c r="AD73" i="7" s="1"/>
  <c r="AE72" i="7"/>
  <c r="AE73" i="7" s="1"/>
  <c r="AF72" i="7"/>
  <c r="AF73" i="7" s="1"/>
  <c r="AG72" i="7"/>
  <c r="AG73" i="7" s="1"/>
  <c r="Z72" i="7"/>
  <c r="Z73" i="7" s="1"/>
  <c r="N72" i="7"/>
  <c r="N73" i="7" s="1"/>
  <c r="A90" i="8"/>
  <c r="D119" i="8" s="1"/>
  <c r="U72" i="7"/>
  <c r="U73" i="7" s="1"/>
  <c r="K72" i="7"/>
  <c r="K73" i="7" s="1"/>
  <c r="I72" i="7"/>
  <c r="I73" i="7" s="1"/>
  <c r="Y72" i="7"/>
  <c r="Y73" i="7" s="1"/>
  <c r="J72" i="7"/>
  <c r="J73" i="7" s="1"/>
  <c r="D72" i="7"/>
  <c r="D73" i="7" s="1"/>
  <c r="O72" i="7"/>
  <c r="O73" i="7" s="1"/>
  <c r="G72" i="7"/>
  <c r="G73" i="7" s="1"/>
  <c r="P72" i="7"/>
  <c r="P73" i="7" s="1"/>
  <c r="L72" i="7"/>
  <c r="L73" i="7" s="1"/>
  <c r="H72" i="7"/>
  <c r="H73" i="7" s="1"/>
  <c r="M72" i="7"/>
  <c r="M73" i="7" s="1"/>
  <c r="S72" i="7"/>
  <c r="S73" i="7" s="1"/>
  <c r="F72" i="7"/>
  <c r="F73" i="7" s="1"/>
  <c r="D229" i="8" l="1"/>
  <c r="C125" i="1" s="1"/>
  <c r="F225" i="8"/>
  <c r="E121" i="1" s="1"/>
  <c r="F223" i="8"/>
  <c r="E119" i="1" s="1"/>
  <c r="E235" i="8"/>
  <c r="C231" i="8"/>
  <c r="F230" i="8"/>
  <c r="E126" i="1" s="1"/>
  <c r="F222" i="8"/>
  <c r="E118" i="1" s="1"/>
  <c r="C229" i="8"/>
  <c r="E225" i="8"/>
  <c r="C223" i="8"/>
  <c r="D235" i="8"/>
  <c r="C131" i="1" s="1"/>
  <c r="F231" i="8"/>
  <c r="E127" i="1" s="1"/>
  <c r="C230" i="8"/>
  <c r="C222" i="8"/>
  <c r="E229" i="8"/>
  <c r="C225" i="8"/>
  <c r="D223" i="8"/>
  <c r="C119" i="1" s="1"/>
  <c r="F235" i="8"/>
  <c r="E131" i="1" s="1"/>
  <c r="D231" i="8"/>
  <c r="C127" i="1" s="1"/>
  <c r="D230" i="8"/>
  <c r="C126" i="1" s="1"/>
  <c r="D222" i="8"/>
  <c r="C118" i="1" s="1"/>
  <c r="F229" i="8"/>
  <c r="E125" i="1" s="1"/>
  <c r="D225" i="8"/>
  <c r="C121" i="1" s="1"/>
  <c r="E223" i="8"/>
  <c r="C235" i="8"/>
  <c r="E231" i="8"/>
  <c r="E230" i="8"/>
  <c r="E222" i="8"/>
  <c r="E233" i="8"/>
  <c r="C221" i="8"/>
  <c r="C220" i="8"/>
  <c r="E219" i="8"/>
  <c r="E224" i="8"/>
  <c r="E232" i="8"/>
  <c r="D227" i="8"/>
  <c r="C123" i="1" s="1"/>
  <c r="D234" i="8"/>
  <c r="C130" i="1" s="1"/>
  <c r="C228" i="8"/>
  <c r="D226" i="8"/>
  <c r="C122" i="1" s="1"/>
  <c r="F233" i="8"/>
  <c r="E129" i="1" s="1"/>
  <c r="D221" i="8"/>
  <c r="C117" i="1" s="1"/>
  <c r="D220" i="8"/>
  <c r="C116" i="1" s="1"/>
  <c r="D219" i="8"/>
  <c r="C115" i="1" s="1"/>
  <c r="F224" i="8"/>
  <c r="E120" i="1" s="1"/>
  <c r="F232" i="8"/>
  <c r="E128" i="1" s="1"/>
  <c r="E227" i="8"/>
  <c r="E234" i="8"/>
  <c r="D228" i="8"/>
  <c r="C124" i="1" s="1"/>
  <c r="E226" i="8"/>
  <c r="C233" i="8"/>
  <c r="E221" i="8"/>
  <c r="E220" i="8"/>
  <c r="F219" i="8"/>
  <c r="E115" i="1" s="1"/>
  <c r="C224" i="8"/>
  <c r="C232" i="8"/>
  <c r="C227" i="8"/>
  <c r="F234" i="8"/>
  <c r="E130" i="1" s="1"/>
  <c r="E228" i="8"/>
  <c r="F226" i="8"/>
  <c r="E122" i="1" s="1"/>
  <c r="D233" i="8"/>
  <c r="C129" i="1" s="1"/>
  <c r="F221" i="8"/>
  <c r="E117" i="1" s="1"/>
  <c r="F220" i="8"/>
  <c r="E116" i="1" s="1"/>
  <c r="C219" i="8"/>
  <c r="D224" i="8"/>
  <c r="C120" i="1" s="1"/>
  <c r="D232" i="8"/>
  <c r="C128" i="1" s="1"/>
  <c r="F227" i="8"/>
  <c r="E123" i="1" s="1"/>
  <c r="C234" i="8"/>
  <c r="F228" i="8"/>
  <c r="E124" i="1" s="1"/>
  <c r="C226" i="8"/>
  <c r="C78" i="7" a="1"/>
  <c r="A5" i="1"/>
  <c r="A6" i="1"/>
  <c r="A7" i="1"/>
  <c r="C122" i="8"/>
  <c r="B18" i="1" s="1"/>
  <c r="A18" i="1" s="1"/>
  <c r="D129" i="8"/>
  <c r="C25" i="1" s="1"/>
  <c r="D124" i="8"/>
  <c r="C20" i="1" s="1"/>
  <c r="C128" i="8"/>
  <c r="B24" i="1" s="1"/>
  <c r="A24" i="1" s="1"/>
  <c r="C120" i="8"/>
  <c r="B16" i="1" s="1"/>
  <c r="A16" i="1" s="1"/>
  <c r="F123" i="8"/>
  <c r="E19" i="1" s="1"/>
  <c r="E126" i="8"/>
  <c r="D22" i="1" s="1"/>
  <c r="F124" i="8"/>
  <c r="E20" i="1" s="1"/>
  <c r="E122" i="8"/>
  <c r="D18" i="1" s="1"/>
  <c r="C129" i="8"/>
  <c r="B25" i="1" s="1"/>
  <c r="A25" i="1" s="1"/>
  <c r="C124" i="8"/>
  <c r="B20" i="1" s="1"/>
  <c r="A20" i="1" s="1"/>
  <c r="D128" i="8"/>
  <c r="C24" i="1" s="1"/>
  <c r="F121" i="8"/>
  <c r="E17" i="1" s="1"/>
  <c r="D120" i="8"/>
  <c r="C16" i="1" s="1"/>
  <c r="F122" i="8"/>
  <c r="E18" i="1" s="1"/>
  <c r="E129" i="8"/>
  <c r="D25" i="1" s="1"/>
  <c r="D121" i="8"/>
  <c r="C17" i="1" s="1"/>
  <c r="F127" i="8"/>
  <c r="E23" i="1" s="1"/>
  <c r="F125" i="8"/>
  <c r="E21" i="1" s="1"/>
  <c r="C121" i="8"/>
  <c r="B17" i="1" s="1"/>
  <c r="A17" i="1" s="1"/>
  <c r="E127" i="8"/>
  <c r="D23" i="1" s="1"/>
  <c r="D125" i="8"/>
  <c r="C21" i="1" s="1"/>
  <c r="E123" i="8"/>
  <c r="D19" i="1" s="1"/>
  <c r="F126" i="8"/>
  <c r="E22" i="1" s="1"/>
  <c r="E121" i="8"/>
  <c r="D17" i="1" s="1"/>
  <c r="F128" i="8"/>
  <c r="E24" i="1" s="1"/>
  <c r="F120" i="8"/>
  <c r="E16" i="1" s="1"/>
  <c r="C127" i="8"/>
  <c r="B23" i="1" s="1"/>
  <c r="A23" i="1" s="1"/>
  <c r="E125" i="8"/>
  <c r="D21" i="1" s="1"/>
  <c r="D123" i="8"/>
  <c r="C19" i="1" s="1"/>
  <c r="D126" i="8"/>
  <c r="C22" i="1" s="1"/>
  <c r="C125" i="8"/>
  <c r="B21" i="1" s="1"/>
  <c r="A21" i="1" s="1"/>
  <c r="D127" i="8"/>
  <c r="C23" i="1" s="1"/>
  <c r="D122" i="8"/>
  <c r="C18" i="1" s="1"/>
  <c r="F129" i="8"/>
  <c r="E25" i="1" s="1"/>
  <c r="C123" i="8"/>
  <c r="B19" i="1" s="1"/>
  <c r="A19" i="1" s="1"/>
  <c r="C126" i="8"/>
  <c r="B22" i="1" s="1"/>
  <c r="A22" i="1" s="1"/>
  <c r="E124" i="8"/>
  <c r="D20" i="1" s="1"/>
  <c r="E128" i="8"/>
  <c r="D24" i="1" s="1"/>
  <c r="E120" i="8"/>
  <c r="D16" i="1" s="1"/>
  <c r="A8" i="1"/>
  <c r="C15" i="1"/>
  <c r="E119" i="8"/>
  <c r="F119" i="8"/>
  <c r="E15" i="1" s="1"/>
  <c r="C119" i="8"/>
  <c r="I119" i="8" s="1"/>
  <c r="D95" i="7" l="1"/>
  <c r="D94" i="7"/>
  <c r="C78" i="7"/>
  <c r="D104" i="7"/>
  <c r="D105" i="7"/>
  <c r="D98" i="7"/>
  <c r="D106" i="7"/>
  <c r="D99" i="7"/>
  <c r="D107" i="7"/>
  <c r="D101" i="7"/>
  <c r="D100" i="7"/>
  <c r="D102" i="7"/>
  <c r="D103" i="7"/>
  <c r="B122" i="1"/>
  <c r="A122" i="1" s="1"/>
  <c r="I226" i="8"/>
  <c r="G226" i="8"/>
  <c r="D130" i="1"/>
  <c r="H234" i="8"/>
  <c r="J234" i="8"/>
  <c r="D115" i="1"/>
  <c r="H219" i="8"/>
  <c r="J219" i="8"/>
  <c r="D125" i="1"/>
  <c r="H229" i="8"/>
  <c r="J229" i="8"/>
  <c r="B127" i="1"/>
  <c r="A127" i="1" s="1"/>
  <c r="G231" i="8"/>
  <c r="I231" i="8"/>
  <c r="B120" i="1"/>
  <c r="A120" i="1" s="1"/>
  <c r="I224" i="8"/>
  <c r="G224" i="8"/>
  <c r="B130" i="1"/>
  <c r="A130" i="1" s="1"/>
  <c r="I234" i="8"/>
  <c r="G234" i="8"/>
  <c r="B124" i="1"/>
  <c r="A124" i="1" s="1"/>
  <c r="G228" i="8"/>
  <c r="I228" i="8"/>
  <c r="B117" i="1"/>
  <c r="A117" i="1" s="1"/>
  <c r="G221" i="8"/>
  <c r="I221" i="8"/>
  <c r="B118" i="1"/>
  <c r="A118" i="1" s="1"/>
  <c r="G222" i="8"/>
  <c r="I222" i="8"/>
  <c r="D121" i="1"/>
  <c r="H225" i="8"/>
  <c r="J225" i="8"/>
  <c r="D131" i="1"/>
  <c r="H235" i="8"/>
  <c r="J235" i="8"/>
  <c r="D122" i="1"/>
  <c r="H226" i="8"/>
  <c r="J226" i="8"/>
  <c r="D126" i="1"/>
  <c r="J230" i="8"/>
  <c r="H230" i="8"/>
  <c r="B119" i="1"/>
  <c r="A119" i="1" s="1"/>
  <c r="G223" i="8"/>
  <c r="I223" i="8"/>
  <c r="D116" i="1"/>
  <c r="J220" i="8"/>
  <c r="H220" i="8"/>
  <c r="D129" i="1"/>
  <c r="J233" i="8"/>
  <c r="H233" i="8"/>
  <c r="D119" i="1"/>
  <c r="H223" i="8"/>
  <c r="J223" i="8"/>
  <c r="B125" i="1"/>
  <c r="A125" i="1" s="1"/>
  <c r="G229" i="8"/>
  <c r="I229" i="8"/>
  <c r="B116" i="1"/>
  <c r="A116" i="1" s="1"/>
  <c r="G220" i="8"/>
  <c r="I220" i="8"/>
  <c r="D124" i="1"/>
  <c r="H228" i="8"/>
  <c r="J228" i="8"/>
  <c r="D117" i="1"/>
  <c r="J221" i="8"/>
  <c r="H221" i="8"/>
  <c r="D118" i="1"/>
  <c r="J222" i="8"/>
  <c r="H222" i="8"/>
  <c r="B126" i="1"/>
  <c r="A126" i="1" s="1"/>
  <c r="G230" i="8"/>
  <c r="I230" i="8"/>
  <c r="B123" i="1"/>
  <c r="A123" i="1" s="1"/>
  <c r="I227" i="8"/>
  <c r="G227" i="8"/>
  <c r="D123" i="1"/>
  <c r="H227" i="8"/>
  <c r="J227" i="8"/>
  <c r="B131" i="1"/>
  <c r="A131" i="1" s="1"/>
  <c r="I235" i="8"/>
  <c r="G235" i="8"/>
  <c r="B129" i="1"/>
  <c r="A129" i="1" s="1"/>
  <c r="I233" i="8"/>
  <c r="G233" i="8"/>
  <c r="D128" i="1"/>
  <c r="H232" i="8"/>
  <c r="J232" i="8"/>
  <c r="B115" i="1"/>
  <c r="A115" i="1" s="1"/>
  <c r="G219" i="8"/>
  <c r="I219" i="8"/>
  <c r="B128" i="1"/>
  <c r="A128" i="1" s="1"/>
  <c r="I232" i="8"/>
  <c r="G232" i="8"/>
  <c r="D120" i="1"/>
  <c r="J224" i="8"/>
  <c r="H224" i="8"/>
  <c r="D127" i="1"/>
  <c r="H231" i="8"/>
  <c r="J231" i="8"/>
  <c r="B121" i="1"/>
  <c r="A121" i="1" s="1"/>
  <c r="G225" i="8"/>
  <c r="I225" i="8"/>
  <c r="I120" i="8"/>
  <c r="J120" i="8" s="1"/>
  <c r="G120" i="8"/>
  <c r="H120" i="8" s="1"/>
  <c r="G122" i="8"/>
  <c r="H122" i="8" s="1"/>
  <c r="I122" i="8"/>
  <c r="J122" i="8" s="1"/>
  <c r="I127" i="8"/>
  <c r="J127" i="8" s="1"/>
  <c r="G127" i="8"/>
  <c r="H127" i="8" s="1"/>
  <c r="G124" i="8"/>
  <c r="H124" i="8" s="1"/>
  <c r="I124" i="8"/>
  <c r="J124" i="8" s="1"/>
  <c r="I126" i="8"/>
  <c r="J126" i="8" s="1"/>
  <c r="G126" i="8"/>
  <c r="H126" i="8" s="1"/>
  <c r="I121" i="8"/>
  <c r="J121" i="8" s="1"/>
  <c r="G121" i="8"/>
  <c r="H121" i="8" s="1"/>
  <c r="I129" i="8"/>
  <c r="J129" i="8" s="1"/>
  <c r="G129" i="8"/>
  <c r="H129" i="8" s="1"/>
  <c r="I128" i="8"/>
  <c r="J128" i="8" s="1"/>
  <c r="G128" i="8"/>
  <c r="H128" i="8" s="1"/>
  <c r="G123" i="8"/>
  <c r="H123" i="8" s="1"/>
  <c r="I123" i="8"/>
  <c r="J123" i="8" s="1"/>
  <c r="G125" i="8"/>
  <c r="H125" i="8" s="1"/>
  <c r="I125" i="8"/>
  <c r="J125" i="8" s="1"/>
  <c r="D85" i="7"/>
  <c r="D93" i="7"/>
  <c r="D86" i="7"/>
  <c r="D83" i="7"/>
  <c r="D79" i="7"/>
  <c r="D87" i="7"/>
  <c r="D96" i="7"/>
  <c r="D91" i="7"/>
  <c r="D84" i="7"/>
  <c r="D80" i="7"/>
  <c r="D88" i="7"/>
  <c r="D97" i="7"/>
  <c r="D81" i="7"/>
  <c r="D89" i="7"/>
  <c r="D82" i="7"/>
  <c r="D90" i="7"/>
  <c r="D92" i="7"/>
  <c r="J119" i="8"/>
  <c r="G119" i="8"/>
  <c r="H119" i="8" s="1"/>
  <c r="B15" i="1"/>
  <c r="A15" i="1" s="1"/>
  <c r="D15" i="1"/>
  <c r="D78" i="7" l="1"/>
  <c r="E93" i="7" s="1"/>
  <c r="E105" i="7" l="1"/>
  <c r="E103" i="7"/>
  <c r="E106" i="7"/>
  <c r="E107" i="7"/>
  <c r="E104" i="7"/>
  <c r="E102" i="7"/>
  <c r="E94" i="7"/>
  <c r="E95" i="7"/>
  <c r="E100" i="7"/>
  <c r="E101" i="7"/>
  <c r="E98" i="7"/>
  <c r="E99" i="7"/>
  <c r="E88" i="7"/>
  <c r="E89" i="7"/>
  <c r="E91" i="7"/>
  <c r="E92" i="7"/>
  <c r="E79" i="7"/>
  <c r="E80" i="7"/>
  <c r="E84" i="7"/>
  <c r="E83" i="7"/>
  <c r="E87" i="7"/>
  <c r="E82" i="7"/>
  <c r="E96" i="7"/>
  <c r="E81" i="7"/>
  <c r="E86" i="7"/>
  <c r="E85" i="7"/>
  <c r="E90" i="7"/>
  <c r="E97" i="7"/>
  <c r="E78" i="7"/>
  <c r="D90" i="8" s="1"/>
  <c r="D91" i="8" l="1"/>
  <c r="D99" i="8"/>
  <c r="D107" i="8"/>
  <c r="D115" i="8"/>
  <c r="C94" i="8"/>
  <c r="F94" i="8" s="1"/>
  <c r="C102" i="8"/>
  <c r="F102" i="8" s="1"/>
  <c r="C110" i="8"/>
  <c r="F110" i="8" s="1"/>
  <c r="C118" i="8"/>
  <c r="C92" i="8"/>
  <c r="F92" i="8" s="1"/>
  <c r="D92" i="8"/>
  <c r="D100" i="8"/>
  <c r="D108" i="8"/>
  <c r="D116" i="8"/>
  <c r="D216" i="8" s="1"/>
  <c r="C112" i="1" s="1"/>
  <c r="C95" i="8"/>
  <c r="F95" i="8" s="1"/>
  <c r="C103" i="8"/>
  <c r="F103" i="8" s="1"/>
  <c r="C111" i="8"/>
  <c r="F111" i="8" s="1"/>
  <c r="D113" i="8"/>
  <c r="D93" i="8"/>
  <c r="D101" i="8"/>
  <c r="D109" i="8"/>
  <c r="D117" i="8"/>
  <c r="D217" i="8" s="1"/>
  <c r="C113" i="1" s="1"/>
  <c r="C96" i="8"/>
  <c r="F96" i="8" s="1"/>
  <c r="C104" i="8"/>
  <c r="F104" i="8" s="1"/>
  <c r="C112" i="8"/>
  <c r="F112" i="8" s="1"/>
  <c r="C108" i="8"/>
  <c r="F108" i="8" s="1"/>
  <c r="D94" i="8"/>
  <c r="D102" i="8"/>
  <c r="D110" i="8"/>
  <c r="D118" i="8"/>
  <c r="D218" i="8" s="1"/>
  <c r="C114" i="1" s="1"/>
  <c r="C97" i="8"/>
  <c r="F97" i="8" s="1"/>
  <c r="C105" i="8"/>
  <c r="F105" i="8" s="1"/>
  <c r="C113" i="8"/>
  <c r="F113" i="8" s="1"/>
  <c r="C100" i="8"/>
  <c r="F100" i="8" s="1"/>
  <c r="C116" i="8"/>
  <c r="D95" i="8"/>
  <c r="D103" i="8"/>
  <c r="D111" i="8"/>
  <c r="C98" i="8"/>
  <c r="F98" i="8" s="1"/>
  <c r="C106" i="8"/>
  <c r="F106" i="8" s="1"/>
  <c r="C114" i="8"/>
  <c r="F114" i="8" s="1"/>
  <c r="C90" i="8"/>
  <c r="D97" i="8"/>
  <c r="D96" i="8"/>
  <c r="D104" i="8"/>
  <c r="D112" i="8"/>
  <c r="D208" i="8" s="1"/>
  <c r="C104" i="1" s="1"/>
  <c r="C91" i="8"/>
  <c r="F91" i="8" s="1"/>
  <c r="C99" i="8"/>
  <c r="F99" i="8" s="1"/>
  <c r="C107" i="8"/>
  <c r="F107" i="8" s="1"/>
  <c r="C115" i="8"/>
  <c r="F115" i="8" s="1"/>
  <c r="D98" i="8"/>
  <c r="D106" i="8"/>
  <c r="D114" i="8"/>
  <c r="C93" i="8"/>
  <c r="F93" i="8" s="1"/>
  <c r="C101" i="8"/>
  <c r="F101" i="8" s="1"/>
  <c r="C109" i="8"/>
  <c r="F109" i="8" s="1"/>
  <c r="C117" i="8"/>
  <c r="D105" i="8"/>
  <c r="E97" i="8" a="1"/>
  <c r="E97" i="8" s="1"/>
  <c r="E105" i="8" a="1"/>
  <c r="E105" i="8" s="1"/>
  <c r="E115" i="8" a="1"/>
  <c r="E115" i="8" s="1"/>
  <c r="E103" i="8" a="1"/>
  <c r="E103" i="8" s="1"/>
  <c r="E104" i="8" a="1"/>
  <c r="E104" i="8" s="1"/>
  <c r="E113" i="8" a="1"/>
  <c r="E113" i="8" s="1"/>
  <c r="E117" i="8" a="1"/>
  <c r="E117" i="8" s="1"/>
  <c r="E217" i="8" s="1"/>
  <c r="E110" i="8" a="1"/>
  <c r="E110" i="8" s="1"/>
  <c r="E111" i="8" a="1"/>
  <c r="E111" i="8" s="1"/>
  <c r="E93" i="8" a="1"/>
  <c r="E93" i="8" s="1"/>
  <c r="E95" i="8" a="1"/>
  <c r="E95" i="8" s="1"/>
  <c r="E118" i="8" a="1"/>
  <c r="E118" i="8" s="1"/>
  <c r="E218" i="8" s="1"/>
  <c r="E92" i="8" a="1"/>
  <c r="E92" i="8" s="1"/>
  <c r="E100" i="8" a="1"/>
  <c r="E100" i="8" s="1"/>
  <c r="E101" i="8" a="1"/>
  <c r="E101" i="8" s="1"/>
  <c r="E96" i="8" a="1"/>
  <c r="E96" i="8" s="1"/>
  <c r="E98" i="8" a="1"/>
  <c r="E98" i="8" s="1"/>
  <c r="E106" i="8" a="1"/>
  <c r="E106" i="8" s="1"/>
  <c r="E108" i="8" a="1"/>
  <c r="E108" i="8" s="1"/>
  <c r="E90" i="8" a="1"/>
  <c r="E90" i="8" s="1"/>
  <c r="E130" i="8" s="1"/>
  <c r="D26" i="1" s="1"/>
  <c r="E112" i="8" a="1"/>
  <c r="E112" i="8" s="1"/>
  <c r="E114" i="8" a="1"/>
  <c r="E114" i="8" s="1"/>
  <c r="E116" i="8" a="1"/>
  <c r="E116" i="8" s="1"/>
  <c r="E109" i="8" a="1"/>
  <c r="E109" i="8" s="1"/>
  <c r="E94" i="8" a="1"/>
  <c r="E94" i="8" s="1"/>
  <c r="E102" i="8" a="1"/>
  <c r="E102" i="8" s="1"/>
  <c r="E99" i="8" a="1"/>
  <c r="E99" i="8" s="1"/>
  <c r="E107" i="8" a="1"/>
  <c r="E107" i="8" s="1"/>
  <c r="E91" i="8" a="1"/>
  <c r="E91" i="8" s="1"/>
  <c r="D213" i="8"/>
  <c r="C109" i="1" s="1"/>
  <c r="D212" i="8"/>
  <c r="C108" i="1" s="1"/>
  <c r="E194" i="8" l="1"/>
  <c r="D90" i="1" s="1"/>
  <c r="E208" i="8"/>
  <c r="D104" i="1" s="1"/>
  <c r="C215" i="8"/>
  <c r="B111" i="1" s="1"/>
  <c r="A111" i="1" s="1"/>
  <c r="C218" i="8"/>
  <c r="E212" i="8"/>
  <c r="D108" i="1" s="1"/>
  <c r="E216" i="8"/>
  <c r="F117" i="8"/>
  <c r="F217" i="8" s="1"/>
  <c r="E113" i="1" s="1"/>
  <c r="C217" i="8"/>
  <c r="D114" i="1"/>
  <c r="H218" i="8"/>
  <c r="J218" i="8"/>
  <c r="D113" i="1"/>
  <c r="H217" i="8"/>
  <c r="J217" i="8"/>
  <c r="F116" i="8"/>
  <c r="F216" i="8" s="1"/>
  <c r="E112" i="1" s="1"/>
  <c r="C216" i="8"/>
  <c r="E213" i="8"/>
  <c r="D109" i="1" s="1"/>
  <c r="D214" i="8"/>
  <c r="C110" i="1" s="1"/>
  <c r="D215" i="8"/>
  <c r="C111" i="1" s="1"/>
  <c r="E214" i="8"/>
  <c r="D110" i="1" s="1"/>
  <c r="E215" i="8"/>
  <c r="F118" i="8"/>
  <c r="F218" i="8" s="1"/>
  <c r="E114" i="1" s="1"/>
  <c r="C214" i="8"/>
  <c r="C131" i="8"/>
  <c r="B27" i="1" s="1"/>
  <c r="A27" i="1" s="1"/>
  <c r="E135" i="8"/>
  <c r="D31" i="1" s="1"/>
  <c r="E134" i="8"/>
  <c r="D30" i="1" s="1"/>
  <c r="D134" i="8"/>
  <c r="C30" i="1" s="1"/>
  <c r="D135" i="8"/>
  <c r="C31" i="1" s="1"/>
  <c r="D132" i="8"/>
  <c r="C28" i="1" s="1"/>
  <c r="D139" i="8"/>
  <c r="C35" i="1" s="1"/>
  <c r="D133" i="8"/>
  <c r="C29" i="1" s="1"/>
  <c r="D137" i="8"/>
  <c r="C33" i="1" s="1"/>
  <c r="D131" i="8"/>
  <c r="C27" i="1" s="1"/>
  <c r="C139" i="8"/>
  <c r="B35" i="1" s="1"/>
  <c r="A35" i="1" s="1"/>
  <c r="C133" i="8"/>
  <c r="B29" i="1" s="1"/>
  <c r="A29" i="1" s="1"/>
  <c r="C141" i="8"/>
  <c r="B37" i="1" s="1"/>
  <c r="A37" i="1" s="1"/>
  <c r="C135" i="8"/>
  <c r="B31" i="1" s="1"/>
  <c r="A31" i="1" s="1"/>
  <c r="C138" i="8"/>
  <c r="B34" i="1" s="1"/>
  <c r="A34" i="1" s="1"/>
  <c r="C132" i="8"/>
  <c r="B28" i="1" s="1"/>
  <c r="A28" i="1" s="1"/>
  <c r="E139" i="8"/>
  <c r="D35" i="1" s="1"/>
  <c r="E133" i="8"/>
  <c r="D29" i="1" s="1"/>
  <c r="D136" i="8"/>
  <c r="C32" i="1" s="1"/>
  <c r="D130" i="8"/>
  <c r="C26" i="1" s="1"/>
  <c r="C136" i="8"/>
  <c r="B32" i="1" s="1"/>
  <c r="A32" i="1" s="1"/>
  <c r="C130" i="8"/>
  <c r="B26" i="1" s="1"/>
  <c r="A26" i="1" s="1"/>
  <c r="E138" i="8"/>
  <c r="D34" i="1" s="1"/>
  <c r="E132" i="8"/>
  <c r="D28" i="1" s="1"/>
  <c r="E137" i="8"/>
  <c r="D33" i="1" s="1"/>
  <c r="E131" i="8"/>
  <c r="D27" i="1" s="1"/>
  <c r="C140" i="8"/>
  <c r="B36" i="1" s="1"/>
  <c r="A36" i="1" s="1"/>
  <c r="C134" i="8"/>
  <c r="B30" i="1" s="1"/>
  <c r="A30" i="1" s="1"/>
  <c r="D151" i="8"/>
  <c r="C47" i="1" s="1"/>
  <c r="E148" i="8"/>
  <c r="D44" i="1" s="1"/>
  <c r="E140" i="8"/>
  <c r="D36" i="1" s="1"/>
  <c r="D146" i="8"/>
  <c r="C42" i="1" s="1"/>
  <c r="D138" i="8"/>
  <c r="C34" i="1" s="1"/>
  <c r="D148" i="8"/>
  <c r="C44" i="1" s="1"/>
  <c r="D140" i="8"/>
  <c r="C36" i="1" s="1"/>
  <c r="C143" i="8"/>
  <c r="B39" i="1" s="1"/>
  <c r="A39" i="1" s="1"/>
  <c r="C137" i="8"/>
  <c r="B33" i="1" s="1"/>
  <c r="A33" i="1" s="1"/>
  <c r="E149" i="8"/>
  <c r="D45" i="1" s="1"/>
  <c r="E141" i="8"/>
  <c r="D37" i="1" s="1"/>
  <c r="D149" i="8"/>
  <c r="C45" i="1" s="1"/>
  <c r="D141" i="8"/>
  <c r="C37" i="1" s="1"/>
  <c r="D150" i="8"/>
  <c r="C46" i="1" s="1"/>
  <c r="E142" i="8"/>
  <c r="D38" i="1" s="1"/>
  <c r="E136" i="8"/>
  <c r="D32" i="1" s="1"/>
  <c r="D155" i="8"/>
  <c r="C51" i="1" s="1"/>
  <c r="E154" i="8"/>
  <c r="D50" i="1" s="1"/>
  <c r="E156" i="8"/>
  <c r="D52" i="1" s="1"/>
  <c r="E198" i="8"/>
  <c r="D94" i="1" s="1"/>
  <c r="C208" i="8"/>
  <c r="B104" i="1" s="1"/>
  <c r="A104" i="1" s="1"/>
  <c r="D197" i="8"/>
  <c r="C93" i="1" s="1"/>
  <c r="D198" i="8"/>
  <c r="C94" i="1" s="1"/>
  <c r="C197" i="8"/>
  <c r="B93" i="1" s="1"/>
  <c r="A93" i="1" s="1"/>
  <c r="E200" i="8"/>
  <c r="D96" i="1" s="1"/>
  <c r="D194" i="8"/>
  <c r="C90" i="1" s="1"/>
  <c r="E209" i="8"/>
  <c r="D105" i="1" s="1"/>
  <c r="C209" i="8"/>
  <c r="B105" i="1" s="1"/>
  <c r="A105" i="1" s="1"/>
  <c r="C210" i="8"/>
  <c r="B106" i="1" s="1"/>
  <c r="A106" i="1" s="1"/>
  <c r="C212" i="8"/>
  <c r="B108" i="1" s="1"/>
  <c r="A108" i="1" s="1"/>
  <c r="C211" i="8"/>
  <c r="B107" i="1" s="1"/>
  <c r="A107" i="1" s="1"/>
  <c r="C213" i="8"/>
  <c r="B109" i="1" s="1"/>
  <c r="A109" i="1" s="1"/>
  <c r="E206" i="8"/>
  <c r="D102" i="1" s="1"/>
  <c r="E210" i="8"/>
  <c r="D106" i="1" s="1"/>
  <c r="E193" i="8"/>
  <c r="D89" i="1" s="1"/>
  <c r="E195" i="8"/>
  <c r="D91" i="1" s="1"/>
  <c r="C198" i="8"/>
  <c r="D207" i="8"/>
  <c r="C103" i="1" s="1"/>
  <c r="D211" i="8"/>
  <c r="C107" i="1" s="1"/>
  <c r="E192" i="8"/>
  <c r="D88" i="1" s="1"/>
  <c r="C193" i="8"/>
  <c r="D199" i="8"/>
  <c r="C95" i="1" s="1"/>
  <c r="D205" i="8"/>
  <c r="C101" i="1" s="1"/>
  <c r="D209" i="8"/>
  <c r="C105" i="1" s="1"/>
  <c r="D206" i="8"/>
  <c r="C102" i="1" s="1"/>
  <c r="D210" i="8"/>
  <c r="C106" i="1" s="1"/>
  <c r="C196" i="8"/>
  <c r="B92" i="1" s="1"/>
  <c r="A92" i="1" s="1"/>
  <c r="E207" i="8"/>
  <c r="D103" i="1" s="1"/>
  <c r="E211" i="8"/>
  <c r="D107" i="1" s="1"/>
  <c r="E197" i="8"/>
  <c r="D93" i="1" s="1"/>
  <c r="E202" i="8"/>
  <c r="D98" i="1" s="1"/>
  <c r="E205" i="8"/>
  <c r="D101" i="1" s="1"/>
  <c r="D200" i="8"/>
  <c r="C96" i="1" s="1"/>
  <c r="C200" i="8"/>
  <c r="B96" i="1" s="1"/>
  <c r="A96" i="1" s="1"/>
  <c r="C201" i="8"/>
  <c r="B97" i="1" s="1"/>
  <c r="A97" i="1" s="1"/>
  <c r="D195" i="8"/>
  <c r="C91" i="1" s="1"/>
  <c r="E196" i="8"/>
  <c r="D92" i="1" s="1"/>
  <c r="C192" i="8"/>
  <c r="B88" i="1" s="1"/>
  <c r="A88" i="1" s="1"/>
  <c r="C202" i="8"/>
  <c r="B98" i="1" s="1"/>
  <c r="A98" i="1" s="1"/>
  <c r="C205" i="8"/>
  <c r="B101" i="1" s="1"/>
  <c r="A101" i="1" s="1"/>
  <c r="C203" i="8"/>
  <c r="B99" i="1" s="1"/>
  <c r="A99" i="1" s="1"/>
  <c r="C206" i="8"/>
  <c r="B102" i="1" s="1"/>
  <c r="A102" i="1" s="1"/>
  <c r="D196" i="8"/>
  <c r="C92" i="1" s="1"/>
  <c r="D192" i="8"/>
  <c r="C88" i="1" s="1"/>
  <c r="D201" i="8"/>
  <c r="C97" i="1" s="1"/>
  <c r="C194" i="8"/>
  <c r="B90" i="1" s="1"/>
  <c r="A90" i="1" s="1"/>
  <c r="C204" i="8"/>
  <c r="B100" i="1" s="1"/>
  <c r="A100" i="1" s="1"/>
  <c r="C207" i="8"/>
  <c r="B103" i="1" s="1"/>
  <c r="A103" i="1" s="1"/>
  <c r="E199" i="8"/>
  <c r="D95" i="1" s="1"/>
  <c r="C195" i="8"/>
  <c r="B91" i="1" s="1"/>
  <c r="A91" i="1" s="1"/>
  <c r="C199" i="8"/>
  <c r="B95" i="1" s="1"/>
  <c r="A95" i="1" s="1"/>
  <c r="D193" i="8"/>
  <c r="C89" i="1" s="1"/>
  <c r="E190" i="8"/>
  <c r="D86" i="1" s="1"/>
  <c r="E203" i="8"/>
  <c r="D99" i="1" s="1"/>
  <c r="E188" i="8"/>
  <c r="D84" i="1" s="1"/>
  <c r="E201" i="8"/>
  <c r="D97" i="1" s="1"/>
  <c r="D191" i="8"/>
  <c r="C87" i="1" s="1"/>
  <c r="D204" i="8"/>
  <c r="C100" i="1" s="1"/>
  <c r="D189" i="8"/>
  <c r="C85" i="1" s="1"/>
  <c r="D202" i="8"/>
  <c r="C98" i="1" s="1"/>
  <c r="D190" i="8"/>
  <c r="C86" i="1" s="1"/>
  <c r="D203" i="8"/>
  <c r="C99" i="1" s="1"/>
  <c r="E191" i="8"/>
  <c r="D87" i="1" s="1"/>
  <c r="E204" i="8"/>
  <c r="D100" i="1" s="1"/>
  <c r="C171" i="8"/>
  <c r="B67" i="1" s="1"/>
  <c r="A67" i="1" s="1"/>
  <c r="E185" i="8"/>
  <c r="D81" i="1" s="1"/>
  <c r="E189" i="8"/>
  <c r="D85" i="1" s="1"/>
  <c r="D179" i="8"/>
  <c r="C75" i="1" s="1"/>
  <c r="C184" i="8"/>
  <c r="B80" i="1" s="1"/>
  <c r="A80" i="1" s="1"/>
  <c r="C188" i="8"/>
  <c r="B84" i="1" s="1"/>
  <c r="A84" i="1" s="1"/>
  <c r="C185" i="8"/>
  <c r="B81" i="1" s="1"/>
  <c r="A81" i="1" s="1"/>
  <c r="C189" i="8"/>
  <c r="B85" i="1" s="1"/>
  <c r="A85" i="1" s="1"/>
  <c r="C186" i="8"/>
  <c r="B82" i="1" s="1"/>
  <c r="A82" i="1" s="1"/>
  <c r="C190" i="8"/>
  <c r="B86" i="1" s="1"/>
  <c r="A86" i="1" s="1"/>
  <c r="D184" i="8"/>
  <c r="C80" i="1" s="1"/>
  <c r="D188" i="8"/>
  <c r="C84" i="1" s="1"/>
  <c r="C187" i="8"/>
  <c r="B83" i="1" s="1"/>
  <c r="A83" i="1" s="1"/>
  <c r="C191" i="8"/>
  <c r="B87" i="1" s="1"/>
  <c r="A87" i="1" s="1"/>
  <c r="E182" i="8"/>
  <c r="D78" i="1" s="1"/>
  <c r="E186" i="8"/>
  <c r="D82" i="1" s="1"/>
  <c r="E180" i="8"/>
  <c r="D76" i="1" s="1"/>
  <c r="E184" i="8"/>
  <c r="D80" i="1" s="1"/>
  <c r="D183" i="8"/>
  <c r="C79" i="1" s="1"/>
  <c r="D187" i="8"/>
  <c r="C83" i="1" s="1"/>
  <c r="D173" i="8"/>
  <c r="C69" i="1" s="1"/>
  <c r="E179" i="8"/>
  <c r="D75" i="1" s="1"/>
  <c r="D181" i="8"/>
  <c r="C77" i="1" s="1"/>
  <c r="D185" i="8"/>
  <c r="C81" i="1" s="1"/>
  <c r="D182" i="8"/>
  <c r="C78" i="1" s="1"/>
  <c r="D186" i="8"/>
  <c r="C82" i="1" s="1"/>
  <c r="E183" i="8"/>
  <c r="D79" i="1" s="1"/>
  <c r="E187" i="8"/>
  <c r="D83" i="1" s="1"/>
  <c r="D160" i="8"/>
  <c r="C56" i="1" s="1"/>
  <c r="E176" i="8"/>
  <c r="D72" i="1" s="1"/>
  <c r="E181" i="8"/>
  <c r="D77" i="1" s="1"/>
  <c r="E161" i="8"/>
  <c r="D57" i="1" s="1"/>
  <c r="C172" i="8"/>
  <c r="B68" i="1" s="1"/>
  <c r="A68" i="1" s="1"/>
  <c r="C174" i="8"/>
  <c r="B70" i="1" s="1"/>
  <c r="A70" i="1" s="1"/>
  <c r="C179" i="8"/>
  <c r="B75" i="1" s="1"/>
  <c r="A75" i="1" s="1"/>
  <c r="C175" i="8"/>
  <c r="B71" i="1" s="1"/>
  <c r="A71" i="1" s="1"/>
  <c r="C180" i="8"/>
  <c r="B76" i="1" s="1"/>
  <c r="A76" i="1" s="1"/>
  <c r="C176" i="8"/>
  <c r="B72" i="1" s="1"/>
  <c r="A72" i="1" s="1"/>
  <c r="C181" i="8"/>
  <c r="B77" i="1" s="1"/>
  <c r="A77" i="1" s="1"/>
  <c r="C177" i="8"/>
  <c r="B73" i="1" s="1"/>
  <c r="A73" i="1" s="1"/>
  <c r="C182" i="8"/>
  <c r="B78" i="1" s="1"/>
  <c r="A78" i="1" s="1"/>
  <c r="D158" i="8"/>
  <c r="C54" i="1" s="1"/>
  <c r="D175" i="8"/>
  <c r="C71" i="1" s="1"/>
  <c r="D180" i="8"/>
  <c r="C76" i="1" s="1"/>
  <c r="C178" i="8"/>
  <c r="B74" i="1" s="1"/>
  <c r="A74" i="1" s="1"/>
  <c r="C183" i="8"/>
  <c r="B79" i="1" s="1"/>
  <c r="A79" i="1" s="1"/>
  <c r="E173" i="8"/>
  <c r="D69" i="1" s="1"/>
  <c r="C173" i="8"/>
  <c r="B69" i="1" s="1"/>
  <c r="A69" i="1" s="1"/>
  <c r="D159" i="8"/>
  <c r="C55" i="1" s="1"/>
  <c r="D156" i="8"/>
  <c r="C52" i="1" s="1"/>
  <c r="E155" i="8"/>
  <c r="D51" i="1" s="1"/>
  <c r="E162" i="8"/>
  <c r="D58" i="1" s="1"/>
  <c r="E153" i="8"/>
  <c r="D49" i="1" s="1"/>
  <c r="D154" i="8"/>
  <c r="C50" i="1" s="1"/>
  <c r="E167" i="8"/>
  <c r="D63" i="1" s="1"/>
  <c r="E175" i="8"/>
  <c r="D71" i="1" s="1"/>
  <c r="E169" i="8"/>
  <c r="D65" i="1" s="1"/>
  <c r="E177" i="8"/>
  <c r="D73" i="1" s="1"/>
  <c r="E163" i="8"/>
  <c r="D59" i="1" s="1"/>
  <c r="E171" i="8"/>
  <c r="D67" i="1" s="1"/>
  <c r="D164" i="8"/>
  <c r="C60" i="1" s="1"/>
  <c r="D172" i="8"/>
  <c r="C68" i="1" s="1"/>
  <c r="E159" i="8"/>
  <c r="D55" i="1" s="1"/>
  <c r="D170" i="8"/>
  <c r="C66" i="1" s="1"/>
  <c r="D178" i="8"/>
  <c r="C74" i="1" s="1"/>
  <c r="D166" i="8"/>
  <c r="C62" i="1" s="1"/>
  <c r="D174" i="8"/>
  <c r="C70" i="1" s="1"/>
  <c r="E164" i="8"/>
  <c r="D60" i="1" s="1"/>
  <c r="E172" i="8"/>
  <c r="D68" i="1" s="1"/>
  <c r="D163" i="8"/>
  <c r="C59" i="1" s="1"/>
  <c r="D171" i="8"/>
  <c r="C67" i="1" s="1"/>
  <c r="E152" i="8"/>
  <c r="D48" i="1" s="1"/>
  <c r="E166" i="8"/>
  <c r="D62" i="1" s="1"/>
  <c r="E174" i="8"/>
  <c r="D70" i="1" s="1"/>
  <c r="D168" i="8"/>
  <c r="C64" i="1" s="1"/>
  <c r="D176" i="8"/>
  <c r="C72" i="1" s="1"/>
  <c r="D169" i="8"/>
  <c r="C65" i="1" s="1"/>
  <c r="D177" i="8"/>
  <c r="C73" i="1" s="1"/>
  <c r="E170" i="8"/>
  <c r="D66" i="1" s="1"/>
  <c r="E178" i="8"/>
  <c r="D74" i="1" s="1"/>
  <c r="D144" i="8"/>
  <c r="C40" i="1" s="1"/>
  <c r="D142" i="8"/>
  <c r="C38" i="1" s="1"/>
  <c r="D145" i="8"/>
  <c r="C41" i="1" s="1"/>
  <c r="D143" i="8"/>
  <c r="C39" i="1" s="1"/>
  <c r="E168" i="8"/>
  <c r="D64" i="1" s="1"/>
  <c r="D147" i="8"/>
  <c r="C43" i="1" s="1"/>
  <c r="E150" i="8"/>
  <c r="D46" i="1" s="1"/>
  <c r="E151" i="8"/>
  <c r="D47" i="1" s="1"/>
  <c r="D161" i="8"/>
  <c r="C57" i="1" s="1"/>
  <c r="E158" i="8"/>
  <c r="D54" i="1" s="1"/>
  <c r="D152" i="8"/>
  <c r="C48" i="1" s="1"/>
  <c r="D162" i="8"/>
  <c r="C58" i="1" s="1"/>
  <c r="E160" i="8"/>
  <c r="D56" i="1" s="1"/>
  <c r="D167" i="8"/>
  <c r="C63" i="1" s="1"/>
  <c r="E165" i="8"/>
  <c r="D61" i="1" s="1"/>
  <c r="D153" i="8"/>
  <c r="C49" i="1" s="1"/>
  <c r="E147" i="8"/>
  <c r="D43" i="1" s="1"/>
  <c r="D165" i="8"/>
  <c r="C61" i="1" s="1"/>
  <c r="C144" i="8"/>
  <c r="B40" i="1" s="1"/>
  <c r="A40" i="1" s="1"/>
  <c r="C142" i="8"/>
  <c r="B38" i="1" s="1"/>
  <c r="A38" i="1" s="1"/>
  <c r="E146" i="8"/>
  <c r="D42" i="1" s="1"/>
  <c r="E145" i="8"/>
  <c r="D41" i="1" s="1"/>
  <c r="E143" i="8"/>
  <c r="D39" i="1" s="1"/>
  <c r="E157" i="8"/>
  <c r="D53" i="1" s="1"/>
  <c r="D157" i="8"/>
  <c r="C53" i="1" s="1"/>
  <c r="C155" i="8"/>
  <c r="B51" i="1" s="1"/>
  <c r="A51" i="1" s="1"/>
  <c r="C153" i="8"/>
  <c r="B49" i="1" s="1"/>
  <c r="A49" i="1" s="1"/>
  <c r="C157" i="8"/>
  <c r="B53" i="1" s="1"/>
  <c r="A53" i="1" s="1"/>
  <c r="C164" i="8"/>
  <c r="B60" i="1" s="1"/>
  <c r="A60" i="1" s="1"/>
  <c r="C154" i="8"/>
  <c r="B50" i="1" s="1"/>
  <c r="A50" i="1" s="1"/>
  <c r="E144" i="8"/>
  <c r="D40" i="1" s="1"/>
  <c r="C166" i="8"/>
  <c r="B62" i="1" s="1"/>
  <c r="A62" i="1" s="1"/>
  <c r="C167" i="8"/>
  <c r="B63" i="1" s="1"/>
  <c r="A63" i="1" s="1"/>
  <c r="C147" i="8"/>
  <c r="B43" i="1" s="1"/>
  <c r="A43" i="1" s="1"/>
  <c r="C145" i="8"/>
  <c r="B41" i="1" s="1"/>
  <c r="A41" i="1" s="1"/>
  <c r="C149" i="8"/>
  <c r="B45" i="1" s="1"/>
  <c r="A45" i="1" s="1"/>
  <c r="C158" i="8"/>
  <c r="B54" i="1" s="1"/>
  <c r="A54" i="1" s="1"/>
  <c r="C168" i="8"/>
  <c r="B64" i="1" s="1"/>
  <c r="A64" i="1" s="1"/>
  <c r="F212" i="8"/>
  <c r="E108" i="1" s="1"/>
  <c r="C169" i="8"/>
  <c r="B65" i="1" s="1"/>
  <c r="A65" i="1" s="1"/>
  <c r="C159" i="8"/>
  <c r="B55" i="1" s="1"/>
  <c r="A55" i="1" s="1"/>
  <c r="C160" i="8"/>
  <c r="B56" i="1" s="1"/>
  <c r="A56" i="1" s="1"/>
  <c r="F213" i="8"/>
  <c r="E109" i="1" s="1"/>
  <c r="C170" i="8"/>
  <c r="B66" i="1" s="1"/>
  <c r="A66" i="1" s="1"/>
  <c r="C156" i="8"/>
  <c r="B52" i="1" s="1"/>
  <c r="A52" i="1" s="1"/>
  <c r="C146" i="8"/>
  <c r="B42" i="1" s="1"/>
  <c r="A42" i="1" s="1"/>
  <c r="C150" i="8"/>
  <c r="B46" i="1" s="1"/>
  <c r="A46" i="1" s="1"/>
  <c r="C151" i="8"/>
  <c r="B47" i="1" s="1"/>
  <c r="A47" i="1" s="1"/>
  <c r="C161" i="8"/>
  <c r="B57" i="1" s="1"/>
  <c r="A57" i="1" s="1"/>
  <c r="C165" i="8"/>
  <c r="B61" i="1" s="1"/>
  <c r="A61" i="1" s="1"/>
  <c r="C152" i="8"/>
  <c r="B48" i="1" s="1"/>
  <c r="A48" i="1" s="1"/>
  <c r="C148" i="8"/>
  <c r="B44" i="1" s="1"/>
  <c r="A44" i="1" s="1"/>
  <c r="C163" i="8"/>
  <c r="B59" i="1" s="1"/>
  <c r="A59" i="1" s="1"/>
  <c r="C162" i="8"/>
  <c r="B58" i="1" s="1"/>
  <c r="A58" i="1" s="1"/>
  <c r="F90" i="8"/>
  <c r="I215" i="8" l="1"/>
  <c r="G215" i="8"/>
  <c r="H215" i="8" s="1"/>
  <c r="B112" i="1"/>
  <c r="A112" i="1" s="1"/>
  <c r="I216" i="8"/>
  <c r="G216" i="8"/>
  <c r="B113" i="1"/>
  <c r="A113" i="1" s="1"/>
  <c r="I217" i="8"/>
  <c r="G217" i="8"/>
  <c r="D112" i="1"/>
  <c r="J216" i="8"/>
  <c r="H216" i="8"/>
  <c r="B114" i="1"/>
  <c r="A114" i="1" s="1"/>
  <c r="I218" i="8"/>
  <c r="G218" i="8"/>
  <c r="D111" i="1"/>
  <c r="J215" i="8"/>
  <c r="F214" i="8"/>
  <c r="E110" i="1" s="1"/>
  <c r="F215" i="8"/>
  <c r="E111" i="1" s="1"/>
  <c r="B110" i="1"/>
  <c r="A110" i="1" s="1"/>
  <c r="G214" i="8"/>
  <c r="H214" i="8" s="1"/>
  <c r="I214" i="8"/>
  <c r="J214" i="8" s="1"/>
  <c r="G198" i="8"/>
  <c r="H198" i="8" s="1"/>
  <c r="B94" i="1"/>
  <c r="A94" i="1" s="1"/>
  <c r="I193" i="8"/>
  <c r="J193" i="8" s="1"/>
  <c r="B89" i="1"/>
  <c r="A89" i="1" s="1"/>
  <c r="I131" i="8"/>
  <c r="J131" i="8" s="1"/>
  <c r="G131" i="8"/>
  <c r="H131" i="8" s="1"/>
  <c r="F134" i="8"/>
  <c r="E30" i="1" s="1"/>
  <c r="I143" i="8"/>
  <c r="J143" i="8" s="1"/>
  <c r="G143" i="8"/>
  <c r="H143" i="8" s="1"/>
  <c r="G174" i="8"/>
  <c r="H174" i="8" s="1"/>
  <c r="I173" i="8"/>
  <c r="J173" i="8" s="1"/>
  <c r="G177" i="8"/>
  <c r="H177" i="8" s="1"/>
  <c r="I199" i="8"/>
  <c r="J199" i="8" s="1"/>
  <c r="I201" i="8"/>
  <c r="J201" i="8" s="1"/>
  <c r="G196" i="8"/>
  <c r="H196" i="8" s="1"/>
  <c r="G208" i="8"/>
  <c r="H208" i="8" s="1"/>
  <c r="I139" i="8"/>
  <c r="J139" i="8" s="1"/>
  <c r="G185" i="8"/>
  <c r="H185" i="8" s="1"/>
  <c r="G195" i="8"/>
  <c r="H195" i="8" s="1"/>
  <c r="I200" i="8"/>
  <c r="J200" i="8" s="1"/>
  <c r="I176" i="8"/>
  <c r="J176" i="8" s="1"/>
  <c r="I203" i="8"/>
  <c r="J203" i="8" s="1"/>
  <c r="I198" i="8"/>
  <c r="J198" i="8" s="1"/>
  <c r="G138" i="8"/>
  <c r="H138" i="8" s="1"/>
  <c r="I144" i="8"/>
  <c r="J144" i="8" s="1"/>
  <c r="I178" i="8"/>
  <c r="J178" i="8" s="1"/>
  <c r="G187" i="8"/>
  <c r="H187" i="8" s="1"/>
  <c r="I184" i="8"/>
  <c r="J184" i="8" s="1"/>
  <c r="G175" i="8"/>
  <c r="H175" i="8" s="1"/>
  <c r="G204" i="8"/>
  <c r="H204" i="8" s="1"/>
  <c r="G202" i="8"/>
  <c r="H202" i="8" s="1"/>
  <c r="G211" i="8"/>
  <c r="H211" i="8" s="1"/>
  <c r="I136" i="8"/>
  <c r="J136" i="8" s="1"/>
  <c r="I141" i="8"/>
  <c r="J141" i="8" s="1"/>
  <c r="G194" i="8"/>
  <c r="H194" i="8" s="1"/>
  <c r="G192" i="8"/>
  <c r="H192" i="8" s="1"/>
  <c r="G197" i="8"/>
  <c r="H197" i="8" s="1"/>
  <c r="G193" i="8"/>
  <c r="H193" i="8" s="1"/>
  <c r="I210" i="8"/>
  <c r="J210" i="8" s="1"/>
  <c r="I140" i="8"/>
  <c r="J140" i="8" s="1"/>
  <c r="G172" i="8"/>
  <c r="H172" i="8" s="1"/>
  <c r="I186" i="8"/>
  <c r="J186" i="8" s="1"/>
  <c r="I171" i="8"/>
  <c r="J171" i="8" s="1"/>
  <c r="G209" i="8"/>
  <c r="H209" i="8" s="1"/>
  <c r="G139" i="8"/>
  <c r="H139" i="8" s="1"/>
  <c r="G136" i="8"/>
  <c r="H136" i="8" s="1"/>
  <c r="I138" i="8"/>
  <c r="J138" i="8" s="1"/>
  <c r="G140" i="8"/>
  <c r="H140" i="8" s="1"/>
  <c r="G141" i="8"/>
  <c r="H141" i="8" s="1"/>
  <c r="I208" i="8"/>
  <c r="J208" i="8" s="1"/>
  <c r="I209" i="8"/>
  <c r="J209" i="8" s="1"/>
  <c r="F136" i="8"/>
  <c r="E32" i="1" s="1"/>
  <c r="F130" i="8"/>
  <c r="E26" i="1" s="1"/>
  <c r="F138" i="8"/>
  <c r="E34" i="1" s="1"/>
  <c r="F132" i="8"/>
  <c r="E28" i="1" s="1"/>
  <c r="F141" i="8"/>
  <c r="E37" i="1" s="1"/>
  <c r="F135" i="8"/>
  <c r="E31" i="1" s="1"/>
  <c r="F137" i="8"/>
  <c r="E33" i="1" s="1"/>
  <c r="F131" i="8"/>
  <c r="E27" i="1" s="1"/>
  <c r="F139" i="8"/>
  <c r="E35" i="1" s="1"/>
  <c r="F133" i="8"/>
  <c r="E29" i="1" s="1"/>
  <c r="I134" i="8"/>
  <c r="J134" i="8" s="1"/>
  <c r="G134" i="8"/>
  <c r="H134" i="8" s="1"/>
  <c r="G130" i="8"/>
  <c r="H130" i="8" s="1"/>
  <c r="I130" i="8"/>
  <c r="J130" i="8" s="1"/>
  <c r="I132" i="8"/>
  <c r="J132" i="8" s="1"/>
  <c r="G132" i="8"/>
  <c r="H132" i="8" s="1"/>
  <c r="I135" i="8"/>
  <c r="J135" i="8" s="1"/>
  <c r="G135" i="8"/>
  <c r="H135" i="8" s="1"/>
  <c r="G133" i="8"/>
  <c r="H133" i="8" s="1"/>
  <c r="I133" i="8"/>
  <c r="J133" i="8" s="1"/>
  <c r="I137" i="8"/>
  <c r="J137" i="8" s="1"/>
  <c r="G137" i="8"/>
  <c r="H137" i="8" s="1"/>
  <c r="F148" i="8"/>
  <c r="E44" i="1" s="1"/>
  <c r="F140" i="8"/>
  <c r="E36" i="1" s="1"/>
  <c r="F153" i="8"/>
  <c r="E49" i="1" s="1"/>
  <c r="F151" i="8"/>
  <c r="E47" i="1" s="1"/>
  <c r="F155" i="8"/>
  <c r="E51" i="1" s="1"/>
  <c r="G210" i="8"/>
  <c r="H210" i="8" s="1"/>
  <c r="G203" i="8"/>
  <c r="H203" i="8" s="1"/>
  <c r="I196" i="8"/>
  <c r="J196" i="8" s="1"/>
  <c r="I197" i="8"/>
  <c r="J197" i="8" s="1"/>
  <c r="F209" i="8"/>
  <c r="E105" i="1" s="1"/>
  <c r="G200" i="8"/>
  <c r="H200" i="8" s="1"/>
  <c r="I211" i="8"/>
  <c r="J211" i="8" s="1"/>
  <c r="I192" i="8"/>
  <c r="J192" i="8" s="1"/>
  <c r="I204" i="8"/>
  <c r="J204" i="8" s="1"/>
  <c r="I212" i="8"/>
  <c r="J212" i="8" s="1"/>
  <c r="G212" i="8"/>
  <c r="H212" i="8" s="1"/>
  <c r="F193" i="8"/>
  <c r="E89" i="1" s="1"/>
  <c r="G201" i="8"/>
  <c r="H201" i="8" s="1"/>
  <c r="I213" i="8"/>
  <c r="J213" i="8" s="1"/>
  <c r="G213" i="8"/>
  <c r="H213" i="8" s="1"/>
  <c r="F200" i="8"/>
  <c r="E96" i="1" s="1"/>
  <c r="F206" i="8"/>
  <c r="E102" i="1" s="1"/>
  <c r="F210" i="8"/>
  <c r="E106" i="1" s="1"/>
  <c r="F207" i="8"/>
  <c r="E103" i="1" s="1"/>
  <c r="F211" i="8"/>
  <c r="E107" i="1" s="1"/>
  <c r="I194" i="8"/>
  <c r="J194" i="8" s="1"/>
  <c r="F194" i="8"/>
  <c r="E90" i="1" s="1"/>
  <c r="F192" i="8"/>
  <c r="E88" i="1" s="1"/>
  <c r="F201" i="8"/>
  <c r="E97" i="1" s="1"/>
  <c r="F208" i="8"/>
  <c r="E104" i="1" s="1"/>
  <c r="F198" i="8"/>
  <c r="E94" i="1" s="1"/>
  <c r="G199" i="8"/>
  <c r="H199" i="8" s="1"/>
  <c r="I202" i="8"/>
  <c r="J202" i="8" s="1"/>
  <c r="I195" i="8"/>
  <c r="J195" i="8" s="1"/>
  <c r="F199" i="8"/>
  <c r="E95" i="1" s="1"/>
  <c r="F197" i="8"/>
  <c r="E93" i="1" s="1"/>
  <c r="F195" i="8"/>
  <c r="E91" i="1" s="1"/>
  <c r="F202" i="8"/>
  <c r="E98" i="1" s="1"/>
  <c r="F205" i="8"/>
  <c r="E101" i="1" s="1"/>
  <c r="G171" i="8"/>
  <c r="H171" i="8" s="1"/>
  <c r="G186" i="8"/>
  <c r="H186" i="8" s="1"/>
  <c r="I206" i="8"/>
  <c r="J206" i="8" s="1"/>
  <c r="G206" i="8"/>
  <c r="H206" i="8" s="1"/>
  <c r="I207" i="8"/>
  <c r="J207" i="8" s="1"/>
  <c r="G207" i="8"/>
  <c r="H207" i="8" s="1"/>
  <c r="I205" i="8"/>
  <c r="J205" i="8" s="1"/>
  <c r="G205" i="8"/>
  <c r="H205" i="8" s="1"/>
  <c r="F162" i="8"/>
  <c r="E58" i="1" s="1"/>
  <c r="F196" i="8"/>
  <c r="E92" i="1" s="1"/>
  <c r="F190" i="8"/>
  <c r="E86" i="1" s="1"/>
  <c r="F203" i="8"/>
  <c r="E99" i="1" s="1"/>
  <c r="F191" i="8"/>
  <c r="E87" i="1" s="1"/>
  <c r="F204" i="8"/>
  <c r="E100" i="1" s="1"/>
  <c r="G176" i="8"/>
  <c r="H176" i="8" s="1"/>
  <c r="G173" i="8"/>
  <c r="H173" i="8" s="1"/>
  <c r="I185" i="8"/>
  <c r="J185" i="8" s="1"/>
  <c r="I187" i="8"/>
  <c r="J187" i="8" s="1"/>
  <c r="G184" i="8"/>
  <c r="H184" i="8" s="1"/>
  <c r="G144" i="8"/>
  <c r="H144" i="8" s="1"/>
  <c r="I174" i="8"/>
  <c r="J174" i="8" s="1"/>
  <c r="I177" i="8"/>
  <c r="J177" i="8" s="1"/>
  <c r="I175" i="8"/>
  <c r="J175" i="8" s="1"/>
  <c r="G178" i="8"/>
  <c r="H178" i="8" s="1"/>
  <c r="G191" i="8"/>
  <c r="H191" i="8" s="1"/>
  <c r="I191" i="8"/>
  <c r="J191" i="8" s="1"/>
  <c r="G188" i="8"/>
  <c r="H188" i="8" s="1"/>
  <c r="I188" i="8"/>
  <c r="J188" i="8" s="1"/>
  <c r="F185" i="8"/>
  <c r="E81" i="1" s="1"/>
  <c r="F189" i="8"/>
  <c r="E85" i="1" s="1"/>
  <c r="I190" i="8"/>
  <c r="J190" i="8" s="1"/>
  <c r="G190" i="8"/>
  <c r="H190" i="8" s="1"/>
  <c r="F184" i="8"/>
  <c r="E80" i="1" s="1"/>
  <c r="F188" i="8"/>
  <c r="E84" i="1" s="1"/>
  <c r="G189" i="8"/>
  <c r="H189" i="8" s="1"/>
  <c r="I189" i="8"/>
  <c r="J189" i="8" s="1"/>
  <c r="F179" i="8"/>
  <c r="E75" i="1" s="1"/>
  <c r="I172" i="8"/>
  <c r="J172" i="8" s="1"/>
  <c r="F182" i="8"/>
  <c r="E78" i="1" s="1"/>
  <c r="F186" i="8"/>
  <c r="E82" i="1" s="1"/>
  <c r="F183" i="8"/>
  <c r="E79" i="1" s="1"/>
  <c r="F187" i="8"/>
  <c r="E83" i="1" s="1"/>
  <c r="I182" i="8"/>
  <c r="J182" i="8" s="1"/>
  <c r="G182" i="8"/>
  <c r="H182" i="8" s="1"/>
  <c r="I183" i="8"/>
  <c r="J183" i="8" s="1"/>
  <c r="G183" i="8"/>
  <c r="H183" i="8" s="1"/>
  <c r="I181" i="8"/>
  <c r="J181" i="8" s="1"/>
  <c r="G181" i="8"/>
  <c r="H181" i="8" s="1"/>
  <c r="F175" i="8"/>
  <c r="E71" i="1" s="1"/>
  <c r="F180" i="8"/>
  <c r="E76" i="1" s="1"/>
  <c r="F172" i="8"/>
  <c r="E68" i="1" s="1"/>
  <c r="G180" i="8"/>
  <c r="H180" i="8" s="1"/>
  <c r="I180" i="8"/>
  <c r="J180" i="8" s="1"/>
  <c r="F176" i="8"/>
  <c r="E72" i="1" s="1"/>
  <c r="F181" i="8"/>
  <c r="E77" i="1" s="1"/>
  <c r="G179" i="8"/>
  <c r="H179" i="8" s="1"/>
  <c r="I179" i="8"/>
  <c r="J179" i="8" s="1"/>
  <c r="F156" i="8"/>
  <c r="E52" i="1" s="1"/>
  <c r="F163" i="8"/>
  <c r="E59" i="1" s="1"/>
  <c r="F171" i="8"/>
  <c r="E67" i="1" s="1"/>
  <c r="F158" i="8"/>
  <c r="E54" i="1" s="1"/>
  <c r="F159" i="8"/>
  <c r="E55" i="1" s="1"/>
  <c r="F169" i="8"/>
  <c r="E65" i="1" s="1"/>
  <c r="F177" i="8"/>
  <c r="E73" i="1" s="1"/>
  <c r="F166" i="8"/>
  <c r="E62" i="1" s="1"/>
  <c r="F174" i="8"/>
  <c r="E70" i="1" s="1"/>
  <c r="F165" i="8"/>
  <c r="E61" i="1" s="1"/>
  <c r="F173" i="8"/>
  <c r="E69" i="1" s="1"/>
  <c r="F170" i="8"/>
  <c r="E66" i="1" s="1"/>
  <c r="F178" i="8"/>
  <c r="E74" i="1" s="1"/>
  <c r="F152" i="8"/>
  <c r="E48" i="1" s="1"/>
  <c r="F168" i="8"/>
  <c r="E64" i="1" s="1"/>
  <c r="F145" i="8"/>
  <c r="E41" i="1" s="1"/>
  <c r="F143" i="8"/>
  <c r="E39" i="1" s="1"/>
  <c r="F147" i="8"/>
  <c r="E43" i="1" s="1"/>
  <c r="F154" i="8"/>
  <c r="E50" i="1" s="1"/>
  <c r="F157" i="8"/>
  <c r="E53" i="1" s="1"/>
  <c r="F144" i="8"/>
  <c r="E40" i="1" s="1"/>
  <c r="F142" i="8"/>
  <c r="E38" i="1" s="1"/>
  <c r="I142" i="8"/>
  <c r="J142" i="8" s="1"/>
  <c r="G142" i="8"/>
  <c r="H142" i="8" s="1"/>
  <c r="F146" i="8"/>
  <c r="E42" i="1" s="1"/>
  <c r="F160" i="8"/>
  <c r="E56" i="1" s="1"/>
  <c r="F167" i="8"/>
  <c r="E63" i="1" s="1"/>
  <c r="F164" i="8"/>
  <c r="E60" i="1" s="1"/>
  <c r="F161" i="8"/>
  <c r="E57" i="1" s="1"/>
  <c r="F149" i="8"/>
  <c r="E45" i="1" s="1"/>
  <c r="F150" i="8"/>
  <c r="E46" i="1" s="1"/>
  <c r="G163" i="8"/>
  <c r="H163" i="8" s="1"/>
  <c r="I163" i="8"/>
  <c r="J163" i="8" s="1"/>
  <c r="I169" i="8"/>
  <c r="J169" i="8" s="1"/>
  <c r="G169" i="8"/>
  <c r="H169" i="8" s="1"/>
  <c r="I153" i="8"/>
  <c r="J153" i="8" s="1"/>
  <c r="G153" i="8"/>
  <c r="H153" i="8" s="1"/>
  <c r="I161" i="8"/>
  <c r="J161" i="8" s="1"/>
  <c r="G161" i="8"/>
  <c r="H161" i="8" s="1"/>
  <c r="G170" i="8"/>
  <c r="H170" i="8" s="1"/>
  <c r="I170" i="8"/>
  <c r="J170" i="8" s="1"/>
  <c r="I168" i="8"/>
  <c r="J168" i="8" s="1"/>
  <c r="G168" i="8"/>
  <c r="H168" i="8" s="1"/>
  <c r="I145" i="8"/>
  <c r="J145" i="8" s="1"/>
  <c r="G145" i="8"/>
  <c r="H145" i="8" s="1"/>
  <c r="I167" i="8"/>
  <c r="J167" i="8" s="1"/>
  <c r="G167" i="8"/>
  <c r="H167" i="8" s="1"/>
  <c r="G154" i="8"/>
  <c r="H154" i="8" s="1"/>
  <c r="I154" i="8"/>
  <c r="J154" i="8" s="1"/>
  <c r="G155" i="8"/>
  <c r="H155" i="8" s="1"/>
  <c r="I155" i="8"/>
  <c r="J155" i="8" s="1"/>
  <c r="I152" i="8"/>
  <c r="J152" i="8" s="1"/>
  <c r="G152" i="8"/>
  <c r="H152" i="8" s="1"/>
  <c r="I151" i="8"/>
  <c r="J151" i="8" s="1"/>
  <c r="G151" i="8"/>
  <c r="H151" i="8" s="1"/>
  <c r="G146" i="8"/>
  <c r="H146" i="8" s="1"/>
  <c r="I146" i="8"/>
  <c r="J146" i="8" s="1"/>
  <c r="I160" i="8"/>
  <c r="J160" i="8" s="1"/>
  <c r="G160" i="8"/>
  <c r="H160" i="8" s="1"/>
  <c r="I158" i="8"/>
  <c r="J158" i="8" s="1"/>
  <c r="G158" i="8"/>
  <c r="H158" i="8" s="1"/>
  <c r="G147" i="8"/>
  <c r="H147" i="8" s="1"/>
  <c r="I147" i="8"/>
  <c r="J147" i="8" s="1"/>
  <c r="I166" i="8"/>
  <c r="J166" i="8" s="1"/>
  <c r="G166" i="8"/>
  <c r="H166" i="8" s="1"/>
  <c r="G164" i="8"/>
  <c r="H164" i="8" s="1"/>
  <c r="I164" i="8"/>
  <c r="J164" i="8" s="1"/>
  <c r="G157" i="8"/>
  <c r="H157" i="8" s="1"/>
  <c r="I157" i="8"/>
  <c r="J157" i="8" s="1"/>
  <c r="G162" i="8"/>
  <c r="H162" i="8" s="1"/>
  <c r="I162" i="8"/>
  <c r="J162" i="8" s="1"/>
  <c r="G148" i="8"/>
  <c r="H148" i="8" s="1"/>
  <c r="I148" i="8"/>
  <c r="J148" i="8" s="1"/>
  <c r="G165" i="8"/>
  <c r="H165" i="8" s="1"/>
  <c r="I165" i="8"/>
  <c r="J165" i="8" s="1"/>
  <c r="I150" i="8"/>
  <c r="J150" i="8" s="1"/>
  <c r="G150" i="8"/>
  <c r="H150" i="8" s="1"/>
  <c r="G156" i="8"/>
  <c r="H156" i="8" s="1"/>
  <c r="I156" i="8"/>
  <c r="J156" i="8" s="1"/>
  <c r="I159" i="8"/>
  <c r="J159" i="8" s="1"/>
  <c r="G159" i="8"/>
  <c r="H159" i="8" s="1"/>
  <c r="I149" i="8"/>
  <c r="J149" i="8" s="1"/>
  <c r="G149" i="8"/>
  <c r="H149" i="8" s="1"/>
  <c r="J118" i="8" l="1"/>
  <c r="D69" i="5" s="1"/>
  <c r="H118" i="8"/>
  <c r="H7" i="1" s="1"/>
  <c r="H8" i="1" l="1"/>
  <c r="H9" i="1" s="1"/>
  <c r="D71" i="5" l="1"/>
  <c r="H13" i="1"/>
  <c r="E122" i="5"/>
  <c r="E248" i="8" s="1"/>
  <c r="E124" i="5" l="1"/>
  <c r="E250" i="8" s="1"/>
  <c r="D72" i="5"/>
  <c r="D74" i="5"/>
  <c r="E123" i="5" l="1"/>
  <c r="E249" i="8" s="1"/>
  <c r="E125" i="5"/>
  <c r="E251"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<sst xmlns="http://schemas.openxmlformats.org/spreadsheetml/2006/main" count="2667" uniqueCount="757">
  <si>
    <t>Import code</t>
  </si>
  <si>
    <t>Article code</t>
  </si>
  <si>
    <t>Description</t>
  </si>
  <si>
    <t>Quantity</t>
  </si>
  <si>
    <t>Unit</t>
  </si>
  <si>
    <t>Project reference</t>
  </si>
  <si>
    <t>st</t>
  </si>
  <si>
    <t>Description language</t>
  </si>
  <si>
    <t>English</t>
  </si>
  <si>
    <t>Agent name</t>
  </si>
  <si>
    <t>Bycommute</t>
  </si>
  <si>
    <t>Discount percent</t>
  </si>
  <si>
    <t>Bruto Price</t>
  </si>
  <si>
    <t>Discount</t>
  </si>
  <si>
    <t>Netto Price</t>
  </si>
  <si>
    <t>Valid from</t>
  </si>
  <si>
    <t>28 August 2025</t>
  </si>
  <si>
    <t>Valid until</t>
  </si>
  <si>
    <t>Next version</t>
  </si>
  <si>
    <t>Installation time</t>
  </si>
  <si>
    <t>Bill of material</t>
  </si>
  <si>
    <r>
      <rPr>
        <b/>
        <u/>
        <sz val="11"/>
        <color theme="1"/>
        <rFont val="Calibri"/>
        <family val="2"/>
        <scheme val="minor"/>
      </rPr>
      <t>DISCLAIMER:</t>
    </r>
    <r>
      <rPr>
        <sz val="11"/>
        <color theme="1"/>
        <rFont val="Calibri"/>
        <family val="2"/>
        <scheme val="minor"/>
      </rPr>
      <t xml:space="preserve"> Use with caution. 
</t>
    </r>
  </si>
  <si>
    <t>Installation time is in labor hours, divide by team size for calendar hours, transport and foundations excluded. Actual installation time may vary significantly based on team experience, site conditions and equipment.</t>
  </si>
  <si>
    <t xml:space="preserve">                      L
       W</t>
  </si>
  <si>
    <t>*</t>
  </si>
  <si>
    <t>Roof dimensions - WxL=</t>
  </si>
  <si>
    <t>Treatment</t>
  </si>
  <si>
    <t>Galvanized</t>
  </si>
  <si>
    <t>Centre-to-centre dimensions - WxL=</t>
  </si>
  <si>
    <t>Version</t>
  </si>
  <si>
    <t>Standard</t>
  </si>
  <si>
    <t>Wall material</t>
  </si>
  <si>
    <t>Thermowood</t>
  </si>
  <si>
    <t>Mesh finish</t>
  </si>
  <si>
    <t xml:space="preserve"> </t>
  </si>
  <si>
    <t>Top wall</t>
  </si>
  <si>
    <t>Yes</t>
  </si>
  <si>
    <t>Right wall</t>
  </si>
  <si>
    <t>Bottom wall</t>
  </si>
  <si>
    <t>Left wall</t>
  </si>
  <si>
    <t>Remove cladding</t>
  </si>
  <si>
    <t>No</t>
  </si>
  <si>
    <t>Entrance type</t>
  </si>
  <si>
    <t>Segment size</t>
  </si>
  <si>
    <t>Amount</t>
  </si>
  <si>
    <t>Single swing gate</t>
  </si>
  <si>
    <t>Gate hardware kit</t>
  </si>
  <si>
    <t>Euro cylinder lock</t>
  </si>
  <si>
    <t>Domino Excel config</t>
  </si>
  <si>
    <t>Roof edge trim</t>
  </si>
  <si>
    <t>Date</t>
  </si>
  <si>
    <t>Chemical anchors</t>
  </si>
  <si>
    <t>2.3-EXP</t>
  </si>
  <si>
    <t>Author</t>
  </si>
  <si>
    <t>ST</t>
  </si>
  <si>
    <t>LLIST1</t>
  </si>
  <si>
    <t>LLIST2</t>
  </si>
  <si>
    <t>WLIST1</t>
  </si>
  <si>
    <t>WLIST2</t>
  </si>
  <si>
    <t>NOLIST</t>
  </si>
  <si>
    <t>TMLIST</t>
  </si>
  <si>
    <t>WOLIST</t>
  </si>
  <si>
    <t>ATLIST</t>
  </si>
  <si>
    <t>SSLIST</t>
  </si>
  <si>
    <t>MFLIST</t>
  </si>
  <si>
    <t>LFLIST</t>
  </si>
  <si>
    <t>No wall</t>
  </si>
  <si>
    <t>Powder coated</t>
  </si>
  <si>
    <t>2D mesh</t>
  </si>
  <si>
    <t>Wall opening</t>
  </si>
  <si>
    <t>RAL6005</t>
  </si>
  <si>
    <t>Roof edge coated</t>
  </si>
  <si>
    <t>RAL7016</t>
  </si>
  <si>
    <t>Mechanical code lock</t>
  </si>
  <si>
    <t>Glass</t>
  </si>
  <si>
    <t>Double swing gate</t>
  </si>
  <si>
    <t>RAL9005</t>
  </si>
  <si>
    <t>Battery powered code lock</t>
  </si>
  <si>
    <t>No lock or fittings</t>
  </si>
  <si>
    <t>Width (axis)</t>
  </si>
  <si>
    <t>Length (axis)</t>
  </si>
  <si>
    <t>WxL (axis)</t>
  </si>
  <si>
    <t>WxL (roof)</t>
  </si>
  <si>
    <t>Roof</t>
  </si>
  <si>
    <t>Steel = 0 / Polycarbonate = 1</t>
  </si>
  <si>
    <t>Galvanized = 0 / Powder coated = 1 / Roof edge coated = 2</t>
  </si>
  <si>
    <t>Treatment roof edge</t>
  </si>
  <si>
    <t>Galvanized = 0 / Powder coated = 1</t>
  </si>
  <si>
    <t>Treatment structure</t>
  </si>
  <si>
    <t>Standard height = 0 / PLUS = 1</t>
  </si>
  <si>
    <t>LED</t>
  </si>
  <si>
    <t>Beams</t>
  </si>
  <si>
    <t>Wedge anchors</t>
  </si>
  <si>
    <t>Sealant</t>
  </si>
  <si>
    <t>Modules W</t>
  </si>
  <si>
    <t>WARNING: Overriding D24-D33 will miscalculate braces; update D60-D63 as well.</t>
  </si>
  <si>
    <t>Modules W2</t>
  </si>
  <si>
    <t>Modules W2,5</t>
  </si>
  <si>
    <t>Modules L</t>
  </si>
  <si>
    <t>Modules L2</t>
  </si>
  <si>
    <t>Modules L2,5</t>
  </si>
  <si>
    <t>Modules L4</t>
  </si>
  <si>
    <t>Modules L5</t>
  </si>
  <si>
    <t>Modules L6</t>
  </si>
  <si>
    <t>Modules</t>
  </si>
  <si>
    <t>No wall = 0 / 2D Mesh = 1 / Thermowood = 2 / Glass = 3</t>
  </si>
  <si>
    <t>2D Mesh finish</t>
  </si>
  <si>
    <t>No finish = 0 / RAL6005 = 1 / RAL7016 = 2 / RAL9005 = 3 / Galvanized = 4</t>
  </si>
  <si>
    <t>Top Wall</t>
  </si>
  <si>
    <t>Right Wall</t>
  </si>
  <si>
    <t>Bottom Wall</t>
  </si>
  <si>
    <t>Left Wall</t>
  </si>
  <si>
    <t>Walls 2</t>
  </si>
  <si>
    <t>Walls 2,5</t>
  </si>
  <si>
    <t>Walls 4</t>
  </si>
  <si>
    <t>Walls 5</t>
  </si>
  <si>
    <t>Walls 6</t>
  </si>
  <si>
    <t>Entrance 2</t>
  </si>
  <si>
    <t>Entrance 2,5</t>
  </si>
  <si>
    <t>Opening 2</t>
  </si>
  <si>
    <t>Opening 2,5</t>
  </si>
  <si>
    <t>Single Swing 2</t>
  </si>
  <si>
    <t>Single Swing 2,5</t>
  </si>
  <si>
    <t>Double Swing 2</t>
  </si>
  <si>
    <t>Double Swing 2,5</t>
  </si>
  <si>
    <t>Cladding</t>
  </si>
  <si>
    <t>No cladding = 0 / Cladding = 1</t>
  </si>
  <si>
    <t>Hardware</t>
  </si>
  <si>
    <t>Euro cylinder lock = 1 / Mechanical code lock = 2 / Battery powered code lock = 3 /No lock or fittings = 4</t>
  </si>
  <si>
    <t>Clamps Double</t>
  </si>
  <si>
    <t>Clamps Single</t>
  </si>
  <si>
    <t>Screws with wings</t>
  </si>
  <si>
    <t>Brace SHS 2</t>
  </si>
  <si>
    <t>Brace SHS 2,5</t>
  </si>
  <si>
    <t>Brace Flat 2</t>
  </si>
  <si>
    <t>Brace Flat 2,5</t>
  </si>
  <si>
    <t>Install./transport</t>
  </si>
  <si>
    <t>Adjustment factor</t>
  </si>
  <si>
    <t>Excl. transport</t>
  </si>
  <si>
    <t>Extra install. time</t>
  </si>
  <si>
    <t>Labor days</t>
  </si>
  <si>
    <t>Incl. transport</t>
  </si>
  <si>
    <t>Transport (total)</t>
  </si>
  <si>
    <t>Transport (one-way)</t>
  </si>
  <si>
    <t>Distance (total)</t>
  </si>
  <si>
    <t>4PL function</t>
  </si>
  <si>
    <t>Minimum</t>
  </si>
  <si>
    <t>Maximum</t>
  </si>
  <si>
    <t>Inflection</t>
  </si>
  <si>
    <t>Slope</t>
  </si>
  <si>
    <t>Distance (one-way)</t>
  </si>
  <si>
    <t>Average speed</t>
  </si>
  <si>
    <t>Error checking</t>
  </si>
  <si>
    <t>PLUS</t>
  </si>
  <si>
    <t>Wall</t>
  </si>
  <si>
    <t>Finish</t>
  </si>
  <si>
    <t>Mesh</t>
  </si>
  <si>
    <t>Glass PLUS</t>
  </si>
  <si>
    <t>Glass gates</t>
  </si>
  <si>
    <t>Open 2</t>
  </si>
  <si>
    <t>Open 2,5</t>
  </si>
  <si>
    <t>Entrances</t>
  </si>
  <si>
    <t>Config L</t>
  </si>
  <si>
    <t>Config W</t>
  </si>
  <si>
    <t>Length</t>
  </si>
  <si>
    <t>Polycarbonate</t>
  </si>
  <si>
    <t>Transport</t>
  </si>
  <si>
    <t>Check</t>
  </si>
  <si>
    <t>Index</t>
  </si>
  <si>
    <t>Flag</t>
  </si>
  <si>
    <t>Installation</t>
  </si>
  <si>
    <t>u</t>
  </si>
  <si>
    <t>Vehicle cost</t>
  </si>
  <si>
    <t>dag</t>
  </si>
  <si>
    <t>Km cost</t>
  </si>
  <si>
    <t>km</t>
  </si>
  <si>
    <t>Holes Ø9mm</t>
  </si>
  <si>
    <t>43.06.14.0043</t>
  </si>
  <si>
    <t>Domino - Column - 80x3 - L2175 - 8Ø13 - 8Ø9 - Galvanized</t>
  </si>
  <si>
    <t>43.06.14.0047</t>
  </si>
  <si>
    <t>Domino - Column - 80x3 - L2175 - 8Ø13 - 8Ø9 - Powder Coated</t>
  </si>
  <si>
    <t>43.06.14.0041</t>
  </si>
  <si>
    <t>Domino - Column - 80x3 - L2175 - 8Ø13 - Galvanized</t>
  </si>
  <si>
    <t>43.06.14.0045</t>
  </si>
  <si>
    <t>Domino - Column - 80x3 - L2175 - 8Ø13 - Powder Coated</t>
  </si>
  <si>
    <t>43.06.14.0044</t>
  </si>
  <si>
    <t>Domino - Column - 80x3 - L2825 - 8Ø13 - 16Ø9 - Galvanized</t>
  </si>
  <si>
    <t>43.06.14.0048</t>
  </si>
  <si>
    <t>Domino - Column - 80x3 - L2825 - 8Ø13 - 16Ø9 - Powder Coated</t>
  </si>
  <si>
    <t>43.06.14.0042</t>
  </si>
  <si>
    <t>Domino - Column - 80x3 - L2825 - 8Ø13 - Galvanized</t>
  </si>
  <si>
    <t>43.06.14.0046</t>
  </si>
  <si>
    <t>Domino - Column - 80x3 - L2825 - 8Ø13 - Powder Coated</t>
  </si>
  <si>
    <t>Type</t>
  </si>
  <si>
    <t>A</t>
  </si>
  <si>
    <t>43.09.06.0001</t>
  </si>
  <si>
    <t>Domino - Mof A - Galvanized</t>
  </si>
  <si>
    <t>43.09.06.0006</t>
  </si>
  <si>
    <t>Domino - Mof A - Powder Coated</t>
  </si>
  <si>
    <t>B</t>
  </si>
  <si>
    <t>43.09.06.0002</t>
  </si>
  <si>
    <t>Domino - Mof B - Galvanized</t>
  </si>
  <si>
    <t>43.09.06.0007</t>
  </si>
  <si>
    <t>Domino - Mof B - Powder Coated</t>
  </si>
  <si>
    <t>C</t>
  </si>
  <si>
    <t>43.09.06.0003</t>
  </si>
  <si>
    <t>Domino - Mof C - Galvanized</t>
  </si>
  <si>
    <t>43.09.06.0008</t>
  </si>
  <si>
    <t>Domino - Mof C - Powder Coated</t>
  </si>
  <si>
    <t>D</t>
  </si>
  <si>
    <t>43.09.06.0005</t>
  </si>
  <si>
    <t>Domino - Mof D - Galvanized</t>
  </si>
  <si>
    <t>43.09.06.0010</t>
  </si>
  <si>
    <t>Domino - Mof D - Powder Coated</t>
  </si>
  <si>
    <t>W</t>
  </si>
  <si>
    <t>43.09.06.0004</t>
  </si>
  <si>
    <t>Domino - Mof W - Galvanized</t>
  </si>
  <si>
    <t>43.09.06.0009</t>
  </si>
  <si>
    <t>Domino - Mof W - Powder Coated</t>
  </si>
  <si>
    <t>Outflow</t>
  </si>
  <si>
    <t>70x4</t>
  </si>
  <si>
    <t>43.03.10.0002</t>
  </si>
  <si>
    <t>Domino - Foot - 70x4 - L605 - Galvanized</t>
  </si>
  <si>
    <t>43.03.10.0005</t>
  </si>
  <si>
    <t>Domino - Foot - 70x4 - L605 - Powder Coated</t>
  </si>
  <si>
    <t>43.03.10.0001</t>
  </si>
  <si>
    <t>Domino - Foot - 70x4 - L605 - Outflow - Galvanized</t>
  </si>
  <si>
    <t>43.03.10.0004</t>
  </si>
  <si>
    <t>Domino - Foot - 70x4 - L605 - Outflow - Powder Coated</t>
  </si>
  <si>
    <t>70x50x3</t>
  </si>
  <si>
    <t>43.03.10.0003</t>
  </si>
  <si>
    <t>Domino - Foot 70x50x3 - L600 - Galvanized</t>
  </si>
  <si>
    <t>43.03.10.0006</t>
  </si>
  <si>
    <t>Domino - Foot 70x50x3 - L600 - Powder coated</t>
  </si>
  <si>
    <t>L</t>
  </si>
  <si>
    <t>37.60.06.0061</t>
  </si>
  <si>
    <t>Domino - Gutter G - L1890 - 6Ø13 - Cut 3 - Galvanized</t>
  </si>
  <si>
    <t>43.08.18.0011</t>
  </si>
  <si>
    <t>Domino - Gutter G - L1890 - 6Ø13 - Cut 3 - Powder Coated</t>
  </si>
  <si>
    <t>37.60.06.0160</t>
  </si>
  <si>
    <t>Domino - Gutter G - L1890 - 7Ø13 - Galvanized</t>
  </si>
  <si>
    <t>43.08.18.0021</t>
  </si>
  <si>
    <t>Domino - Gutter G - L1890 - 7Ø13 - Powder Coated</t>
  </si>
  <si>
    <t>37.60.06.0161</t>
  </si>
  <si>
    <t>Domino - Gutter G - L2390 - 6Ø13 - Cut 3 - Galvanized</t>
  </si>
  <si>
    <t>43.08.18.0022</t>
  </si>
  <si>
    <t>Domino - Gutter G - L2390 - 6Ø13 - Cut 3 - Powder Coated</t>
  </si>
  <si>
    <t>37.60.06.0162</t>
  </si>
  <si>
    <t>Domino - Gutter G - L2390 - 7Ø13 - Galvanized</t>
  </si>
  <si>
    <t>43.08.18.0023</t>
  </si>
  <si>
    <t>Domino - Gutter G - L2390 - 7Ø13 - Powder Coated</t>
  </si>
  <si>
    <t>37.60.06.0058</t>
  </si>
  <si>
    <t>Domino - Gutter G - L3920 - 9Ø13 - Galvanized</t>
  </si>
  <si>
    <t>43.08.18.0008</t>
  </si>
  <si>
    <t>Domino - Gutter G - L3920 - 9Ø13 - Powder Coated</t>
  </si>
  <si>
    <t>37.60.06.0059</t>
  </si>
  <si>
    <t>Domino - Gutter G - L4920 - 9Ø13 - Galvanized</t>
  </si>
  <si>
    <t>43.08.18.0009</t>
  </si>
  <si>
    <t>Domino - Gutter G - L4920 - 9Ø13 - Powder Coated</t>
  </si>
  <si>
    <t>37.60.06.0060</t>
  </si>
  <si>
    <t>Domino - Gutter G - L5950 - 10Ø13 - Galvanized</t>
  </si>
  <si>
    <t>43.08.18.0010</t>
  </si>
  <si>
    <t>Domino - Gutter G - L5950 - 10Ø13 - Powder Coated</t>
  </si>
  <si>
    <t>37.60.06.0163</t>
  </si>
  <si>
    <t>Domino - Gutter U - L1890 - 4Ø13 - Galvanized</t>
  </si>
  <si>
    <t>43.08.18.0024</t>
  </si>
  <si>
    <t>Domino - Gutter U - L1890 - 4Ø13 - Powder Coated</t>
  </si>
  <si>
    <t>37.60.06.0164</t>
  </si>
  <si>
    <t>Domino - Gutter U - L2390 - 4Ø13 - Galvanized</t>
  </si>
  <si>
    <t>43.08.18.0025</t>
  </si>
  <si>
    <t>Domino - Gutter U - L2390 - 4Ø13 - Powder Coated</t>
  </si>
  <si>
    <t>37.60.06.0165</t>
  </si>
  <si>
    <t>Domino - Gutter U - L3920 - 5Ø13 - Galvanized</t>
  </si>
  <si>
    <t>43.08.18.0026</t>
  </si>
  <si>
    <t>Domino - Gutter U - L3920 - 5Ø13 - Powder Coated</t>
  </si>
  <si>
    <t>37.60.06.0166</t>
  </si>
  <si>
    <t>Domino - Gutter U - L4920 - 5Ø13 - Galvanized</t>
  </si>
  <si>
    <t>43.08.18.0027</t>
  </si>
  <si>
    <t>Domino - Gutter U - L4920 - 5Ø13 - Powder Coated</t>
  </si>
  <si>
    <t>37.60.06.0167</t>
  </si>
  <si>
    <t>Domino - Gutter U - L5950 - 6Ø13 - Galvanized</t>
  </si>
  <si>
    <t>43.08.18.0028</t>
  </si>
  <si>
    <t>Domino - Gutter U - L5950 - 6Ø13 - Powder Coated</t>
  </si>
  <si>
    <t>37.60.06.0168</t>
  </si>
  <si>
    <t>Domino - U-Profile - 80x50x3 - L1890 - 3Ø13 - Galvanized</t>
  </si>
  <si>
    <t>43.17.06.0004</t>
  </si>
  <si>
    <t>Domino - U-Profile - 80x50x3 - L1890 - 3Ø13 - Powder Coated</t>
  </si>
  <si>
    <t>37.60.06.0169</t>
  </si>
  <si>
    <t>Domino - U-Profile - 80x50x3 - L2390 - 3Ø13 - Galvanized</t>
  </si>
  <si>
    <t>43.17.06.0005</t>
  </si>
  <si>
    <t>Domino - U-Profile - 80x50x3 - L2390 - 3Ø13 - Powder Coated</t>
  </si>
  <si>
    <t>37.60.06.0017</t>
  </si>
  <si>
    <t>Domino - U-Profile - 80x50x3 - L3920 - 4Ø13 - Galvanized</t>
  </si>
  <si>
    <t>43.17.06.0001</t>
  </si>
  <si>
    <t>Domino - U-Profile - 80x50x3 - L3920 - 4Ø13 - Powder Coated</t>
  </si>
  <si>
    <t>37.60.06.0018</t>
  </si>
  <si>
    <t>Domino - U-Profile - 80x50x3 - L4920 - 4Ø13 - Galvanized</t>
  </si>
  <si>
    <t>43.17.06.0002</t>
  </si>
  <si>
    <t>Domino - U-Profile - 80x50x3 - L4920 - 4Ø13 - Powder Coated</t>
  </si>
  <si>
    <t>37.60.06.0019</t>
  </si>
  <si>
    <t>Domino - U-Profile - 80x50x3 - L5950 - 4Ø13 - Galvanized</t>
  </si>
  <si>
    <t>43.17.06.0003</t>
  </si>
  <si>
    <t>Domino - U-Profile - 80x50x3 - L5950 - 4Ø13 - Powder Coated</t>
  </si>
  <si>
    <t>43.13.07.0011</t>
  </si>
  <si>
    <t>Domino - Beam - 120x60x3 - L1890 - 8Ø13 - Galvanized</t>
  </si>
  <si>
    <t>43.13.07.0013</t>
  </si>
  <si>
    <t>Domino - Beam - 120x60x3 - L1890 - 8Ø13 - Powder Coated</t>
  </si>
  <si>
    <t>43.13.07.0004</t>
  </si>
  <si>
    <t>Domino - Beam - 120x60x3 - L2098 - 2Ø13 - Galvanized</t>
  </si>
  <si>
    <t>43.13.07.0008</t>
  </si>
  <si>
    <t>Domino - Beam - 120x60x3 - L2098 - 2Ø13 - Powder Coated</t>
  </si>
  <si>
    <t>43.13.07.0012</t>
  </si>
  <si>
    <t>Domino - Beam - 120x60x3 - L2390 - 8Ø13 - Galvanized</t>
  </si>
  <si>
    <t>43.13.07.0014</t>
  </si>
  <si>
    <t>Domino - Beam - 120x60x3 - L2390 - 8Ø13 - Powder Coated</t>
  </si>
  <si>
    <t>43.13.07.0015</t>
  </si>
  <si>
    <t>Domino - Beam - 120x60x3 - L2598 - 2Ø13 - Galvanized</t>
  </si>
  <si>
    <t>43.13.07.0016</t>
  </si>
  <si>
    <t>Domino - Beam - 120x60x3 - L2598 - 2Ø13 - Powder Coated</t>
  </si>
  <si>
    <t>43.13.07.0001</t>
  </si>
  <si>
    <t>Domino - Beam - 120x60x3 - L3920 - 8Ø13 - Galvanized</t>
  </si>
  <si>
    <t>43.13.07.0005</t>
  </si>
  <si>
    <t>Domino - Beam - 120x60x3 - L3920 - 8Ø13 - Powder Coated</t>
  </si>
  <si>
    <t>43.13.07.0002</t>
  </si>
  <si>
    <t>Domino - Beam - 120x60x3 - L4920 - 8Ø13 - Galvanized</t>
  </si>
  <si>
    <t>43.13.07.0006</t>
  </si>
  <si>
    <t>Domino - Beam - 120x60x3 - L4920 - 8Ø13 - Powder Coated</t>
  </si>
  <si>
    <t>43.13.07.0003</t>
  </si>
  <si>
    <t>Domino - Beam - 120x60x3 - L5950 - 8Ø13 - Galvanized</t>
  </si>
  <si>
    <t>43.13.07.0007</t>
  </si>
  <si>
    <t>Domino - Beam - 120x60x3 - L5950 - 8Ø13 - Powder Coated</t>
  </si>
  <si>
    <t>43.09.06.0015</t>
  </si>
  <si>
    <t>Domino - Beam Connector - Bracket - Galvanized</t>
  </si>
  <si>
    <t>43.09.06.0016</t>
  </si>
  <si>
    <t>Domino - Beam Connector - Bracket - Powder Coated</t>
  </si>
  <si>
    <t>43.09.06.0011</t>
  </si>
  <si>
    <t>Domino - Beam Connector - L-Profile - Galvanized</t>
  </si>
  <si>
    <t>43.09.06.0013</t>
  </si>
  <si>
    <t>Domino - Beam Connector - L-Profile - Powder Coated</t>
  </si>
  <si>
    <t>Gate</t>
  </si>
  <si>
    <t>44.02.06.0005</t>
  </si>
  <si>
    <t>Domino - Girder - 50x2 - L1948 - 6Ø13 - 6M10 - Galvanized</t>
  </si>
  <si>
    <t>44.02.06.0009</t>
  </si>
  <si>
    <t>Domino - Girder - 50x2 - L1948 - 6Ø13 - 6M10 - Powder Coated</t>
  </si>
  <si>
    <t>44.02.06.0006</t>
  </si>
  <si>
    <t>Domino - Girder - 50x2 - L2448 - 6Ø13 - 6M10 - Galvanized</t>
  </si>
  <si>
    <t>44.02.06.0010</t>
  </si>
  <si>
    <t>Domino - Girder - 50x2 - L2448 - 6Ø13 - 6M10 - Powder Coated</t>
  </si>
  <si>
    <t>44.02.06.0029</t>
  </si>
  <si>
    <t xml:space="preserve">Domino - Girder - 50x2 - L293mm - 2Ø13 - 2M10 - Galvanized </t>
  </si>
  <si>
    <t>44.02.06.0030</t>
  </si>
  <si>
    <t xml:space="preserve">Domino - Girder - 50x2 - L543mm - 2Ø13 - 2M10 - Galvanized </t>
  </si>
  <si>
    <t>44.02.06.0031</t>
  </si>
  <si>
    <t>Domino - Girder - 50x2 - L293mm - 2Ø13 - 2M10 - Powder coated</t>
  </si>
  <si>
    <t>44.02.06.0032</t>
  </si>
  <si>
    <t xml:space="preserve">Domino - Girder - 50x2 - L543mm - 2Ø13 - 2M10 - Powder coated </t>
  </si>
  <si>
    <t>43.07.18.0001</t>
  </si>
  <si>
    <t>Domino - Wall Connector - Galvanized</t>
  </si>
  <si>
    <t>43.07.18.0004</t>
  </si>
  <si>
    <t>Domino - Wall Connector - Powder Coated</t>
  </si>
  <si>
    <t>43.07.18.0013</t>
  </si>
  <si>
    <t>Domino - Strut - 50x2 - Galvanized</t>
  </si>
  <si>
    <t>43.07.18.0014</t>
  </si>
  <si>
    <t>Domino - Strut - 50x2 - Powder Coated</t>
  </si>
  <si>
    <t>43.07.18.0009</t>
  </si>
  <si>
    <t>Domino - Brace - 50x2 - L3065 - Galvanized</t>
  </si>
  <si>
    <t>43.07.18.0011</t>
  </si>
  <si>
    <t>Domino - Brace - 50x2 - L3065 - Powder Coated</t>
  </si>
  <si>
    <t>43.07.18.0010</t>
  </si>
  <si>
    <t>Domino - Brace - 50x2 - L3399 - Galvanized</t>
  </si>
  <si>
    <t>43.07.18.0012</t>
  </si>
  <si>
    <t>Domino - Brace - 50x2 - L3399 - Powder Coated</t>
  </si>
  <si>
    <t>43.07.18.0015</t>
  </si>
  <si>
    <t>Domino - Brace - Flat 50x5 - L2262 - Galvanized</t>
  </si>
  <si>
    <t>43.07.18.0016</t>
  </si>
  <si>
    <t>Domino - Brace - Flat 50x5 - L2699 - Galvanized</t>
  </si>
  <si>
    <t>43.07.18.0017</t>
  </si>
  <si>
    <t>Domino - Brace - Flat 50x5 - L2262 - Powder Coated</t>
  </si>
  <si>
    <t>43.07.18.0018</t>
  </si>
  <si>
    <t>Domino - Brace - Flat 50x5 - L2699 - Powder Coated</t>
  </si>
  <si>
    <t>43.09.06.0017</t>
  </si>
  <si>
    <t>Domino - Brace Connector - Galvanized</t>
  </si>
  <si>
    <t>43.09.06.0018</t>
  </si>
  <si>
    <t>Domino - Brace Connector - Powder Coated</t>
  </si>
  <si>
    <t>43.06.14.0049</t>
  </si>
  <si>
    <t>Domino - Gate Column - 80x60x3 - L2260 - Galvanized</t>
  </si>
  <si>
    <t>43.06.14.0050</t>
  </si>
  <si>
    <t xml:space="preserve">Domino - Gate Column - 80x60x3 - L2910 - Galvanized </t>
  </si>
  <si>
    <t>43.06.14.0051</t>
  </si>
  <si>
    <t xml:space="preserve">Domino - Gate Column - 80x603 - L2260 - Powder Coated </t>
  </si>
  <si>
    <t>43.06.14.0052</t>
  </si>
  <si>
    <t xml:space="preserve">Domino - Gate Column - 80x603 - L2910 - Powder Coated </t>
  </si>
  <si>
    <t>43.32.03.0052</t>
  </si>
  <si>
    <t>Domino - Gate Frame - W930 - H2030 - Galvanized</t>
  </si>
  <si>
    <t>43.32.03.0053</t>
  </si>
  <si>
    <t>Domino - Gate Frame - W930 - H2680 - Galvanized</t>
  </si>
  <si>
    <t>43.32.03.0054</t>
  </si>
  <si>
    <t>Domino - Gate Frame - W1180 - H2030 - Galvanized</t>
  </si>
  <si>
    <t>43.32.03.0055</t>
  </si>
  <si>
    <t>Domino - Gate Frame - W1180 - H2680 - Galvanized</t>
  </si>
  <si>
    <t>43.32.03.0056</t>
  </si>
  <si>
    <t>Domino - Gate Frame - W930 - H2030 - Powder Coated</t>
  </si>
  <si>
    <t>43.32.03.0057</t>
  </si>
  <si>
    <t>Domino - Gate Frame - W930 - H2680 - Powder Coated</t>
  </si>
  <si>
    <t>43.32.03.0058</t>
  </si>
  <si>
    <t>Domino - Gate Frame - W1180 - H2030 - Powder Coated</t>
  </si>
  <si>
    <t>43.32.03.0059</t>
  </si>
  <si>
    <t>Domino - Gate Frame - W1180 - H2680 - Powder Coated</t>
  </si>
  <si>
    <t>43.32.03.0048</t>
  </si>
  <si>
    <t xml:space="preserve">Domino - Hinge Bracket - Galvanized  </t>
  </si>
  <si>
    <t>43.32.03.0049</t>
  </si>
  <si>
    <t xml:space="preserve">Domino - Hinge Bracket - Powder coated </t>
  </si>
  <si>
    <t>43.32.03.0050</t>
  </si>
  <si>
    <t xml:space="preserve">Domino - Hinge L-Profile - Galvanized </t>
  </si>
  <si>
    <t>43.32.03.0051</t>
  </si>
  <si>
    <t>Domino - Hinge L-Profile - Powder coated</t>
  </si>
  <si>
    <t>20.07.04.0009</t>
  </si>
  <si>
    <t>Keep - Locinox SFKO-QF-ALUM</t>
  </si>
  <si>
    <t>20.08.03.0117</t>
  </si>
  <si>
    <t>Eyebolt set - Locinox 1039SET-M16-65</t>
  </si>
  <si>
    <t>20.09.01.0039</t>
  </si>
  <si>
    <t>Drop bolt - Locinox VSF-K-QF1BL-ALUM</t>
  </si>
  <si>
    <t>20.10.01.0017</t>
  </si>
  <si>
    <t>Cover shield (2 pcs) - Locinox 3020-HYB-ALU-SILV</t>
  </si>
  <si>
    <t>20.10.01.0018</t>
  </si>
  <si>
    <t>Adapter set - Locinox UNIWING-PC-ALUM</t>
  </si>
  <si>
    <t>20.10.03.0013</t>
  </si>
  <si>
    <t>Handle pair - Locinox 3006M-H</t>
  </si>
  <si>
    <t>20.10.09.0017</t>
  </si>
  <si>
    <t>Lock case - Locinox SIXTYLOCK</t>
  </si>
  <si>
    <t>20.06.05.0096</t>
  </si>
  <si>
    <t>Mechanical code lock - Double sided - Locinox VITA-40-VSZ-2 - P00036414</t>
  </si>
  <si>
    <t>20.06.05.0097</t>
  </si>
  <si>
    <t>Mechanical code lock - Double sided - Locinox VITA-60-VSZ-2  - P00036417</t>
  </si>
  <si>
    <t>20.06.05.0098</t>
  </si>
  <si>
    <t>Battery powered code lock - Double sided - Locinox VERA-40-VSZ-2  - P00019406</t>
  </si>
  <si>
    <t>20.06.05.0099</t>
  </si>
  <si>
    <t>Battery powered code lock - Double sided - Locinox VERA-60-VSZ-2  - P00019407</t>
  </si>
  <si>
    <t>20.07.04.0010</t>
  </si>
  <si>
    <t>Keep for code locks - Locinox SFKO-V-ALUM - P00036294</t>
  </si>
  <si>
    <t>20.10.02.0021</t>
  </si>
  <si>
    <t>Euro Cylinder with 3 keys - 30/30mm</t>
  </si>
  <si>
    <t>20.10.02.0023</t>
  </si>
  <si>
    <t>Euro Cylinder with 3 keys - 30/50mm</t>
  </si>
  <si>
    <t>20.10.02.0041</t>
  </si>
  <si>
    <t>Euro Cylinder with 3 keys - 50/55mm</t>
  </si>
  <si>
    <t>20.10.02.0039</t>
  </si>
  <si>
    <t>Euro Cylinder with 3 keys - 50/70mm</t>
  </si>
  <si>
    <t>40.01.01.0014</t>
  </si>
  <si>
    <t>Wooden panel - Type A1 - Thermowood - WxH=950x2150mm</t>
  </si>
  <si>
    <t>40.01.01.0015</t>
  </si>
  <si>
    <t>Wooden panel - Type A2 - Thermowood - WxH=950x2800mm</t>
  </si>
  <si>
    <t>40.01.01.0016</t>
  </si>
  <si>
    <t>Wooden panel - Type B1 - Thermowood - WxH=1195x2150mm</t>
  </si>
  <si>
    <t>40.01.01.0017</t>
  </si>
  <si>
    <t>Wooden panel - Type B2 - Thermowood - WxH=1195x2800mm</t>
  </si>
  <si>
    <t>09.01.06.0012</t>
  </si>
  <si>
    <t>Thermowood - 90x20x2150mm - 4-sided planed - rounded edges</t>
  </si>
  <si>
    <t>09.01.06.0013</t>
  </si>
  <si>
    <t>Thermowood - 90x20x2800mm - 4-sided planed - rounded edges</t>
  </si>
  <si>
    <t>09.01.06.0014</t>
  </si>
  <si>
    <t>Thermowood - 44x22x950mm - 4-sided planed</t>
  </si>
  <si>
    <t>09.01.06.0015</t>
  </si>
  <si>
    <t>Thermowood - 44x22x1195mm - 4-sided planed</t>
  </si>
  <si>
    <t>09.01.06.0016</t>
  </si>
  <si>
    <t>Thermowood - 44x20x2150mm - 4-sided planed - rounded edges</t>
  </si>
  <si>
    <t>09.01.06.0017</t>
  </si>
  <si>
    <t>Thermowood - 44x20x2800mm - 4-sided planed - rounded edges</t>
  </si>
  <si>
    <t>H</t>
  </si>
  <si>
    <t>20.01.11.0012</t>
  </si>
  <si>
    <t>Mesh Panel - 2D - 6/5/6 - W2000H2030 - RAL6005 - Cut</t>
  </si>
  <si>
    <t>20.01.11.0013</t>
  </si>
  <si>
    <t>Mesh Panel - 2D - 6/5/6 - W2000H2030 - RAL7016 - Cut</t>
  </si>
  <si>
    <t>20.01.11.0014</t>
  </si>
  <si>
    <t>Mesh Panel - 2D - 6/5/6 - W2000H2030 - RAL9005 - Cut</t>
  </si>
  <si>
    <t>20.01.11.0015</t>
  </si>
  <si>
    <t>Mesh Panel - 2D - 6/5/6 - W2000H2030 - Galvanized - Cut</t>
  </si>
  <si>
    <t>20.01.11.0016</t>
  </si>
  <si>
    <t>Mesh Panel - 2D - 6/5/6 - W2000H630 - RAL6005 - Cut</t>
  </si>
  <si>
    <t>20.01.11.0017</t>
  </si>
  <si>
    <t>Mesh Panel - 2D - 6/5/6 - W2000H630 - RAL7016 - Cut</t>
  </si>
  <si>
    <t>20.01.11.0018</t>
  </si>
  <si>
    <t>Mesh Panel - 2D - 6/5/6 - W2000H630 - RAL9005 - Cut</t>
  </si>
  <si>
    <t>20.01.11.0019</t>
  </si>
  <si>
    <t>Mesh Panel - 2D - 6/5/6 - W2000H630 - Galvanized - Cut</t>
  </si>
  <si>
    <t>20.01.11.0020</t>
  </si>
  <si>
    <t>Mesh Panel - 2D - 6/5/6 - W1150H2030 - RAL6005 - Cut</t>
  </si>
  <si>
    <t>20.01.11.0021</t>
  </si>
  <si>
    <t>Mesh Panel - 2D - 6/5/6 - W1150H2030 - RAL7016 - Cut</t>
  </si>
  <si>
    <t>20.01.11.0022</t>
  </si>
  <si>
    <t>Mesh Panel - 2D - 6/5/6 - W1150H2030 - RAL9005 - Cut</t>
  </si>
  <si>
    <t>20.01.11.0023</t>
  </si>
  <si>
    <t>Mesh Panel - 2D - 6/5/6 - W1150H2030 - Galvanized - Cut</t>
  </si>
  <si>
    <t>20.01.11.0024</t>
  </si>
  <si>
    <t>Mesh Panel - 2D - 6/5/6 - W1150H630 - RAL6005 - Cut</t>
  </si>
  <si>
    <t>20.01.11.0025</t>
  </si>
  <si>
    <t>Mesh Panel - 2D - 6/5/6 - W1150H630 - RAL7016 - Cut</t>
  </si>
  <si>
    <t>20.01.11.0026</t>
  </si>
  <si>
    <t>Mesh Panel - 2D - 6/5/6 - W1150H630 - RAL9005 - Cut</t>
  </si>
  <si>
    <t>20.01.11.0027</t>
  </si>
  <si>
    <t>Mesh Panel - 2D - 6/5/6 - W1150H630 - Galvanized - Cut</t>
  </si>
  <si>
    <t>20.01.11.0028</t>
  </si>
  <si>
    <t>Mesh Panel - 2D - 6/5/6 - W900H2030 - RAL6005 - Cut</t>
  </si>
  <si>
    <t>20.01.11.0029</t>
  </si>
  <si>
    <t>Mesh Panel - 2D - 6/5/6 - W900H2030 - RAL7016 - Cut</t>
  </si>
  <si>
    <t>20.01.11.0030</t>
  </si>
  <si>
    <t>Mesh Panel - 2D - 6/5/6 - W900H2030 - RAL9005 - Cut</t>
  </si>
  <si>
    <t>20.01.11.0031</t>
  </si>
  <si>
    <t>Mesh Panel - 2D - 6/5/6 - W900H2030 - Galvanized - Cut</t>
  </si>
  <si>
    <t>20.01.11.0032</t>
  </si>
  <si>
    <t>Mesh Panel - 2D - 6/5/6 - W900H630 - RAL6005 - Cut</t>
  </si>
  <si>
    <t>20.01.11.0033</t>
  </si>
  <si>
    <t>Mesh Panel - 2D - 6/5/6 - W900H630 - RAL7016 - Cut</t>
  </si>
  <si>
    <t>20.01.11.0034</t>
  </si>
  <si>
    <t>Mesh Panel - 2D - 6/5/6 - W900H630 - RAL9005 - Cut</t>
  </si>
  <si>
    <t>20.01.11.0035</t>
  </si>
  <si>
    <t>Mesh Panel - 2D - 6/5/6 - W900H630 - Galvanized - Cut</t>
  </si>
  <si>
    <t>20.01.11.0036</t>
  </si>
  <si>
    <t>Mesh Panel - 2D - 6/5/6 - W600H2030 - RAL6005 - Cut</t>
  </si>
  <si>
    <t>20.01.11.0037</t>
  </si>
  <si>
    <t>Mesh Panel - 2D - 6/5/6 - W600H2030 - RAL7016 - Cut</t>
  </si>
  <si>
    <t>20.01.11.0038</t>
  </si>
  <si>
    <t>Mesh Panel - 2D - 6/5/6 - W600H2030 - RAL9005 - Cut</t>
  </si>
  <si>
    <t>20.01.11.0039</t>
  </si>
  <si>
    <t>Mesh Panel - 2D - 6/5/6 - W600H2030 - Galvanized - Cut</t>
  </si>
  <si>
    <t>20.01.11.0040</t>
  </si>
  <si>
    <t>Mesh Panel - 2D - 6/5/6 - W600H630 - RAL6005 - Cut</t>
  </si>
  <si>
    <t>20.01.11.0041</t>
  </si>
  <si>
    <t>Mesh Panel - 2D - 6/5/6 - W600H630 - RAL7016 - Cut</t>
  </si>
  <si>
    <t>20.01.11.0042</t>
  </si>
  <si>
    <t>Mesh Panel - 2D - 6/5/6 - W600H630 - RAL9005 - Cut</t>
  </si>
  <si>
    <t>20.01.11.0043</t>
  </si>
  <si>
    <t>Mesh Panel - 2D - 6/5/6 - W600H630 - Galvanized - Cut</t>
  </si>
  <si>
    <t>20.01.11.0044</t>
  </si>
  <si>
    <t>Mesh Panel - 2D - 6/5/6 - W350H2030 - RAL6005 - Cut</t>
  </si>
  <si>
    <t>20.01.11.0045</t>
  </si>
  <si>
    <t>Mesh Panel - 2D - 6/5/6 - W350H2030 - RAL7016 - Cut</t>
  </si>
  <si>
    <t>20.01.11.0046</t>
  </si>
  <si>
    <t>Mesh Panel - 2D - 6/5/6 - W350H2030 - RAL9005 - Cut</t>
  </si>
  <si>
    <t>20.01.11.0047</t>
  </si>
  <si>
    <t>Mesh Panel - 2D - 6/5/6 - W350H2030 - Galvanized - Cut</t>
  </si>
  <si>
    <t>20.01.11.0048</t>
  </si>
  <si>
    <t>Mesh Panel - 2D - 6/5/6 - W350H630 - RAL6005 - Cut</t>
  </si>
  <si>
    <t>20.01.11.0049</t>
  </si>
  <si>
    <t>Mesh Panel - 2D - 6/5/6 - W350H630 - RAL7016 - Cut</t>
  </si>
  <si>
    <t>20.01.11.0050</t>
  </si>
  <si>
    <t>Mesh Panel - 2D - 6/5/6 - W350H630 - RAL9005 - Cut</t>
  </si>
  <si>
    <t>20.01.11.0051</t>
  </si>
  <si>
    <t>Mesh Panel - 2D - 6/5/6 - W350H630 - Galvanized - Cut</t>
  </si>
  <si>
    <t>20.01.12.0001</t>
  </si>
  <si>
    <t>Mesh Panel - 2D - 6/5/6 - W2500H2030 - RAL6005</t>
  </si>
  <si>
    <t>20.01.12.0002</t>
  </si>
  <si>
    <t>Mesh Panel - 2D - 6/5/6 - W2500H2030 - RAL7016</t>
  </si>
  <si>
    <t>20.01.12.0003</t>
  </si>
  <si>
    <t>Mesh Panel - 2D - 6/5/6 - W2500H2030 - RAL9005</t>
  </si>
  <si>
    <t>20.01.12.0004</t>
  </si>
  <si>
    <t>Mesh Panel - 2D - 6/5/6 - W2500H2030 - Galvanized</t>
  </si>
  <si>
    <t>20.01.12.0005</t>
  </si>
  <si>
    <t>Mesh Panel - 2D - 6/5/6 - W2500H630 - RAL6005</t>
  </si>
  <si>
    <t>20.01.12.0006</t>
  </si>
  <si>
    <t>Mesh Panel - 2D - 6/5/6 - W2500H630 - RAL7016</t>
  </si>
  <si>
    <t>20.01.12.0007</t>
  </si>
  <si>
    <t>Mesh Panel - 2D - 6/5/6 - W2500H630 - RAL9005</t>
  </si>
  <si>
    <t>20.01.12.0008</t>
  </si>
  <si>
    <t>Mesh Panel - 2D - 6/5/6 - W2500H630 - Galvanized</t>
  </si>
  <si>
    <t>08.02.04.0007</t>
  </si>
  <si>
    <t>Glass Panel - Tempered - Clear - T=8mm - W950H2150</t>
  </si>
  <si>
    <t>08.02.04.0008</t>
  </si>
  <si>
    <t>Glass Panel - Tempered - Clear - T=8mm - W1195H2150</t>
  </si>
  <si>
    <t>Coverage</t>
  </si>
  <si>
    <t>01.06.11.0011</t>
  </si>
  <si>
    <t>Steel Roof Sheet - RAL7016 - L=2020mm</t>
  </si>
  <si>
    <t>01.06.11.0012</t>
  </si>
  <si>
    <t>Steel Roof Sheet - RAL7016 - L=2520mm</t>
  </si>
  <si>
    <t>07.01.05.0013</t>
  </si>
  <si>
    <t>Polycarbonate Roof Sheet - Trapez 250/35 - Clear - T=1,00mm - L=2020mm</t>
  </si>
  <si>
    <t>07.01.05.0014</t>
  </si>
  <si>
    <t>Polycarbonate Roof Sheet - Trapez 250/35 - Clear - T=1,00mm - L=2520mm</t>
  </si>
  <si>
    <t>37.44.06.0001</t>
  </si>
  <si>
    <t>Alu L-profile - 125x50x2 - Perfo R5T8 - L=3000mm</t>
  </si>
  <si>
    <t>37.44.04.0002</t>
  </si>
  <si>
    <t>Alu L-profile - 50x50x2 - Perfo R5T8 - L=3000mm</t>
  </si>
  <si>
    <t>30.05.04.0039</t>
  </si>
  <si>
    <t>LED Fixture - 33W/3960lm/IP66 - L=1285mm - Ledvance 4058075740914</t>
  </si>
  <si>
    <t>30.04.01.0001</t>
  </si>
  <si>
    <t>PVC Conduit 20mm - Class 3231 - RAL7035 - L=3000mm - Pipelife 1196040600</t>
  </si>
  <si>
    <t>30.01.04.0001</t>
  </si>
  <si>
    <t>Electricity cable - XGB 3G 1,5mm² - Green</t>
  </si>
  <si>
    <t>03.02.02.0092</t>
  </si>
  <si>
    <t>Alu L-profile - 80x40x3</t>
  </si>
  <si>
    <t>03.02.02.0110</t>
  </si>
  <si>
    <t>Alu L-profile - 80x40x3 - Powder Coated</t>
  </si>
  <si>
    <t>Hexagon head bolt
DIN933 - M10X30</t>
  </si>
  <si>
    <t>Hexagon head bolt
DIN933 - M10X60</t>
  </si>
  <si>
    <t>Hexagon head bolt
DIN933 - M10X80</t>
  </si>
  <si>
    <t>Hexagon head bolt
DIN933 - M10X90</t>
  </si>
  <si>
    <t>Hexagon head bolt
DIN933 - M10X100</t>
  </si>
  <si>
    <t>Hexagon head bolt
DIN933 - M10X110</t>
  </si>
  <si>
    <t>Hexagon head bolt
DIN933 - M10X140</t>
  </si>
  <si>
    <t>Hexagon nut
DIN934 - M10</t>
  </si>
  <si>
    <t>Plain washer
DIN125-1A - M10</t>
  </si>
  <si>
    <t>Thread forming bolt
DIN7500D - M10x30</t>
  </si>
  <si>
    <t>Nut Cap
PE black - M10</t>
  </si>
  <si>
    <t>Hexagon socket
button head screw
ISO 7380-2 - M10x40</t>
  </si>
  <si>
    <t>Self-drilling screw
neoprene washer
DIN7504K - 6,3x25</t>
  </si>
  <si>
    <t>Wood screw
Stainless A2
4x35mm</t>
  </si>
  <si>
    <t>Self-drilling screw
with wings
5,5x50mm</t>
  </si>
  <si>
    <t>Blind rivet
Waterproof
DIN7337A - 4,8x12,5</t>
  </si>
  <si>
    <t>Nylon sleeve
PA6 - Ø26/14x6mm</t>
  </si>
  <si>
    <t>Leafguard
Ø50/70mm</t>
  </si>
  <si>
    <t>Hybrid polymer sealant
400ml - Transparent
Proma Bond 334906</t>
  </si>
  <si>
    <t>Anchor rod - Zinc plated
M12x160-5.8
Würth W-VD-A/S</t>
  </si>
  <si>
    <t>Chemical anchor
capsule M12x95
Würth W-VPZ 12</t>
  </si>
  <si>
    <t>Wedge Anchor
Baraco FM753ZN
M12/40x139mm</t>
  </si>
  <si>
    <t>Hexagon domed
cap nut
Zinc plated M12</t>
  </si>
  <si>
    <t>Panel Clamp - Uni
Double - RAL9005
incl. screw and cap</t>
  </si>
  <si>
    <t>Panel Clamp - Uni
Single - RAL9005
incl. screw and cap</t>
  </si>
  <si>
    <t>Plug
107VS VM 12 - RAL7035
OBO 2029517</t>
  </si>
  <si>
    <t>Conduit coupler
20mm - Straight
RAL7035 - Helia 34623</t>
  </si>
  <si>
    <t>Conduit end cap
20mm - RAL7035
Helia 34523</t>
  </si>
  <si>
    <t>Conduit clip
M6 19-22 - RAL7035
OBO 2140233</t>
  </si>
  <si>
    <t>Self-drilling screw
DIN7504M-H - 4,2x25</t>
  </si>
  <si>
    <t>QTY</t>
  </si>
  <si>
    <t>15.02.02.0124</t>
  </si>
  <si>
    <t>15.02.02.0131</t>
  </si>
  <si>
    <t>15.02.02.0135</t>
  </si>
  <si>
    <t>15.02.02.0136</t>
  </si>
  <si>
    <t>15.02.02.0137</t>
  </si>
  <si>
    <t>15.02.02.0138</t>
  </si>
  <si>
    <t>15.02.02.0142</t>
  </si>
  <si>
    <t>15.03.01.0009</t>
  </si>
  <si>
    <t>15.08.03.0006</t>
  </si>
  <si>
    <t>15.02.11.0141</t>
  </si>
  <si>
    <t>19.02.02.0006</t>
  </si>
  <si>
    <t>15.02.05.0066</t>
  </si>
  <si>
    <t>15.06.02.0050</t>
  </si>
  <si>
    <t>16.04.03.0124</t>
  </si>
  <si>
    <t>14.09.01.0002</t>
  </si>
  <si>
    <t>17.04.01.0058</t>
  </si>
  <si>
    <t>19.04.00.0001</t>
  </si>
  <si>
    <t>27.05.01.0001</t>
  </si>
  <si>
    <t>34.03.02.0034</t>
  </si>
  <si>
    <t>18.01.18.0001</t>
  </si>
  <si>
    <t>18.03.03.0001</t>
  </si>
  <si>
    <t>18.01.09.0142</t>
  </si>
  <si>
    <t>15.03.04.0006</t>
  </si>
  <si>
    <t>20.05.01.0004</t>
  </si>
  <si>
    <t>20.05.01.0005</t>
  </si>
  <si>
    <t>30.03.03.0027</t>
  </si>
  <si>
    <t>30.04.04.0002</t>
  </si>
  <si>
    <t>30.04.03.0004</t>
  </si>
  <si>
    <t>30.04.02.0008</t>
  </si>
  <si>
    <t>15.06.05.0011</t>
  </si>
  <si>
    <t>Alu L-profile R5T8 - attached on gutter - in meters</t>
  </si>
  <si>
    <t>Alu L-profile R5T8 - attached on roof sheet - in meters</t>
  </si>
  <si>
    <t>10% extra</t>
  </si>
  <si>
    <t>CODE</t>
  </si>
  <si>
    <t>DESCR</t>
  </si>
  <si>
    <t>flag</t>
  </si>
  <si>
    <t>index</t>
  </si>
  <si>
    <t>Hexagon head bolt - DIN933 - M10X30</t>
  </si>
  <si>
    <t>Hexagon head bolt - DIN933 - M10X60</t>
  </si>
  <si>
    <t>Hexagon head bolt - DIN933 - M10X80</t>
  </si>
  <si>
    <t>Hexagon head bolt - DIN933 - M10X90</t>
  </si>
  <si>
    <t>Hexagon head bolt - DIN933 - M10X100</t>
  </si>
  <si>
    <t>Hexagon head bolt - DIN933 - M10X110</t>
  </si>
  <si>
    <t>Hexagon head bolt - DIN933 - M10X140</t>
  </si>
  <si>
    <t>Hexagon nut - DIN934 - M10</t>
  </si>
  <si>
    <t>Plain washer - DIN125-1A - M10</t>
  </si>
  <si>
    <t>Thread forming bolt - DIN7500D - M10x30</t>
  </si>
  <si>
    <t>Nut Cap - PE black - M10</t>
  </si>
  <si>
    <t>Hexagon socket button head screw - ISO 7380-2 - M10x40</t>
  </si>
  <si>
    <t>Self-drilling screw - neoprene washer - DIN7504K - 6,3x25</t>
  </si>
  <si>
    <t>Wood screw - Stainless A2 - 4x35mm</t>
  </si>
  <si>
    <t>Self-drilling screw with wings - 5,5x50mm</t>
  </si>
  <si>
    <t>Blind rivet - waterproof - DIN7337A - 4,8x12,5</t>
  </si>
  <si>
    <t>Nylon sleeve - PA6 - Ø26/14x6mm</t>
  </si>
  <si>
    <t>Leafguard - Ø50/70mm</t>
  </si>
  <si>
    <t>Hybrid polymer sealant - 400ml - Transparent - Proma Bond 334906</t>
  </si>
  <si>
    <t>Wedge Anchor - Baraco FM753ZN - M12/40x139mm</t>
  </si>
  <si>
    <t>Anchor rod - Zinc plated M12x160-5.8 - Würth W-VD-A/S</t>
  </si>
  <si>
    <t>Chemical anchor - capsule M12x95 - Würth W-VPZ 12</t>
  </si>
  <si>
    <t>Hexagon domed cap nut - Zinc plated M12</t>
  </si>
  <si>
    <t>Panel Clamp - Uni - Double - RAL9005 - incl. screw and cap</t>
  </si>
  <si>
    <t>Panel Clamp - Uni - Single - RAL9005 - incl. screw and cap</t>
  </si>
  <si>
    <t>Plug - 107VS VM 12 - RAL7035 - OBO 2029517</t>
  </si>
  <si>
    <t>Conduit coupler 20mm - Straight - RAL7035 - Helia 34623</t>
  </si>
  <si>
    <t>Conduit end cap 20mm - RAL7035 - Helia 34523</t>
  </si>
  <si>
    <t>Conduit clip - M6 19-22 - RAL7035 - OBO 2140233</t>
  </si>
  <si>
    <t>Self-drilling screw - DIN7504M-H - 4,2x25</t>
  </si>
  <si>
    <t>INDEX2</t>
  </si>
  <si>
    <t>INDEX</t>
  </si>
  <si>
    <t>UNIT</t>
  </si>
  <si>
    <t>PRICE/UNIT</t>
  </si>
  <si>
    <t>PRICE</t>
  </si>
  <si>
    <t>MONTAGE/UNIT</t>
  </si>
  <si>
    <t>MONTAGE</t>
  </si>
  <si>
    <t>TOTAL</t>
  </si>
  <si>
    <t>LALIST</t>
  </si>
  <si>
    <t>Nederlands</t>
  </si>
  <si>
    <t>Français</t>
  </si>
  <si>
    <t>Selected</t>
  </si>
  <si>
    <t>Oppervlaktebehandeling - verzinkt</t>
  </si>
  <si>
    <t>Traitement de surface - galvanisé</t>
  </si>
  <si>
    <t>Surface treatment - galvanized</t>
  </si>
  <si>
    <t>Oppervlaktebehandeling - verzinkt en gepoedercoat</t>
  </si>
  <si>
    <t>Traitement de surface - galvanisé et thermolaqué</t>
  </si>
  <si>
    <t>Surface treatment - galvanized and powder coated</t>
  </si>
  <si>
    <t>Oppervlaktebehandeling - verzinkt - enkel dakrand gepoedercoat</t>
  </si>
  <si>
    <t>Traitement de surface - galvanisé - juste bord de toit thermolaqué</t>
  </si>
  <si>
    <t>Surface treatment - galvanized - only roof edge powder coated</t>
  </si>
  <si>
    <t>Dakbedekking in geprofileerde staalplaat (onderzijde gebroken wit - bovenzijde RAL7016)</t>
  </si>
  <si>
    <t>Toiture en tôle d'acier profilée (intérieur blanc cassé - extérieur RAL7016)</t>
  </si>
  <si>
    <t>Roof in profiled steel sheet (bottom off-white - top RAL7016)</t>
  </si>
  <si>
    <t>Dakbedekking in geprofileerd massief polycarbonaat (helder)</t>
  </si>
  <si>
    <t>Toiture en polycarbonate solide profilé (transparent)</t>
  </si>
  <si>
    <t>Roof in profiled solid polycarbonate (clear)</t>
  </si>
  <si>
    <t>Met poortbeslag - eurocilinderslot</t>
  </si>
  <si>
    <t>Avec accessoires de portail - serrure à cylindre européen</t>
  </si>
  <si>
    <t>With gate hardware - euro cylinder lock</t>
  </si>
  <si>
    <t>Met poortbeslag - mechanisch codeslot - dubbelzijdig</t>
  </si>
  <si>
    <t>Avec accessoires de portail - serrure à code mécanique - double face</t>
  </si>
  <si>
    <t>With gate hardware - mechanical code lock - double sided</t>
  </si>
  <si>
    <t>Met poortbeslag - batterijgevoed codeslot - dubbelzijdig</t>
  </si>
  <si>
    <t>Avec accessoires de portail - serrure à code sur batterie - double face</t>
  </si>
  <si>
    <t>With gate hardware - battery powered code lock - double sided</t>
  </si>
  <si>
    <t>Zonder poortbeslag (slotkast - slotvanger - krukpaar - grondgrendel - cilinder)</t>
  </si>
  <si>
    <t>Sans accessoires de portail (serrure - gâche - poignées - verrou de sol - cylindre)</t>
  </si>
  <si>
    <t>Without gate hardware (lock - keep - handles - drop bolt - cylinder)</t>
  </si>
  <si>
    <t>Chemische verankering - ETA-21/0168</t>
  </si>
  <si>
    <t>Ancrage chimique - ETA-21/0168</t>
  </si>
  <si>
    <t>Chemical anchoring - ETA-21/0168</t>
  </si>
  <si>
    <t>Exclusief funderingen</t>
  </si>
  <si>
    <t>Fondations exclus</t>
  </si>
  <si>
    <t>Foundations excluded</t>
  </si>
  <si>
    <t>PRICE (EUR)</t>
  </si>
  <si>
    <t>MONTAGE (HRS)</t>
  </si>
  <si>
    <t>Alu L-profile - 50/125 - R5T8 - L=3000mm</t>
  </si>
  <si>
    <t>Alu L-profile - 50/50 - R5T8 - L=3000mm</t>
  </si>
  <si>
    <t>m</t>
  </si>
  <si>
    <t>Mechanical code lock - Double sided - Locinox VITA-60-VSZ-2 - P00036417</t>
  </si>
  <si>
    <t>Domino - Girder - 50x2 - L293mm - 2Ø13 - 2M10 - Galvanized</t>
  </si>
  <si>
    <t>Domino - Girder - 50x2 - L543mm - 2Ø13 - 2M10 - Galvanized</t>
  </si>
  <si>
    <t>Domino - Girder - 50x2 - L543mm - 2Ø13 - 2M10 - Powder coated</t>
  </si>
  <si>
    <t>Domino - Gate Column - 80x60x3 - L2910 - Galvanized</t>
  </si>
  <si>
    <t>Domino - Gate Column - 80x603 - L2260 - Powder Coated</t>
  </si>
  <si>
    <t>Domino - Gate Column - 80x603 - L2910 - Powder Coated</t>
  </si>
  <si>
    <t>Domino - Hinge Bracket - Galvanized</t>
  </si>
  <si>
    <t>Domino - Hinge Bracket - Powder coated</t>
  </si>
  <si>
    <t>Domino - Hinge L-Profile - Galvanized</t>
  </si>
  <si>
    <t>Wooden panel - type A1 - thermowood - WxH=950x2150mm</t>
  </si>
  <si>
    <t>Wooden panel - type A2 - thermowood - WxH=950x2800mm</t>
  </si>
  <si>
    <t>EXTRA PLUS (HRS)</t>
  </si>
  <si>
    <t>Thermowood - 90x20x2150mm - 4-sided planed - Rounded edges</t>
  </si>
  <si>
    <t>Thermowood - 90x20x2800mm - 4-sided planed - Rounded edges</t>
  </si>
  <si>
    <t>Thermowood - 44x20x2150mm - 4-sided planed - Rounded edges</t>
  </si>
  <si>
    <t>Thermowood - 44x20x2800mm - 4-sided planed - Rounded edges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</si>
</sst>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quot;€&quot;\ #,##0.00"/>
    <numFmt numFmtId="166" formatCode="0&quot; km&quot;"/>
    <numFmt numFmtId="167" formatCode="0.00&quot; h&quot;"/>
    <numFmt numFmtId="168" formatCode="0&quot; days&quot;"/>
    <numFmt numFmtId="169" formatCode="0&quot; km/h&quot;"/>
  </numFmts>
  <fonts count="7">
    <font>
      <sz val="11"/>
      <color theme="1"/>
      <name val="Calibri"/>
      <family val="2"/>
      <scheme val="minor"/>
    </font>
    <font>
      <b/>
      <sz val="11"/>
      <color theme="1"/>
      <name val="Calibri"/>
      <family val="2"/>
      <scheme val="minor"/>
    </font>
    <font>
      <b/>
      <sz val="11"/>
      <color rgb="FFFF0000"/>
      <name val="Calibri"/>
      <family val="2"/>
      <scheme val="minor"/>
    </font>
    <font>
      <sz val="26"/>
      <color theme="4" tint="-0.499984740745262"/>
      <name val="Calibri"/>
      <family val="2"/>
      <scheme val="minor"/>
    </font>
    <font>
      <b/>
      <u/>
      <sz val="11"/>
      <color theme="1"/>
      <name val="Calibri"/>
      <family val="2"/>
      <scheme val="minor"/>
    </font>
    <font>
      <sz val="11"/>
      <color theme="5"/>
      <name val="Calibri"/>
      <family val="2"/>
      <scheme val="minor"/>
    </font>
    <font>
      <sz val="1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rgb="FFFF000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86">
    <xf numFmtId="0" fontId="0" fillId="0" borderId="0" xfId="0"/>
    <xf numFmtId="0" fontId="0" fillId="0" borderId="0" xfId="0" applyAlignment="1">
      <alignment horizontal="left"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 fontId="0" fillId="0" borderId="9" xfId="0" applyNumberFormat="1" applyBorder="1" applyAlignment="1">
      <alignment horizontal="center" vertical="center"/>
    </xf>
    <xf numFmtId="1" fontId="0" fillId="0" borderId="10" xfId="0" applyNumberFormat="1" applyBorder="1" applyAlignment="1">
      <alignment horizontal="center" vertical="center"/>
    </xf>
    <xf numFmtId="1" fontId="0" fillId="0" borderId="6"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29" xfId="0" applyBorder="1" applyAlignment="1">
      <alignment horizontal="center" vertical="center"/>
    </xf>
    <xf numFmtId="0" fontId="0" fillId="0" borderId="0" xfId="0" applyAlignment="1">
      <alignment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 xfId="0" applyBorder="1" applyAlignment="1">
      <alignment horizontal="center" vertical="center"/>
    </xf>
    <xf numFmtId="0" fontId="0" fillId="0" borderId="35"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 fontId="0" fillId="0" borderId="0" xfId="0" applyNumberFormat="1" applyAlignment="1">
      <alignment horizontal="left" vertical="center"/>
    </xf>
    <xf numFmtId="0" fontId="0" fillId="0" borderId="0" xfId="0" applyAlignment="1">
      <alignment horizontal="right" vertical="center"/>
    </xf>
    <xf numFmtId="164" fontId="0" fillId="0" borderId="9" xfId="0" applyNumberFormat="1" applyBorder="1" applyAlignment="1">
      <alignment horizontal="center" vertic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3" xfId="0" applyBorder="1" applyAlignment="1">
      <alignment horizontal="left" vertical="center"/>
    </xf>
    <xf numFmtId="0" fontId="0" fillId="0" borderId="3" xfId="0" applyBorder="1" applyAlignment="1">
      <alignment horizontal="left" vertical="center"/>
    </xf>
    <xf numFmtId="0" fontId="0" fillId="0" borderId="20" xfId="0" applyBorder="1" applyAlignment="1">
      <alignment horizontal="left"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1" xfId="0" applyBorder="1" applyAlignment="1">
      <alignment horizontal="center" vertical="center"/>
    </xf>
    <xf numFmtId="0" fontId="0" fillId="0" borderId="21" xfId="0" applyBorder="1"/>
    <xf numFmtId="0" fontId="0" fillId="0" borderId="38" xfId="0" applyBorder="1"/>
    <xf numFmtId="0" fontId="0" fillId="0" borderId="8" xfId="0" applyBorder="1"/>
    <xf numFmtId="0" fontId="0" fillId="0" borderId="9" xfId="0" applyBorder="1"/>
    <xf numFmtId="0" fontId="0" fillId="0" borderId="5" xfId="0" applyBorder="1"/>
    <xf numFmtId="0" fontId="0" fillId="0" borderId="10" xfId="0" applyBorder="1"/>
    <xf numFmtId="0" fontId="0" fillId="0" borderId="6" xfId="0" applyBorder="1"/>
    <xf numFmtId="0" fontId="0" fillId="0" borderId="7" xfId="0" applyBorder="1"/>
    <xf numFmtId="0" fontId="0" fillId="0" borderId="11" xfId="0" applyBorder="1"/>
    <xf numFmtId="0" fontId="0" fillId="0" borderId="12" xfId="0" applyBorder="1"/>
    <xf numFmtId="0" fontId="0" fillId="0" borderId="13" xfId="0" applyBorder="1"/>
    <xf numFmtId="0" fontId="2" fillId="0" borderId="0" xfId="0" applyFont="1" applyAlignment="1">
      <alignment horizontal="left" vertical="center"/>
    </xf>
    <xf numFmtId="0" fontId="0" fillId="0" borderId="9" xfId="0" applyBorder="1" applyAlignment="1">
      <alignment horizontal="left" vertical="center"/>
    </xf>
    <xf numFmtId="0" fontId="2" fillId="0" borderId="5" xfId="0" applyFont="1" applyBorder="1" applyAlignment="1">
      <alignment horizontal="left" vertical="center"/>
    </xf>
    <xf numFmtId="0" fontId="0" fillId="0" borderId="10" xfId="0" applyBorder="1" applyAlignment="1">
      <alignment horizontal="left" vertical="center"/>
    </xf>
    <xf numFmtId="0" fontId="0" fillId="0" borderId="32" xfId="0" applyBorder="1" applyAlignment="1">
      <alignment vertical="center"/>
    </xf>
    <xf numFmtId="0" fontId="0" fillId="0" borderId="19" xfId="0" applyBorder="1" applyAlignment="1">
      <alignment vertical="center"/>
    </xf>
    <xf numFmtId="2" fontId="0" fillId="0" borderId="21" xfId="0" applyNumberFormat="1" applyBorder="1"/>
    <xf numFmtId="2" fontId="0" fillId="0" borderId="9" xfId="0" applyNumberFormat="1" applyBorder="1"/>
    <xf numFmtId="2" fontId="0" fillId="0" borderId="5" xfId="0" applyNumberFormat="1" applyBorder="1"/>
    <xf numFmtId="2" fontId="0" fillId="0" borderId="10" xfId="0" applyNumberFormat="1" applyBorder="1"/>
    <xf numFmtId="2" fontId="0" fillId="0" borderId="7" xfId="0" applyNumberFormat="1" applyBorder="1"/>
    <xf numFmtId="4" fontId="0" fillId="0" borderId="13" xfId="0" applyNumberFormat="1" applyBorder="1"/>
    <xf numFmtId="1" fontId="0" fillId="2" borderId="1" xfId="0" applyNumberFormat="1" applyFill="1" applyBorder="1" applyAlignment="1" applyProtection="1">
      <alignment horizontal="center" vertical="center" wrapText="1"/>
      <protection locked="0"/>
    </xf>
    <xf numFmtId="0" fontId="0" fillId="2" borderId="1" xfId="0" applyFill="1" applyBorder="1" applyAlignment="1" applyProtection="1">
      <alignment horizontal="left" vertical="center" wrapText="1"/>
      <protection locked="0"/>
    </xf>
    <xf numFmtId="0" fontId="0" fillId="4" borderId="1" xfId="0" applyFill="1" applyBorder="1" applyAlignment="1" applyProtection="1">
      <alignment wrapText="1"/>
      <protection locked="0"/>
    </xf>
    <xf numFmtId="0" fontId="0" fillId="4" borderId="1" xfId="0" applyFill="1" applyBorder="1" applyAlignment="1" applyProtection="1">
      <alignment horizontal="left" vertical="center" wrapText="1"/>
      <protection locked="0"/>
    </xf>
    <xf numFmtId="0" fontId="0" fillId="0" borderId="11" xfId="0" applyBorder="1" applyAlignment="1">
      <alignment horizontal="right"/>
    </xf>
    <xf numFmtId="0" fontId="0" fillId="0" borderId="12" xfId="0" applyBorder="1" applyAlignment="1">
      <alignment horizontal="right"/>
    </xf>
    <xf numFmtId="0" fontId="0" fillId="0" borderId="22" xfId="0" applyBorder="1" applyAlignment="1">
      <alignment horizontal="right"/>
    </xf>
    <xf numFmtId="0" fontId="0" fillId="0" borderId="24" xfId="0" applyBorder="1" applyAlignment="1">
      <alignment horizontal="right"/>
    </xf>
    <xf numFmtId="0" fontId="0" fillId="0" borderId="27" xfId="0" applyBorder="1" applyAlignment="1">
      <alignment horizontal="right"/>
    </xf>
    <xf numFmtId="0" fontId="0" fillId="0" borderId="0" xfId="0" applyAlignment="1">
      <alignment horizontal="left"/>
    </xf>
    <xf numFmtId="168" fontId="0" fillId="0" borderId="0" xfId="0" applyNumberFormat="1" applyAlignment="1">
      <alignment horizontal="center"/>
    </xf>
    <xf numFmtId="169" fontId="0" fillId="0" borderId="28" xfId="0" applyNumberFormat="1" applyBorder="1" applyAlignment="1">
      <alignment horizontal="center"/>
    </xf>
    <xf numFmtId="169" fontId="0" fillId="0" borderId="23" xfId="0" applyNumberFormat="1" applyBorder="1" applyAlignment="1">
      <alignment horizontal="center"/>
    </xf>
    <xf numFmtId="0" fontId="0" fillId="0" borderId="26" xfId="0" applyBorder="1" applyAlignment="1">
      <alignment horizontal="center"/>
    </xf>
    <xf numFmtId="166" fontId="0" fillId="0" borderId="28" xfId="0" applyNumberFormat="1" applyBorder="1" applyAlignment="1">
      <alignment horizontal="center"/>
    </xf>
    <xf numFmtId="169" fontId="0" fillId="0" borderId="26" xfId="0" applyNumberFormat="1" applyBorder="1" applyAlignment="1">
      <alignment horizontal="center"/>
    </xf>
    <xf numFmtId="0" fontId="0" fillId="0" borderId="0" xfId="0" applyAlignment="1">
      <alignment horizontal="center"/>
    </xf>
    <xf numFmtId="166" fontId="0" fillId="0" borderId="0" xfId="0" applyNumberFormat="1" applyAlignment="1">
      <alignment horizontal="center" vertical="center"/>
    </xf>
    <xf numFmtId="167" fontId="0" fillId="0" borderId="0" xfId="0" applyNumberFormat="1" applyAlignment="1">
      <alignment horizontal="center"/>
    </xf>
    <xf numFmtId="0" fontId="0" fillId="5" borderId="18" xfId="0" applyFill="1" applyBorder="1" applyAlignment="1" applyProtection="1">
      <alignment horizontal="right" vertical="center"/>
      <protection locked="0"/>
    </xf>
    <xf numFmtId="1" fontId="0" fillId="0" borderId="11" xfId="0" applyNumberFormat="1" applyBorder="1" applyAlignment="1">
      <alignment vertical="center"/>
    </xf>
    <xf numFmtId="1" fontId="0" fillId="0" borderId="12" xfId="0" applyNumberFormat="1" applyBorder="1" applyAlignment="1">
      <alignment vertical="center"/>
    </xf>
    <xf numFmtId="0" fontId="5" fillId="0" borderId="0" xfId="0" applyFont="1"/>
    <xf numFmtId="0" fontId="6" fillId="0" borderId="0" xfId="0" applyFont="1"/>
    <xf numFmtId="0" fontId="6" fillId="0" borderId="0" xfId="0" applyFont="1" applyAlignment="1">
      <alignment vertical="center"/>
    </xf>
    <xf numFmtId="0" fontId="6"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center" vertical="center"/>
    </xf>
    <xf numFmtId="0" fontId="6" fillId="0" borderId="32" xfId="0" applyFont="1" applyBorder="1" applyAlignment="1">
      <alignment horizontal="center" vertical="center" wrapText="1"/>
    </xf>
    <xf numFmtId="0" fontId="6" fillId="0" borderId="19" xfId="0" applyFont="1" applyBorder="1" applyAlignment="1">
      <alignment horizontal="center" vertical="center"/>
    </xf>
    <xf numFmtId="0" fontId="6" fillId="0" borderId="37" xfId="0" applyFont="1" applyBorder="1" applyAlignment="1">
      <alignment horizontal="center" vertical="center"/>
    </xf>
    <xf numFmtId="0" fontId="6" fillId="0" borderId="4" xfId="0" applyFont="1" applyBorder="1" applyAlignment="1">
      <alignment horizontal="center" vertical="center"/>
    </xf>
    <xf numFmtId="0" fontId="6" fillId="0" borderId="34" xfId="0" applyFont="1" applyBorder="1" applyAlignment="1">
      <alignment horizontal="center" vertical="center"/>
    </xf>
    <xf numFmtId="0" fontId="6" fillId="0" borderId="3" xfId="0" applyFont="1" applyBorder="1" applyAlignment="1">
      <alignment horizontal="left" vertical="center"/>
    </xf>
    <xf numFmtId="1" fontId="6" fillId="0" borderId="12" xfId="0" applyNumberFormat="1" applyFont="1" applyBorder="1"/>
    <xf numFmtId="0" fontId="6" fillId="0" borderId="12" xfId="0" applyFont="1" applyBorder="1" applyAlignment="1">
      <alignment vertical="center"/>
    </xf>
    <xf numFmtId="1" fontId="6" fillId="0" borderId="6" xfId="0" applyNumberFormat="1" applyFont="1" applyBorder="1"/>
    <xf numFmtId="0" fontId="6" fillId="0" borderId="6" xfId="0" applyFont="1" applyBorder="1" applyAlignment="1">
      <alignment horizontal="center" vertical="center"/>
    </xf>
    <xf numFmtId="0" fontId="0" fillId="2" borderId="1" xfId="0" applyFill="1" applyBorder="1" applyAlignment="1" applyProtection="1">
      <alignment wrapText="1"/>
      <protection locked="0"/>
    </xf>
    <xf numFmtId="0" fontId="6" fillId="0" borderId="0" xfId="0" applyFont="1" applyAlignment="1">
      <alignment horizontal="right" vertical="center"/>
    </xf>
    <xf numFmtId="0" fontId="6" fillId="0" borderId="0" xfId="0" applyFont="1" applyAlignment="1">
      <alignment horizontal="right"/>
    </xf>
    <xf numFmtId="0" fontId="6" fillId="0" borderId="0" xfId="0" applyFont="1" applyAlignment="1">
      <alignment horizontal="center" vertical="center" wrapText="1"/>
    </xf>
    <xf numFmtId="0" fontId="0" fillId="4" borderId="18" xfId="0" applyFill="1" applyBorder="1" applyAlignment="1" applyProtection="1">
      <alignment horizontal="right" vertical="center"/>
      <protection locked="0"/>
    </xf>
    <xf numFmtId="0" fontId="0" fillId="0" borderId="5" xfId="0" applyBorder="1" applyAlignment="1">
      <alignment horizontal="center"/>
    </xf>
    <xf numFmtId="164" fontId="0" fillId="0" borderId="0" xfId="0" applyNumberFormat="1" applyAlignment="1">
      <alignment horizontal="center" vertical="center"/>
    </xf>
    <xf numFmtId="1" fontId="0" fillId="0" borderId="0" xfId="0" applyNumberFormat="1" applyAlignment="1">
      <alignment horizontal="center" vertical="center"/>
    </xf>
    <xf numFmtId="1" fontId="6" fillId="0" borderId="0" xfId="0" applyNumberFormat="1" applyFont="1"/>
    <xf numFmtId="0" fontId="0" fillId="0" borderId="2" xfId="0" applyBorder="1" applyAlignment="1">
      <alignment horizontal="left"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0" fillId="0" borderId="0" xfId="0" applyAlignment="1">
      <alignment wrapText="1"/>
    </xf>
    <xf numFmtId="0" fontId="3" fillId="0" borderId="0" xfId="0" applyFont="1" applyAlignment="1">
      <alignment horizontal="center" vertical="center" wrapText="1"/>
    </xf>
    <xf numFmtId="0" fontId="0" fillId="0" borderId="0" xfId="0" applyAlignment="1">
      <alignment horizontal="left" vertical="center" wrapText="1"/>
    </xf>
    <xf numFmtId="0" fontId="0" fillId="3" borderId="0" xfId="0" applyFill="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0" borderId="27" xfId="0" applyBorder="1" applyAlignment="1">
      <alignment wrapText="1"/>
    </xf>
    <xf numFmtId="14" fontId="0" fillId="0" borderId="28" xfId="0" applyNumberFormat="1" applyBorder="1" applyAlignment="1">
      <alignment horizontal="left" vertical="center" wrapText="1"/>
    </xf>
    <xf numFmtId="0" fontId="0" fillId="0" borderId="22" xfId="0" applyBorder="1" applyAlignment="1">
      <alignment wrapText="1"/>
    </xf>
    <xf numFmtId="0" fontId="0" fillId="0" borderId="23" xfId="0" quotePrefix="1" applyBorder="1" applyAlignment="1">
      <alignment horizontal="left" vertical="center" wrapText="1"/>
    </xf>
    <xf numFmtId="0" fontId="0" fillId="0" borderId="24" xfId="0" applyBorder="1" applyAlignment="1">
      <alignment wrapText="1"/>
    </xf>
    <xf numFmtId="0" fontId="0" fillId="0" borderId="26" xfId="0" applyBorder="1" applyAlignment="1">
      <alignment horizontal="left" vertical="center" wrapText="1"/>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27" xfId="0" applyBorder="1" applyAlignment="1">
      <alignment horizontal="left" vertical="center"/>
    </xf>
    <xf numFmtId="0" fontId="1" fillId="0" borderId="39" xfId="0" applyFont="1" applyBorder="1" applyAlignment="1">
      <alignment horizontal="left" vertical="center"/>
    </xf>
    <xf numFmtId="0" fontId="0" fillId="0" borderId="39" xfId="0" applyBorder="1" applyAlignment="1">
      <alignment horizontal="left" vertical="center"/>
    </xf>
    <xf numFmtId="0" fontId="0" fillId="0" borderId="28" xfId="0" applyBorder="1" applyAlignment="1">
      <alignment horizontal="left" vertical="center"/>
    </xf>
    <xf numFmtId="0" fontId="0" fillId="0" borderId="22" xfId="0" applyBorder="1" applyAlignment="1">
      <alignment horizontal="left" vertical="center"/>
    </xf>
    <xf numFmtId="0" fontId="0" fillId="0" borderId="42" xfId="0" applyBorder="1" applyAlignment="1">
      <alignment horizontal="left" vertical="center"/>
    </xf>
    <xf numFmtId="0" fontId="0" fillId="0" borderId="28" xfId="0" applyBorder="1" applyAlignment="1">
      <alignment horizontal="center" vertical="center"/>
    </xf>
    <xf numFmtId="0" fontId="0" fillId="0" borderId="45" xfId="0" applyBorder="1" applyAlignment="1">
      <alignment horizontal="left" vertical="center"/>
    </xf>
    <xf numFmtId="0" fontId="0" fillId="0" borderId="26" xfId="0" applyBorder="1" applyAlignment="1">
      <alignment horizontal="center" vertical="center"/>
    </xf>
    <xf numFmtId="0" fontId="0" fillId="0" borderId="44" xfId="0" applyBorder="1" applyAlignment="1">
      <alignment horizontal="left" vertical="center"/>
    </xf>
    <xf numFmtId="165" fontId="0" fillId="0" borderId="41" xfId="0" applyNumberFormat="1" applyBorder="1" applyAlignment="1">
      <alignment horizontal="right" vertical="center"/>
    </xf>
    <xf numFmtId="0" fontId="0" fillId="0" borderId="43" xfId="0" applyBorder="1" applyAlignment="1">
      <alignment horizontal="left" vertical="center"/>
    </xf>
    <xf numFmtId="165" fontId="0" fillId="0" borderId="23" xfId="0" applyNumberFormat="1" applyBorder="1" applyAlignment="1">
      <alignment horizontal="right" vertical="center"/>
    </xf>
    <xf numFmtId="0" fontId="0" fillId="0" borderId="46" xfId="0" applyBorder="1" applyAlignment="1">
      <alignment horizontal="left" vertical="center"/>
    </xf>
    <xf numFmtId="165" fontId="0" fillId="0" borderId="47" xfId="0" applyNumberFormat="1" applyBorder="1" applyAlignment="1">
      <alignment horizontal="right" vertical="center"/>
    </xf>
    <xf numFmtId="0" fontId="0" fillId="0" borderId="24" xfId="0" applyBorder="1" applyAlignment="1">
      <alignment horizontal="left" vertical="center"/>
    </xf>
    <xf numFmtId="167" fontId="0" fillId="0" borderId="28" xfId="0" applyNumberFormat="1" applyBorder="1" applyAlignment="1">
      <alignment horizontal="right" vertical="center"/>
    </xf>
    <xf numFmtId="0" fontId="0" fillId="0" borderId="1" xfId="0" applyBorder="1" applyAlignment="1">
      <alignment horizontal="left" vertical="center"/>
    </xf>
    <xf numFmtId="0" fontId="0" fillId="0" borderId="23"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6" fillId="2" borderId="1" xfId="0" applyFont="1" applyFill="1" applyBorder="1" applyAlignment="1" applyProtection="1">
      <alignment horizontal="center" wrapText="1"/>
      <protection locked="0"/>
    </xf>
    <xf numFmtId="1" fontId="6" fillId="2" borderId="1" xfId="0" applyNumberFormat="1" applyFont="1" applyFill="1" applyBorder="1" applyAlignment="1" applyProtection="1">
      <alignment horizontal="center" wrapText="1"/>
      <protection locked="0"/>
    </xf>
    <xf numFmtId="0" fontId="0" fillId="0" borderId="28" xfId="0" quotePrefix="1" applyBorder="1" applyAlignment="1">
      <alignment horizontal="center" vertical="center"/>
    </xf>
    <xf numFmtId="0" fontId="0" fillId="0" borderId="21" xfId="0" applyBorder="1" applyAlignment="1">
      <alignment horizontal="left" vertical="center" wrapText="1"/>
    </xf>
    <xf numFmtId="0" fontId="0" fillId="0" borderId="8" xfId="0" applyBorder="1" applyAlignment="1">
      <alignment horizontal="left" vertical="center"/>
    </xf>
    <xf numFmtId="0" fontId="0" fillId="0" borderId="30" xfId="0" applyBorder="1" applyAlignment="1">
      <alignment horizontal="left" vertical="center"/>
    </xf>
    <xf numFmtId="0" fontId="0" fillId="0" borderId="40" xfId="0" applyBorder="1" applyAlignment="1">
      <alignment horizontal="left" vertical="center"/>
    </xf>
    <xf numFmtId="0" fontId="0" fillId="0" borderId="9" xfId="0" applyBorder="1" applyAlignment="1">
      <alignment horizontal="left" vertical="center" wrapText="1"/>
    </xf>
    <xf numFmtId="0" fontId="0" fillId="0" borderId="5"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7"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21" xfId="0" applyBorder="1" applyAlignment="1">
      <alignment wrapText="1"/>
    </xf>
    <xf numFmtId="0" fontId="0" fillId="0" borderId="8" xfId="0" applyBorder="1" applyAlignment="1">
      <alignment wrapText="1"/>
    </xf>
    <xf numFmtId="0" fontId="0" fillId="0" borderId="10" xfId="0" applyBorder="1" applyAlignment="1">
      <alignment wrapText="1"/>
    </xf>
    <xf numFmtId="0" fontId="0" fillId="0" borderId="7" xfId="0" applyBorder="1" applyAlignment="1">
      <alignment wrapText="1"/>
    </xf>
    <xf numFmtId="0" fontId="0" fillId="0" borderId="21"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2" fillId="0" borderId="21" xfId="0" applyFont="1" applyBorder="1" applyAlignment="1">
      <alignment horizontal="left" vertical="top" wrapText="1"/>
    </xf>
    <xf numFmtId="0" fontId="2" fillId="0" borderId="38"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0" xfId="0" applyFont="1" applyAlignment="1">
      <alignment horizontal="left" vertical="top" wrapText="1"/>
    </xf>
    <xf numFmtId="0" fontId="2" fillId="0" borderId="5" xfId="0" applyFont="1" applyBorder="1" applyAlignment="1">
      <alignment horizontal="left" vertical="top" wrapText="1"/>
    </xf>
    <xf numFmtId="0" fontId="0" fillId="0" borderId="9" xfId="0" applyBorder="1" applyAlignment="1">
      <alignment wrapText="1"/>
    </xf>
    <xf numFmtId="0" fontId="0" fillId="0" borderId="0" xfId="0" applyAlignment="1">
      <alignment wrapText="1"/>
    </xf>
    <xf numFmtId="0" fontId="0" fillId="0" borderId="5" xfId="0" applyBorder="1" applyAlignment="1">
      <alignment wrapText="1"/>
    </xf>
    <xf numFmtId="0" fontId="0" fillId="0" borderId="6" xfId="0" applyBorder="1" applyAlignment="1">
      <alignment wrapText="1"/>
    </xf>
    <xf numFmtId="0" fontId="0" fillId="2" borderId="1" xfId="0" applyFill="1" applyBorder="1" applyAlignment="1" applyProtection="1">
      <alignment horizontal="center" vertical="center" wrapText="1"/>
      <protection locked="0"/>
    </xf>
    <xf numFmtId="0" fontId="0" fillId="0" borderId="1"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cellXfs>
  <cellStyles count="1">
    <cellStyle name="Normal" xfId="0" builtinId="0"/>
  </cellStyles>
  <dxfs count="26">
    <dxf>
      <fill>
        <patternFill>
          <bgColor theme="5" tint="0.3999450666829432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2"/>
        </patternFill>
      </fill>
    </dxf>
    <dxf>
      <fill>
        <patternFill>
          <bgColor theme="4" tint="0.3999450666829432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2"/>
        </patternFill>
      </fill>
    </dxf>
    <dxf>
      <fill>
        <patternFill>
          <bgColor theme="5" tint="0.39994506668294322"/>
        </patternFill>
      </fill>
    </dxf>
    <dxf>
      <fill>
        <patternFill>
          <bgColor rgb="FFFF0000"/>
        </patternFill>
      </fill>
    </dxf>
    <dxf>
      <fill>
        <patternFill>
          <bgColor rgb="FFFF0000"/>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92D050"/>
        </patternFill>
      </fil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26895</xdr:colOff>
      <xdr:row>33</xdr:row>
      <xdr:rowOff>108168</xdr:rowOff>
    </xdr:from>
    <xdr:to>
      <xdr:col>4</xdr:col>
      <xdr:colOff>1123950</xdr:colOff>
      <xdr:row>36</xdr:row>
      <xdr:rowOff>77139</xdr:rowOff>
    </xdr:to>
    <xdr:pic>
      <xdr:nvPicPr>
        <xdr:cNvPr id="5" name="Afbeelding 2">
          <a:extLst>
            <a:ext uri="{FF2B5EF4-FFF2-40B4-BE49-F238E27FC236}">
              <a16:creationId xmlns:a16="http://schemas.microsoft.com/office/drawing/2014/main" id="{A9454E02-D6AF-44EB-9898-2BF3698B4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484470" y="8871168"/>
          <a:ext cx="2249580" cy="54047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482600</xdr:colOff>
          <xdr:row>1</xdr:row>
          <xdr:rowOff>25400</xdr:rowOff>
        </xdr:from>
        <xdr:to>
          <xdr:col>9</xdr:col>
          <xdr:colOff>698500</xdr:colOff>
          <xdr:row>2</xdr:row>
          <xdr:rowOff>368300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solidFill>
              <a:srgbClr val="FFFFFF"/>
            </a:solidFill>
            <a:ln>
              <a:noFill/>
            </a:ln>
            <a:extLst>
              <a:ext uri="{91240B29-F687-4F45-9708-019B960494DF}">
                <a14:hiddenLine w="9525">
                  <a:solidFill>
                    <a:srgbClr val="000000"/>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F1D1-C6CD-41A1-BDFB-63D63907015A}">
  <dimension ref="A1:H131"/>
  <sheetViews>
    <sheetView zoomScaleNormal="100" workbookViewId="0">
      <selection activeCell="J13" sqref="J13"/>
    </sheetView>
  </sheetViews>
  <sheetFormatPr defaultColWidth="9.140625" defaultRowHeight="15"/>
  <cols>
    <col min="1" max="1" width="11.7109375" style="1" bestFit="1" customWidth="1"/>
    <col min="2" max="2" width="12.7109375" style="1" bestFit="1" customWidth="1"/>
    <col min="3" max="3" width="92.42578125" style="1" bestFit="1" customWidth="1"/>
    <col min="4" max="5" width="9.140625" style="1" customWidth="1"/>
    <col min="6" max="6" width="9.140625" style="1"/>
    <col min="7" max="8" width="20.7109375" style="1" customWidth="1"/>
    <col min="9" max="16384" width="9.140625" style="1"/>
  </cols>
  <sheetData>
    <row r="1" spans="1:8" ht="15.95" thickBot="1"/>
    <row r="2" spans="1:8" ht="15.95" thickBot="1">
      <c r="A2" s="119" t="s">
        <v>0</v>
      </c>
      <c r="B2" s="120" t="s">
        <v>1</v>
      </c>
      <c r="C2" s="120" t="s">
        <v>2</v>
      </c>
      <c r="D2" s="120" t="s">
        <v>3</v>
      </c>
      <c r="E2" s="121" t="s">
        <v>4</v>
      </c>
      <c r="G2" s="119" t="s">
        <v>5</v>
      </c>
      <c r="H2" s="98"/>
    </row>
    <row r="3" spans="1:8" ht="15.95" thickBot="1">
      <c r="A3" s="122">
        <v>1</v>
      </c>
      <c r="B3" s="123">
        <v>1</v>
      </c>
      <c r="C3" s="123" t="str">
        <f>List!D236</f>
        <v>Shelter 'Domino' - WxL=2.65x2.15m</v>
      </c>
      <c r="D3" s="124">
        <v>1</v>
      </c>
      <c r="E3" s="125" t="s">
        <v>6</v>
      </c>
      <c r="G3" s="119" t="s">
        <v>7</v>
      </c>
      <c r="H3" s="75" t="s">
        <v>8</v>
      </c>
    </row>
    <row r="4" spans="1:8" ht="15.95" thickBot="1">
      <c r="A4" s="126">
        <f t="shared" ref="A4:A12" si="0">IF(B4="",0,3)</f>
        <v>3</v>
      </c>
      <c r="B4" s="148" t="str">
        <f>List!D237</f>
        <v>Roof in profiled steel sheet (bottom off-white - top RAL7016)</v>
      </c>
      <c r="C4" s="155"/>
      <c r="D4" s="155"/>
      <c r="E4" s="156"/>
    </row>
    <row r="5" spans="1:8">
      <c r="A5" s="126">
        <f t="shared" si="0"/>
        <v>3</v>
      </c>
      <c r="B5" s="148" t="str">
        <f>List!D238</f>
        <v>Surface treatment - galvanized</v>
      </c>
      <c r="C5" s="155"/>
      <c r="D5" s="155"/>
      <c r="E5" s="156"/>
      <c r="G5" s="127" t="s">
        <v>9</v>
      </c>
      <c r="H5" s="128" t="s">
        <v>10</v>
      </c>
    </row>
    <row r="6" spans="1:8" ht="15.95" thickBot="1">
      <c r="A6" s="126">
        <f t="shared" si="0"/>
        <v>3</v>
      </c>
      <c r="B6" s="148" t="str">
        <f>List!D239</f>
        <v>Wall cladding in Thermowood - H=2.15m - 2x L=2.53m - 2x L=2.03m</v>
      </c>
      <c r="C6" s="155"/>
      <c r="D6" s="155"/>
      <c r="E6" s="156"/>
      <c r="G6" s="129" t="s">
        <v>11</v>
      </c>
      <c r="H6" s="130">
        <v>35</v>
      </c>
    </row>
    <row r="7" spans="1:8">
      <c r="A7" s="126">
        <f t="shared" si="0"/>
        <v>3</v>
      </c>
      <c r="B7" s="148" t="str">
        <f>List!D240</f>
        <v>Entrance - 1x single swing gate 2,53m</v>
      </c>
      <c r="C7" s="155"/>
      <c r="D7" s="155"/>
      <c r="E7" s="156"/>
      <c r="G7" s="131" t="s">
        <v>12</v>
      </c>
      <c r="H7" s="132">
        <f>List!$H$118</f>
        <v>4308.3299999999981</v>
      </c>
    </row>
    <row r="8" spans="1:8">
      <c r="A8" s="126">
        <f t="shared" si="0"/>
        <v>3</v>
      </c>
      <c r="B8" s="148" t="str">
        <f>List!D241</f>
        <v>With gate hardware - euro cylinder lock</v>
      </c>
      <c r="C8" s="155"/>
      <c r="D8" s="155"/>
      <c r="E8" s="156"/>
      <c r="G8" s="133" t="s">
        <v>13</v>
      </c>
      <c r="H8" s="134">
        <f>ROUND(-H7*H6/100,2)</f>
        <v>-1507.92</v>
      </c>
    </row>
    <row r="9" spans="1:8" ht="15.95" thickBot="1">
      <c r="A9" s="126">
        <f t="shared" si="0"/>
        <v>3</v>
      </c>
      <c r="B9" s="148" t="str">
        <f>List!D242</f>
        <v>Chemical anchoring - ETA-21/0168</v>
      </c>
      <c r="C9" s="155"/>
      <c r="D9" s="155"/>
      <c r="E9" s="156"/>
      <c r="G9" s="135" t="s">
        <v>14</v>
      </c>
      <c r="H9" s="136">
        <f>H7+H8</f>
        <v>2800.409999999998</v>
      </c>
    </row>
    <row r="10" spans="1:8">
      <c r="A10" s="126">
        <f t="shared" si="0"/>
        <v>0</v>
      </c>
      <c r="B10" s="148" t="str">
        <f>List!D243</f>
        <v/>
      </c>
      <c r="C10" s="155"/>
      <c r="D10" s="155"/>
      <c r="E10" s="156"/>
      <c r="G10" s="122" t="s">
        <v>15</v>
      </c>
      <c r="H10" s="145" t="s">
        <v>16</v>
      </c>
    </row>
    <row r="11" spans="1:8" ht="15.95" thickBot="1">
      <c r="A11" s="126">
        <f t="shared" si="0"/>
        <v>0</v>
      </c>
      <c r="B11" s="148" t="str">
        <f>List!D244</f>
        <v/>
      </c>
      <c r="C11" s="155"/>
      <c r="D11" s="155"/>
      <c r="E11" s="156"/>
      <c r="G11" s="137" t="s">
        <v>17</v>
      </c>
      <c r="H11" s="130" t="s">
        <v>18</v>
      </c>
    </row>
    <row r="12" spans="1:8" ht="15.95" thickBot="1">
      <c r="A12" s="126">
        <f t="shared" si="0"/>
        <v>0</v>
      </c>
      <c r="B12" s="148" t="str">
        <f>List!D245</f>
        <v/>
      </c>
      <c r="C12" s="155"/>
      <c r="D12" s="155"/>
      <c r="E12" s="156"/>
      <c r="H12" s="2"/>
    </row>
    <row r="13" spans="1:8" ht="15.95" thickBot="1">
      <c r="A13" s="126">
        <v>0</v>
      </c>
      <c r="B13" s="148"/>
      <c r="C13" s="155"/>
      <c r="D13" s="155"/>
      <c r="E13" s="156"/>
      <c r="G13" s="122" t="s">
        <v>19</v>
      </c>
      <c r="H13" s="138">
        <f>Calc!D69</f>
        <v>14.37</v>
      </c>
    </row>
    <row r="14" spans="1:8">
      <c r="A14" s="126">
        <v>0</v>
      </c>
      <c r="B14" s="148" t="s">
        <v>20</v>
      </c>
      <c r="C14" s="149"/>
      <c r="D14" s="139"/>
      <c r="E14" s="140"/>
      <c r="G14" s="146" t="s">
        <v>21</v>
      </c>
      <c r="H14" s="147"/>
    </row>
    <row r="15" spans="1:8">
      <c r="A15" s="126">
        <f>IF(B15="",0,2)</f>
        <v>2</v>
      </c>
      <c r="B15" s="139" t="str">
        <f>List!C119</f>
        <v>43.06.14.0043</v>
      </c>
      <c r="C15" s="139" t="str">
        <f>List!D119</f>
        <v>Domino - Column - 80x3 - L2175 - 8Ø13 - 8Ø9 - Galvanized</v>
      </c>
      <c r="D15" s="139" t="str">
        <f>List!E119</f>
        <v>4</v>
      </c>
      <c r="E15" s="140" t="str">
        <f>List!F119</f>
        <v>st</v>
      </c>
      <c r="G15" s="150" t="s">
        <v>22</v>
      </c>
      <c r="H15" s="151"/>
    </row>
    <row r="16" spans="1:8">
      <c r="A16" s="126">
        <f t="shared" ref="A16:A79" si="1">IF(B16="",0,2)</f>
        <v>2</v>
      </c>
      <c r="B16" s="139" t="str">
        <f>List!C120</f>
        <v>43.09.06.0001</v>
      </c>
      <c r="C16" s="139" t="str">
        <f>List!D120</f>
        <v>Domino - Mof A - Galvanized</v>
      </c>
      <c r="D16" s="139" t="str">
        <f>List!E120</f>
        <v>4</v>
      </c>
      <c r="E16" s="140" t="str">
        <f>List!F120</f>
        <v>st</v>
      </c>
      <c r="G16" s="152"/>
      <c r="H16" s="151"/>
    </row>
    <row r="17" spans="1:8">
      <c r="A17" s="126">
        <f t="shared" si="1"/>
        <v>2</v>
      </c>
      <c r="B17" s="139" t="str">
        <f>List!C121</f>
        <v>43.03.10.0001</v>
      </c>
      <c r="C17" s="139" t="str">
        <f>List!D121</f>
        <v>Domino - Foot - 70x4 - L605 - Outflow - Galvanized</v>
      </c>
      <c r="D17" s="139" t="str">
        <f>List!E121</f>
        <v>4</v>
      </c>
      <c r="E17" s="140" t="str">
        <f>List!F121</f>
        <v>st</v>
      </c>
      <c r="G17" s="152"/>
      <c r="H17" s="151"/>
    </row>
    <row r="18" spans="1:8">
      <c r="A18" s="126">
        <f t="shared" si="1"/>
        <v>2</v>
      </c>
      <c r="B18" s="139" t="str">
        <f>List!C122</f>
        <v>43.03.10.0003</v>
      </c>
      <c r="C18" s="139" t="str">
        <f>List!D122</f>
        <v>Domino - Foot 70x50x3 - L600 - Galvanized</v>
      </c>
      <c r="D18" s="139" t="str">
        <f>List!E122</f>
        <v>2</v>
      </c>
      <c r="E18" s="140" t="str">
        <f>List!F122</f>
        <v>st</v>
      </c>
      <c r="G18" s="152"/>
      <c r="H18" s="151"/>
    </row>
    <row r="19" spans="1:8" ht="15.95" thickBot="1">
      <c r="A19" s="126">
        <f t="shared" si="1"/>
        <v>2</v>
      </c>
      <c r="B19" s="139" t="str">
        <f>List!C123</f>
        <v>37.60.06.0161</v>
      </c>
      <c r="C19" s="139" t="str">
        <f>List!D123</f>
        <v>Domino - Gutter G - L2390 - 6Ø13 - Cut 3 - Galvanized</v>
      </c>
      <c r="D19" s="139" t="str">
        <f>List!E123</f>
        <v>2</v>
      </c>
      <c r="E19" s="140" t="str">
        <f>List!F123</f>
        <v>st</v>
      </c>
      <c r="G19" s="153"/>
      <c r="H19" s="154"/>
    </row>
    <row r="20" spans="1:8">
      <c r="A20" s="126">
        <f t="shared" si="1"/>
        <v>2</v>
      </c>
      <c r="B20" s="139" t="str">
        <f>List!C124</f>
        <v>37.60.06.0160</v>
      </c>
      <c r="C20" s="139" t="str">
        <f>List!D124</f>
        <v>Domino - Gutter G - L1890 - 7Ø13 - Galvanized</v>
      </c>
      <c r="D20" s="139" t="str">
        <f>List!E124</f>
        <v>2</v>
      </c>
      <c r="E20" s="140" t="str">
        <f>List!F124</f>
        <v>st</v>
      </c>
    </row>
    <row r="21" spans="1:8">
      <c r="A21" s="126">
        <f t="shared" si="1"/>
        <v>2</v>
      </c>
      <c r="B21" s="139" t="str">
        <f>List!C125</f>
        <v>37.60.06.0168</v>
      </c>
      <c r="C21" s="139" t="str">
        <f>List!D125</f>
        <v>Domino - U-Profile - 80x50x3 - L1890 - 3Ø13 - Galvanized</v>
      </c>
      <c r="D21" s="139" t="str">
        <f>List!E125</f>
        <v>1</v>
      </c>
      <c r="E21" s="140" t="str">
        <f>List!F125</f>
        <v>st</v>
      </c>
    </row>
    <row r="22" spans="1:8">
      <c r="A22" s="126">
        <f t="shared" si="1"/>
        <v>2</v>
      </c>
      <c r="B22" s="139" t="str">
        <f>List!C126</f>
        <v>43.13.07.0011</v>
      </c>
      <c r="C22" s="139" t="str">
        <f>List!D126</f>
        <v>Domino - Beam - 120x60x3 - L1890 - 8Ø13 - Galvanized</v>
      </c>
      <c r="D22" s="139" t="str">
        <f>List!E126</f>
        <v>1</v>
      </c>
      <c r="E22" s="140" t="str">
        <f>List!F126</f>
        <v>st</v>
      </c>
    </row>
    <row r="23" spans="1:8">
      <c r="A23" s="126">
        <f t="shared" si="1"/>
        <v>2</v>
      </c>
      <c r="B23" s="139" t="str">
        <f>List!C127</f>
        <v>43.09.06.0015</v>
      </c>
      <c r="C23" s="139" t="str">
        <f>List!D127</f>
        <v>Domino - Beam Connector - Bracket - Galvanized</v>
      </c>
      <c r="D23" s="139" t="str">
        <f>List!E127</f>
        <v>2</v>
      </c>
      <c r="E23" s="140" t="str">
        <f>List!F127</f>
        <v>st</v>
      </c>
    </row>
    <row r="24" spans="1:8">
      <c r="A24" s="126">
        <f t="shared" si="1"/>
        <v>2</v>
      </c>
      <c r="B24" s="139" t="str">
        <f>List!C128</f>
        <v>44.02.06.0005</v>
      </c>
      <c r="C24" s="139" t="str">
        <f>List!D128</f>
        <v>Domino - Girder - 50x2 - L1948 - 6Ø13 - 6M10 - Galvanized</v>
      </c>
      <c r="D24" s="139" t="str">
        <f>List!E128</f>
        <v>4</v>
      </c>
      <c r="E24" s="140" t="str">
        <f>List!F128</f>
        <v>st</v>
      </c>
    </row>
    <row r="25" spans="1:8">
      <c r="A25" s="126">
        <f t="shared" si="1"/>
        <v>2</v>
      </c>
      <c r="B25" s="139" t="str">
        <f>List!C129</f>
        <v>44.02.06.0006</v>
      </c>
      <c r="C25" s="139" t="str">
        <f>List!D129</f>
        <v>Domino - Girder - 50x2 - L2448 - 6Ø13 - 6M10 - Galvanized</v>
      </c>
      <c r="D25" s="139" t="str">
        <f>List!E129</f>
        <v>2</v>
      </c>
      <c r="E25" s="140" t="str">
        <f>List!F129</f>
        <v>st</v>
      </c>
    </row>
    <row r="26" spans="1:8">
      <c r="A26" s="126">
        <f t="shared" si="1"/>
        <v>2</v>
      </c>
      <c r="B26" s="139" t="str">
        <f>List!C130</f>
        <v>44.02.06.0030</v>
      </c>
      <c r="C26" s="139" t="str">
        <f>List!D130</f>
        <v xml:space="preserve">Domino - Girder - 50x2 - L543mm - 2Ø13 - 2M10 - Galvanized </v>
      </c>
      <c r="D26" s="139" t="str">
        <f>List!E130</f>
        <v>4</v>
      </c>
      <c r="E26" s="140" t="str">
        <f>List!F130</f>
        <v>st</v>
      </c>
    </row>
    <row r="27" spans="1:8">
      <c r="A27" s="126">
        <f t="shared" si="1"/>
        <v>2</v>
      </c>
      <c r="B27" s="139" t="str">
        <f>List!C131</f>
        <v>43.07.18.0001</v>
      </c>
      <c r="C27" s="139" t="str">
        <f>List!D131</f>
        <v>Domino - Wall Connector - Galvanized</v>
      </c>
      <c r="D27" s="139" t="str">
        <f>List!E131</f>
        <v>20</v>
      </c>
      <c r="E27" s="140" t="str">
        <f>List!F131</f>
        <v>st</v>
      </c>
    </row>
    <row r="28" spans="1:8">
      <c r="A28" s="126">
        <f t="shared" si="1"/>
        <v>2</v>
      </c>
      <c r="B28" s="139" t="str">
        <f>List!C132</f>
        <v>43.06.14.0049</v>
      </c>
      <c r="C28" s="139" t="str">
        <f>List!D132</f>
        <v>Domino - Gate Column - 80x60x3 - L2260 - Galvanized</v>
      </c>
      <c r="D28" s="139" t="str">
        <f>List!E132</f>
        <v>2</v>
      </c>
      <c r="E28" s="140" t="str">
        <f>List!F132</f>
        <v>st</v>
      </c>
    </row>
    <row r="29" spans="1:8">
      <c r="A29" s="126">
        <f t="shared" si="1"/>
        <v>2</v>
      </c>
      <c r="B29" s="139" t="str">
        <f>List!C133</f>
        <v>43.32.03.0054</v>
      </c>
      <c r="C29" s="139" t="str">
        <f>List!D133</f>
        <v>Domino - Gate Frame - W1180 - H2030 - Galvanized</v>
      </c>
      <c r="D29" s="139" t="str">
        <f>List!E133</f>
        <v>1</v>
      </c>
      <c r="E29" s="140" t="str">
        <f>List!F133</f>
        <v>st</v>
      </c>
    </row>
    <row r="30" spans="1:8">
      <c r="A30" s="126">
        <f t="shared" si="1"/>
        <v>2</v>
      </c>
      <c r="B30" s="139" t="str">
        <f>List!C134</f>
        <v>43.32.03.0048</v>
      </c>
      <c r="C30" s="139" t="str">
        <f>List!D134</f>
        <v xml:space="preserve">Domino - Hinge Bracket - Galvanized  </v>
      </c>
      <c r="D30" s="139" t="str">
        <f>List!E134</f>
        <v>2</v>
      </c>
      <c r="E30" s="140" t="str">
        <f>List!F134</f>
        <v>st</v>
      </c>
    </row>
    <row r="31" spans="1:8">
      <c r="A31" s="126">
        <f t="shared" si="1"/>
        <v>2</v>
      </c>
      <c r="B31" s="139" t="str">
        <f>List!C135</f>
        <v>43.32.03.0050</v>
      </c>
      <c r="C31" s="139" t="str">
        <f>List!D135</f>
        <v xml:space="preserve">Domino - Hinge L-Profile - Galvanized </v>
      </c>
      <c r="D31" s="139" t="str">
        <f>List!E135</f>
        <v>2</v>
      </c>
      <c r="E31" s="140" t="str">
        <f>List!F135</f>
        <v>st</v>
      </c>
    </row>
    <row r="32" spans="1:8">
      <c r="A32" s="126">
        <f t="shared" si="1"/>
        <v>2</v>
      </c>
      <c r="B32" s="139" t="str">
        <f>List!C136</f>
        <v>20.07.04.0009</v>
      </c>
      <c r="C32" s="139" t="str">
        <f>List!D136</f>
        <v>Keep - Locinox SFKO-QF-ALUM</v>
      </c>
      <c r="D32" s="139" t="str">
        <f>List!E136</f>
        <v>1</v>
      </c>
      <c r="E32" s="140" t="str">
        <f>List!F136</f>
        <v>st</v>
      </c>
    </row>
    <row r="33" spans="1:5">
      <c r="A33" s="126">
        <f t="shared" si="1"/>
        <v>2</v>
      </c>
      <c r="B33" s="139" t="str">
        <f>List!C137</f>
        <v>20.08.03.0117</v>
      </c>
      <c r="C33" s="139" t="str">
        <f>List!D137</f>
        <v>Eyebolt set - Locinox 1039SET-M16-65</v>
      </c>
      <c r="D33" s="139" t="str">
        <f>List!E137</f>
        <v>2</v>
      </c>
      <c r="E33" s="140" t="str">
        <f>List!F137</f>
        <v>st</v>
      </c>
    </row>
    <row r="34" spans="1:5">
      <c r="A34" s="126">
        <f t="shared" si="1"/>
        <v>2</v>
      </c>
      <c r="B34" s="139" t="str">
        <f>List!C138</f>
        <v>20.10.01.0017</v>
      </c>
      <c r="C34" s="139" t="str">
        <f>List!D138</f>
        <v>Cover shield (2 pcs) - Locinox 3020-HYB-ALU-SILV</v>
      </c>
      <c r="D34" s="139" t="str">
        <f>List!E138</f>
        <v>1</v>
      </c>
      <c r="E34" s="140" t="str">
        <f>List!F138</f>
        <v>st</v>
      </c>
    </row>
    <row r="35" spans="1:5">
      <c r="A35" s="126">
        <f t="shared" si="1"/>
        <v>2</v>
      </c>
      <c r="B35" s="139" t="str">
        <f>List!C139</f>
        <v>20.10.03.0013</v>
      </c>
      <c r="C35" s="139" t="str">
        <f>List!D139</f>
        <v>Handle pair - Locinox 3006M-H</v>
      </c>
      <c r="D35" s="139" t="str">
        <f>List!E139</f>
        <v>1</v>
      </c>
      <c r="E35" s="140" t="str">
        <f>List!F139</f>
        <v>st</v>
      </c>
    </row>
    <row r="36" spans="1:5">
      <c r="A36" s="126">
        <f t="shared" si="1"/>
        <v>2</v>
      </c>
      <c r="B36" s="139" t="str">
        <f>List!C140</f>
        <v>20.10.09.0017</v>
      </c>
      <c r="C36" s="139" t="str">
        <f>List!D140</f>
        <v>Lock case - Locinox SIXTYLOCK</v>
      </c>
      <c r="D36" s="139" t="str">
        <f>List!E140</f>
        <v>1</v>
      </c>
      <c r="E36" s="140" t="str">
        <f>List!F140</f>
        <v>st</v>
      </c>
    </row>
    <row r="37" spans="1:5">
      <c r="A37" s="126">
        <f t="shared" si="1"/>
        <v>2</v>
      </c>
      <c r="B37" s="139" t="str">
        <f>List!C141</f>
        <v>20.10.02.0023</v>
      </c>
      <c r="C37" s="139" t="str">
        <f>List!D141</f>
        <v>Euro Cylinder with 3 keys - 30/50mm</v>
      </c>
      <c r="D37" s="139" t="str">
        <f>List!E141</f>
        <v>1</v>
      </c>
      <c r="E37" s="140" t="str">
        <f>List!F141</f>
        <v>st</v>
      </c>
    </row>
    <row r="38" spans="1:5">
      <c r="A38" s="126">
        <f t="shared" si="1"/>
        <v>2</v>
      </c>
      <c r="B38" s="139" t="str">
        <f>List!C142</f>
        <v>40.01.01.0014</v>
      </c>
      <c r="C38" s="139" t="str">
        <f>List!D142</f>
        <v>Wooden panel - Type A1 - Thermowood - WxH=950x2150mm</v>
      </c>
      <c r="D38" s="139" t="str">
        <f>List!E142</f>
        <v>4</v>
      </c>
      <c r="E38" s="140" t="str">
        <f>List!F142</f>
        <v>st</v>
      </c>
    </row>
    <row r="39" spans="1:5">
      <c r="A39" s="126">
        <f t="shared" si="1"/>
        <v>2</v>
      </c>
      <c r="B39" s="139" t="str">
        <f>List!C143</f>
        <v>40.01.01.0016</v>
      </c>
      <c r="C39" s="139" t="str">
        <f>List!D143</f>
        <v>Wooden panel - Type B1 - Thermowood - WxH=1195x2150mm</v>
      </c>
      <c r="D39" s="139" t="str">
        <f>List!E143</f>
        <v>2</v>
      </c>
      <c r="E39" s="140" t="str">
        <f>List!F143</f>
        <v>st</v>
      </c>
    </row>
    <row r="40" spans="1:5">
      <c r="A40" s="126">
        <f t="shared" si="1"/>
        <v>2</v>
      </c>
      <c r="B40" s="139" t="str">
        <f>List!C144</f>
        <v>09.01.06.0012</v>
      </c>
      <c r="C40" s="139" t="str">
        <f>List!D144</f>
        <v>Thermowood - 90x20x2150mm - 4-sided planed - rounded edges</v>
      </c>
      <c r="D40" s="139" t="str">
        <f>List!E144</f>
        <v>28</v>
      </c>
      <c r="E40" s="140" t="str">
        <f>List!F144</f>
        <v>st</v>
      </c>
    </row>
    <row r="41" spans="1:5">
      <c r="A41" s="126">
        <f t="shared" si="1"/>
        <v>2</v>
      </c>
      <c r="B41" s="139" t="str">
        <f>List!C145</f>
        <v>09.01.06.0014</v>
      </c>
      <c r="C41" s="139" t="str">
        <f>List!D145</f>
        <v>Thermowood - 44x22x950mm - 4-sided planed</v>
      </c>
      <c r="D41" s="139" t="str">
        <f>List!E145</f>
        <v>1</v>
      </c>
      <c r="E41" s="140" t="str">
        <f>List!F145</f>
        <v>st</v>
      </c>
    </row>
    <row r="42" spans="1:5" ht="15" customHeight="1">
      <c r="A42" s="126">
        <f t="shared" si="1"/>
        <v>2</v>
      </c>
      <c r="B42" s="139" t="str">
        <f>List!C146</f>
        <v>09.01.06.0015</v>
      </c>
      <c r="C42" s="139" t="str">
        <f>List!D146</f>
        <v>Thermowood - 44x22x1195mm - 4-sided planed</v>
      </c>
      <c r="D42" s="139" t="str">
        <f>List!E146</f>
        <v>4</v>
      </c>
      <c r="E42" s="140" t="str">
        <f>List!F146</f>
        <v>st</v>
      </c>
    </row>
    <row r="43" spans="1:5" ht="15" customHeight="1">
      <c r="A43" s="126">
        <f t="shared" si="1"/>
        <v>2</v>
      </c>
      <c r="B43" s="139" t="str">
        <f>List!C147</f>
        <v>01.06.11.0012</v>
      </c>
      <c r="C43" s="139" t="str">
        <f>List!D147</f>
        <v>Steel Roof Sheet - RAL7016 - L=2520mm</v>
      </c>
      <c r="D43" s="139" t="str">
        <f>List!E147</f>
        <v>3</v>
      </c>
      <c r="E43" s="140" t="str">
        <f>List!F147</f>
        <v>st</v>
      </c>
    </row>
    <row r="44" spans="1:5">
      <c r="A44" s="126">
        <f t="shared" si="1"/>
        <v>2</v>
      </c>
      <c r="B44" s="139" t="str">
        <f>List!C148</f>
        <v>37.44.06.0001</v>
      </c>
      <c r="C44" s="139" t="str">
        <f>List!D148</f>
        <v>Alu L-profile - 125x50x2 - Perfo R5T8 - L=3000mm</v>
      </c>
      <c r="D44" s="139" t="str">
        <f>List!E148</f>
        <v>1</v>
      </c>
      <c r="E44" s="140" t="str">
        <f>List!F148</f>
        <v>st</v>
      </c>
    </row>
    <row r="45" spans="1:5">
      <c r="A45" s="126">
        <f t="shared" si="1"/>
        <v>2</v>
      </c>
      <c r="B45" s="139" t="str">
        <f>List!C149</f>
        <v>37.44.04.0002</v>
      </c>
      <c r="C45" s="139" t="str">
        <f>List!D149</f>
        <v>Alu L-profile - 50x50x2 - Perfo R5T8 - L=3000mm</v>
      </c>
      <c r="D45" s="139" t="str">
        <f>List!E149</f>
        <v>1</v>
      </c>
      <c r="E45" s="140" t="str">
        <f>List!F149</f>
        <v>st</v>
      </c>
    </row>
    <row r="46" spans="1:5">
      <c r="A46" s="126">
        <f t="shared" si="1"/>
        <v>2</v>
      </c>
      <c r="B46" s="139" t="str">
        <f>List!C150</f>
        <v>15.02.02.0124</v>
      </c>
      <c r="C46" s="139" t="str">
        <f>List!D150</f>
        <v>Hexagon head bolt - DIN933 - M10X30</v>
      </c>
      <c r="D46" s="139" t="str">
        <f>List!E150</f>
        <v>50</v>
      </c>
      <c r="E46" s="140" t="str">
        <f>List!F150</f>
        <v>st</v>
      </c>
    </row>
    <row r="47" spans="1:5">
      <c r="A47" s="126">
        <f t="shared" si="1"/>
        <v>2</v>
      </c>
      <c r="B47" s="139" t="str">
        <f>List!C151</f>
        <v>15.02.02.0135</v>
      </c>
      <c r="C47" s="139" t="str">
        <f>List!D151</f>
        <v>Hexagon head bolt - DIN933 - M10X80</v>
      </c>
      <c r="D47" s="139" t="str">
        <f>List!E151</f>
        <v>5</v>
      </c>
      <c r="E47" s="140" t="str">
        <f>List!F151</f>
        <v>st</v>
      </c>
    </row>
    <row r="48" spans="1:5" ht="15" customHeight="1">
      <c r="A48" s="126">
        <f t="shared" si="1"/>
        <v>2</v>
      </c>
      <c r="B48" s="139" t="str">
        <f>List!C152</f>
        <v>15.02.02.0136</v>
      </c>
      <c r="C48" s="139" t="str">
        <f>List!D152</f>
        <v>Hexagon head bolt - DIN933 - M10X90</v>
      </c>
      <c r="D48" s="139" t="str">
        <f>List!E152</f>
        <v>3</v>
      </c>
      <c r="E48" s="140" t="str">
        <f>List!F152</f>
        <v>st</v>
      </c>
    </row>
    <row r="49" spans="1:5">
      <c r="A49" s="126">
        <f t="shared" si="1"/>
        <v>2</v>
      </c>
      <c r="B49" s="139" t="str">
        <f>List!C153</f>
        <v>15.02.02.0137</v>
      </c>
      <c r="C49" s="139" t="str">
        <f>List!D153</f>
        <v>Hexagon head bolt - DIN933 - M10X100</v>
      </c>
      <c r="D49" s="139" t="str">
        <f>List!E153</f>
        <v>5</v>
      </c>
      <c r="E49" s="140" t="str">
        <f>List!F153</f>
        <v>st</v>
      </c>
    </row>
    <row r="50" spans="1:5">
      <c r="A50" s="126">
        <f t="shared" si="1"/>
        <v>2</v>
      </c>
      <c r="B50" s="139" t="str">
        <f>List!C154</f>
        <v>15.03.01.0009</v>
      </c>
      <c r="C50" s="139" t="str">
        <f>List!D154</f>
        <v>Hexagon nut - DIN934 - M10</v>
      </c>
      <c r="D50" s="139" t="str">
        <f>List!E154</f>
        <v>39</v>
      </c>
      <c r="E50" s="140" t="str">
        <f>List!F154</f>
        <v>st</v>
      </c>
    </row>
    <row r="51" spans="1:5">
      <c r="A51" s="126">
        <f t="shared" si="1"/>
        <v>2</v>
      </c>
      <c r="B51" s="139" t="str">
        <f>List!C155</f>
        <v>15.08.03.0006</v>
      </c>
      <c r="C51" s="139" t="str">
        <f>List!D155</f>
        <v>Plain washer - DIN125-1A - M10</v>
      </c>
      <c r="D51" s="139" t="str">
        <f>List!E155</f>
        <v>99</v>
      </c>
      <c r="E51" s="140" t="str">
        <f>List!F155</f>
        <v>st</v>
      </c>
    </row>
    <row r="52" spans="1:5">
      <c r="A52" s="126">
        <f t="shared" si="1"/>
        <v>2</v>
      </c>
      <c r="B52" s="139" t="str">
        <f>List!C156</f>
        <v>15.02.11.0141</v>
      </c>
      <c r="C52" s="139" t="str">
        <f>List!D156</f>
        <v>Thread forming bolt - DIN7500D - M10x30</v>
      </c>
      <c r="D52" s="139" t="str">
        <f>List!E156</f>
        <v>84</v>
      </c>
      <c r="E52" s="140" t="str">
        <f>List!F156</f>
        <v>st</v>
      </c>
    </row>
    <row r="53" spans="1:5">
      <c r="A53" s="126">
        <f t="shared" si="1"/>
        <v>2</v>
      </c>
      <c r="B53" s="139" t="str">
        <f>List!C157</f>
        <v>15.02.05.0066</v>
      </c>
      <c r="C53" s="139" t="str">
        <f>List!D157</f>
        <v>Hexagon socket button head screw - ISO 7380-2 - M10x40</v>
      </c>
      <c r="D53" s="139" t="str">
        <f>List!E157</f>
        <v>27</v>
      </c>
      <c r="E53" s="140" t="str">
        <f>List!F157</f>
        <v>st</v>
      </c>
    </row>
    <row r="54" spans="1:5">
      <c r="A54" s="126">
        <f t="shared" si="1"/>
        <v>2</v>
      </c>
      <c r="B54" s="139" t="str">
        <f>List!C158</f>
        <v>15.06.02.0050</v>
      </c>
      <c r="C54" s="139" t="str">
        <f>List!D158</f>
        <v>Self-drilling screw - neoprene washer - DIN7504K - 6,3x25</v>
      </c>
      <c r="D54" s="139" t="str">
        <f>List!E158</f>
        <v>76</v>
      </c>
      <c r="E54" s="140" t="str">
        <f>List!F158</f>
        <v>st</v>
      </c>
    </row>
    <row r="55" spans="1:5">
      <c r="A55" s="126">
        <f t="shared" si="1"/>
        <v>2</v>
      </c>
      <c r="B55" s="139" t="str">
        <f>List!C159</f>
        <v>16.04.03.0124</v>
      </c>
      <c r="C55" s="139" t="str">
        <f>List!D159</f>
        <v>Wood screw - Stainless A2 - 4x35mm</v>
      </c>
      <c r="D55" s="139" t="str">
        <f>List!E159</f>
        <v>185</v>
      </c>
      <c r="E55" s="140" t="str">
        <f>List!F159</f>
        <v>st</v>
      </c>
    </row>
    <row r="56" spans="1:5">
      <c r="A56" s="126">
        <f t="shared" si="1"/>
        <v>2</v>
      </c>
      <c r="B56" s="139" t="str">
        <f>List!C160</f>
        <v>14.09.01.0002</v>
      </c>
      <c r="C56" s="139" t="str">
        <f>List!D160</f>
        <v>Self-drilling screw with wings - 5,5x50mm</v>
      </c>
      <c r="D56" s="139" t="str">
        <f>List!E160</f>
        <v>73</v>
      </c>
      <c r="E56" s="140" t="str">
        <f>List!F160</f>
        <v>st</v>
      </c>
    </row>
    <row r="57" spans="1:5">
      <c r="A57" s="126">
        <f t="shared" si="1"/>
        <v>2</v>
      </c>
      <c r="B57" s="139" t="str">
        <f>List!C161</f>
        <v>27.05.01.0001</v>
      </c>
      <c r="C57" s="139" t="str">
        <f>List!D161</f>
        <v>Leafguard - Ø50/70mm</v>
      </c>
      <c r="D57" s="139" t="str">
        <f>List!E161</f>
        <v>5</v>
      </c>
      <c r="E57" s="140" t="str">
        <f>List!F161</f>
        <v>st</v>
      </c>
    </row>
    <row r="58" spans="1:5">
      <c r="A58" s="126">
        <f t="shared" si="1"/>
        <v>2</v>
      </c>
      <c r="B58" s="139" t="str">
        <f>List!C162</f>
        <v>18.01.18.0001</v>
      </c>
      <c r="C58" s="139" t="str">
        <f>List!D162</f>
        <v>Anchor rod - Zinc plated M12x160-5.8 - Würth W-VD-A/S</v>
      </c>
      <c r="D58" s="139" t="str">
        <f>List!E162</f>
        <v>22</v>
      </c>
      <c r="E58" s="140" t="str">
        <f>List!F162</f>
        <v>st</v>
      </c>
    </row>
    <row r="59" spans="1:5">
      <c r="A59" s="126">
        <f t="shared" si="1"/>
        <v>2</v>
      </c>
      <c r="B59" s="139" t="str">
        <f>List!C163</f>
        <v>18.03.03.0001</v>
      </c>
      <c r="C59" s="139" t="str">
        <f>List!D163</f>
        <v>Chemical anchor - capsule M12x95 - Würth W-VPZ 12</v>
      </c>
      <c r="D59" s="139" t="str">
        <f>List!E163</f>
        <v>22</v>
      </c>
      <c r="E59" s="140" t="str">
        <f>List!F163</f>
        <v>st</v>
      </c>
    </row>
    <row r="60" spans="1:5">
      <c r="A60" s="126">
        <f t="shared" si="1"/>
        <v>2</v>
      </c>
      <c r="B60" s="139" t="str">
        <f>List!C164</f>
        <v>15.03.04.0006</v>
      </c>
      <c r="C60" s="139" t="str">
        <f>List!D164</f>
        <v>Hexagon domed cap nut - Zinc plated M12</v>
      </c>
      <c r="D60" s="139" t="str">
        <f>List!E164</f>
        <v>22</v>
      </c>
      <c r="E60" s="140" t="str">
        <f>List!F164</f>
        <v>st</v>
      </c>
    </row>
    <row r="61" spans="1:5">
      <c r="A61" s="126">
        <f t="shared" si="1"/>
        <v>0</v>
      </c>
      <c r="B61" s="139" t="str">
        <f>List!C165</f>
        <v/>
      </c>
      <c r="C61" s="139" t="str">
        <f>List!D165</f>
        <v/>
      </c>
      <c r="D61" s="139" t="str">
        <f>List!E165</f>
        <v/>
      </c>
      <c r="E61" s="140" t="str">
        <f>List!F165</f>
        <v/>
      </c>
    </row>
    <row r="62" spans="1:5">
      <c r="A62" s="126">
        <f t="shared" si="1"/>
        <v>0</v>
      </c>
      <c r="B62" s="139" t="str">
        <f>List!C166</f>
        <v/>
      </c>
      <c r="C62" s="139" t="str">
        <f>List!D166</f>
        <v/>
      </c>
      <c r="D62" s="139" t="str">
        <f>List!E166</f>
        <v/>
      </c>
      <c r="E62" s="140" t="str">
        <f>List!F166</f>
        <v/>
      </c>
    </row>
    <row r="63" spans="1:5">
      <c r="A63" s="126">
        <f t="shared" si="1"/>
        <v>0</v>
      </c>
      <c r="B63" s="139" t="str">
        <f>List!C167</f>
        <v/>
      </c>
      <c r="C63" s="139" t="str">
        <f>List!D167</f>
        <v/>
      </c>
      <c r="D63" s="139" t="str">
        <f>List!E167</f>
        <v/>
      </c>
      <c r="E63" s="140" t="str">
        <f>List!F167</f>
        <v/>
      </c>
    </row>
    <row r="64" spans="1:5">
      <c r="A64" s="126">
        <f t="shared" si="1"/>
        <v>0</v>
      </c>
      <c r="B64" s="139" t="str">
        <f>List!C168</f>
        <v/>
      </c>
      <c r="C64" s="139" t="str">
        <f>List!D168</f>
        <v/>
      </c>
      <c r="D64" s="139" t="str">
        <f>List!E168</f>
        <v/>
      </c>
      <c r="E64" s="140" t="str">
        <f>List!F168</f>
        <v/>
      </c>
    </row>
    <row r="65" spans="1:5">
      <c r="A65" s="126">
        <f t="shared" si="1"/>
        <v>0</v>
      </c>
      <c r="B65" s="139" t="str">
        <f>List!C169</f>
        <v/>
      </c>
      <c r="C65" s="139" t="str">
        <f>List!D169</f>
        <v/>
      </c>
      <c r="D65" s="139" t="str">
        <f>List!E169</f>
        <v/>
      </c>
      <c r="E65" s="140" t="str">
        <f>List!F169</f>
        <v/>
      </c>
    </row>
    <row r="66" spans="1:5">
      <c r="A66" s="126">
        <f t="shared" si="1"/>
        <v>0</v>
      </c>
      <c r="B66" s="139" t="str">
        <f>List!C170</f>
        <v/>
      </c>
      <c r="C66" s="139" t="str">
        <f>List!D170</f>
        <v/>
      </c>
      <c r="D66" s="139" t="str">
        <f>List!E170</f>
        <v/>
      </c>
      <c r="E66" s="140" t="str">
        <f>List!F170</f>
        <v/>
      </c>
    </row>
    <row r="67" spans="1:5">
      <c r="A67" s="126">
        <f t="shared" si="1"/>
        <v>0</v>
      </c>
      <c r="B67" s="139" t="str">
        <f>List!C171</f>
        <v/>
      </c>
      <c r="C67" s="139" t="str">
        <f>List!D171</f>
        <v/>
      </c>
      <c r="D67" s="139" t="str">
        <f>List!E171</f>
        <v/>
      </c>
      <c r="E67" s="140" t="str">
        <f>List!F171</f>
        <v/>
      </c>
    </row>
    <row r="68" spans="1:5">
      <c r="A68" s="126">
        <f t="shared" si="1"/>
        <v>0</v>
      </c>
      <c r="B68" s="139" t="str">
        <f>List!C172</f>
        <v/>
      </c>
      <c r="C68" s="139" t="str">
        <f>List!D172</f>
        <v/>
      </c>
      <c r="D68" s="139" t="str">
        <f>List!E172</f>
        <v/>
      </c>
      <c r="E68" s="140" t="str">
        <f>List!F172</f>
        <v/>
      </c>
    </row>
    <row r="69" spans="1:5">
      <c r="A69" s="126">
        <f t="shared" si="1"/>
        <v>0</v>
      </c>
      <c r="B69" s="139" t="str">
        <f>List!C173</f>
        <v/>
      </c>
      <c r="C69" s="139" t="str">
        <f>List!D173</f>
        <v/>
      </c>
      <c r="D69" s="139" t="str">
        <f>List!E173</f>
        <v/>
      </c>
      <c r="E69" s="140" t="str">
        <f>List!F173</f>
        <v/>
      </c>
    </row>
    <row r="70" spans="1:5">
      <c r="A70" s="126">
        <f t="shared" si="1"/>
        <v>0</v>
      </c>
      <c r="B70" s="139" t="str">
        <f>List!C174</f>
        <v/>
      </c>
      <c r="C70" s="139" t="str">
        <f>List!D174</f>
        <v/>
      </c>
      <c r="D70" s="139" t="str">
        <f>List!E174</f>
        <v/>
      </c>
      <c r="E70" s="140" t="str">
        <f>List!F174</f>
        <v/>
      </c>
    </row>
    <row r="71" spans="1:5">
      <c r="A71" s="126">
        <f t="shared" si="1"/>
        <v>0</v>
      </c>
      <c r="B71" s="139" t="str">
        <f>List!C175</f>
        <v/>
      </c>
      <c r="C71" s="139" t="str">
        <f>List!D175</f>
        <v/>
      </c>
      <c r="D71" s="139" t="str">
        <f>List!E175</f>
        <v/>
      </c>
      <c r="E71" s="140" t="str">
        <f>List!F175</f>
        <v/>
      </c>
    </row>
    <row r="72" spans="1:5">
      <c r="A72" s="126">
        <f t="shared" si="1"/>
        <v>0</v>
      </c>
      <c r="B72" s="139" t="str">
        <f>List!C176</f>
        <v/>
      </c>
      <c r="C72" s="139" t="str">
        <f>List!D176</f>
        <v/>
      </c>
      <c r="D72" s="139" t="str">
        <f>List!E176</f>
        <v/>
      </c>
      <c r="E72" s="140" t="str">
        <f>List!F176</f>
        <v/>
      </c>
    </row>
    <row r="73" spans="1:5">
      <c r="A73" s="126">
        <f t="shared" si="1"/>
        <v>0</v>
      </c>
      <c r="B73" s="139" t="str">
        <f>List!C177</f>
        <v/>
      </c>
      <c r="C73" s="139" t="str">
        <f>List!D177</f>
        <v/>
      </c>
      <c r="D73" s="139" t="str">
        <f>List!E177</f>
        <v/>
      </c>
      <c r="E73" s="140" t="str">
        <f>List!F177</f>
        <v/>
      </c>
    </row>
    <row r="74" spans="1:5">
      <c r="A74" s="126">
        <f t="shared" si="1"/>
        <v>0</v>
      </c>
      <c r="B74" s="139" t="str">
        <f>List!C178</f>
        <v/>
      </c>
      <c r="C74" s="139" t="str">
        <f>List!D178</f>
        <v/>
      </c>
      <c r="D74" s="139" t="str">
        <f>List!E178</f>
        <v/>
      </c>
      <c r="E74" s="140" t="str">
        <f>List!F178</f>
        <v/>
      </c>
    </row>
    <row r="75" spans="1:5">
      <c r="A75" s="126">
        <f t="shared" si="1"/>
        <v>0</v>
      </c>
      <c r="B75" s="139" t="str">
        <f>List!C179</f>
        <v/>
      </c>
      <c r="C75" s="139" t="str">
        <f>List!D179</f>
        <v/>
      </c>
      <c r="D75" s="139" t="str">
        <f>List!E179</f>
        <v/>
      </c>
      <c r="E75" s="140" t="str">
        <f>List!F179</f>
        <v/>
      </c>
    </row>
    <row r="76" spans="1:5">
      <c r="A76" s="126">
        <f t="shared" si="1"/>
        <v>0</v>
      </c>
      <c r="B76" s="139" t="str">
        <f>List!C180</f>
        <v/>
      </c>
      <c r="C76" s="139" t="str">
        <f>List!D180</f>
        <v/>
      </c>
      <c r="D76" s="139" t="str">
        <f>List!E180</f>
        <v/>
      </c>
      <c r="E76" s="140" t="str">
        <f>List!F180</f>
        <v/>
      </c>
    </row>
    <row r="77" spans="1:5">
      <c r="A77" s="126">
        <f t="shared" si="1"/>
        <v>0</v>
      </c>
      <c r="B77" s="139" t="str">
        <f>List!C181</f>
        <v/>
      </c>
      <c r="C77" s="139" t="str">
        <f>List!D181</f>
        <v/>
      </c>
      <c r="D77" s="139" t="str">
        <f>List!E181</f>
        <v/>
      </c>
      <c r="E77" s="140" t="str">
        <f>List!F181</f>
        <v/>
      </c>
    </row>
    <row r="78" spans="1:5">
      <c r="A78" s="126">
        <f t="shared" si="1"/>
        <v>0</v>
      </c>
      <c r="B78" s="139" t="str">
        <f>List!C182</f>
        <v/>
      </c>
      <c r="C78" s="139" t="str">
        <f>List!D182</f>
        <v/>
      </c>
      <c r="D78" s="139" t="str">
        <f>List!E182</f>
        <v/>
      </c>
      <c r="E78" s="140" t="str">
        <f>List!F182</f>
        <v/>
      </c>
    </row>
    <row r="79" spans="1:5">
      <c r="A79" s="126">
        <f t="shared" si="1"/>
        <v>0</v>
      </c>
      <c r="B79" s="139" t="str">
        <f>List!C183</f>
        <v/>
      </c>
      <c r="C79" s="139" t="str">
        <f>List!D183</f>
        <v/>
      </c>
      <c r="D79" s="139" t="str">
        <f>List!E183</f>
        <v/>
      </c>
      <c r="E79" s="140" t="str">
        <f>List!F183</f>
        <v/>
      </c>
    </row>
    <row r="80" spans="1:5">
      <c r="A80" s="126">
        <f t="shared" ref="A80:A131" si="2">IF(B80="",0,2)</f>
        <v>0</v>
      </c>
      <c r="B80" s="139" t="str">
        <f>List!C184</f>
        <v/>
      </c>
      <c r="C80" s="139" t="str">
        <f>List!D184</f>
        <v/>
      </c>
      <c r="D80" s="139" t="str">
        <f>List!E184</f>
        <v/>
      </c>
      <c r="E80" s="140" t="str">
        <f>List!F184</f>
        <v/>
      </c>
    </row>
    <row r="81" spans="1:5">
      <c r="A81" s="126">
        <f t="shared" si="2"/>
        <v>0</v>
      </c>
      <c r="B81" s="139" t="str">
        <f>List!C185</f>
        <v/>
      </c>
      <c r="C81" s="139" t="str">
        <f>List!D185</f>
        <v/>
      </c>
      <c r="D81" s="139" t="str">
        <f>List!E185</f>
        <v/>
      </c>
      <c r="E81" s="140" t="str">
        <f>List!F185</f>
        <v/>
      </c>
    </row>
    <row r="82" spans="1:5">
      <c r="A82" s="126">
        <f t="shared" si="2"/>
        <v>0</v>
      </c>
      <c r="B82" s="139" t="str">
        <f>List!C186</f>
        <v/>
      </c>
      <c r="C82" s="139" t="str">
        <f>List!D186</f>
        <v/>
      </c>
      <c r="D82" s="139" t="str">
        <f>List!E186</f>
        <v/>
      </c>
      <c r="E82" s="140" t="str">
        <f>List!F186</f>
        <v/>
      </c>
    </row>
    <row r="83" spans="1:5">
      <c r="A83" s="126">
        <f t="shared" si="2"/>
        <v>0</v>
      </c>
      <c r="B83" s="139" t="str">
        <f>List!C187</f>
        <v/>
      </c>
      <c r="C83" s="139" t="str">
        <f>List!D187</f>
        <v/>
      </c>
      <c r="D83" s="139" t="str">
        <f>List!E187</f>
        <v/>
      </c>
      <c r="E83" s="140" t="str">
        <f>List!F187</f>
        <v/>
      </c>
    </row>
    <row r="84" spans="1:5">
      <c r="A84" s="126">
        <f t="shared" si="2"/>
        <v>0</v>
      </c>
      <c r="B84" s="139" t="str">
        <f>List!C188</f>
        <v/>
      </c>
      <c r="C84" s="139" t="str">
        <f>List!D188</f>
        <v/>
      </c>
      <c r="D84" s="139" t="str">
        <f>List!E188</f>
        <v/>
      </c>
      <c r="E84" s="140" t="str">
        <f>List!F188</f>
        <v/>
      </c>
    </row>
    <row r="85" spans="1:5">
      <c r="A85" s="126">
        <f t="shared" si="2"/>
        <v>0</v>
      </c>
      <c r="B85" s="139" t="str">
        <f>List!C189</f>
        <v/>
      </c>
      <c r="C85" s="139" t="str">
        <f>List!D189</f>
        <v/>
      </c>
      <c r="D85" s="139" t="str">
        <f>List!E189</f>
        <v/>
      </c>
      <c r="E85" s="140" t="str">
        <f>List!F189</f>
        <v/>
      </c>
    </row>
    <row r="86" spans="1:5">
      <c r="A86" s="126">
        <f t="shared" si="2"/>
        <v>0</v>
      </c>
      <c r="B86" s="139" t="str">
        <f>List!C190</f>
        <v/>
      </c>
      <c r="C86" s="139" t="str">
        <f>List!D190</f>
        <v/>
      </c>
      <c r="D86" s="139" t="str">
        <f>List!E190</f>
        <v/>
      </c>
      <c r="E86" s="140" t="str">
        <f>List!F190</f>
        <v/>
      </c>
    </row>
    <row r="87" spans="1:5">
      <c r="A87" s="126">
        <f t="shared" si="2"/>
        <v>0</v>
      </c>
      <c r="B87" s="139" t="str">
        <f>List!C191</f>
        <v/>
      </c>
      <c r="C87" s="139" t="str">
        <f>List!D191</f>
        <v/>
      </c>
      <c r="D87" s="139" t="str">
        <f>List!E191</f>
        <v/>
      </c>
      <c r="E87" s="140" t="str">
        <f>List!F191</f>
        <v/>
      </c>
    </row>
    <row r="88" spans="1:5">
      <c r="A88" s="126">
        <f t="shared" si="2"/>
        <v>0</v>
      </c>
      <c r="B88" s="139" t="str">
        <f>List!C192</f>
        <v/>
      </c>
      <c r="C88" s="139" t="str">
        <f>List!D192</f>
        <v/>
      </c>
      <c r="D88" s="139" t="str">
        <f>List!E192</f>
        <v/>
      </c>
      <c r="E88" s="140" t="str">
        <f>List!F192</f>
        <v/>
      </c>
    </row>
    <row r="89" spans="1:5">
      <c r="A89" s="126">
        <f t="shared" si="2"/>
        <v>0</v>
      </c>
      <c r="B89" s="139" t="str">
        <f>List!C193</f>
        <v/>
      </c>
      <c r="C89" s="139" t="str">
        <f>List!D193</f>
        <v/>
      </c>
      <c r="D89" s="139" t="str">
        <f>List!E193</f>
        <v/>
      </c>
      <c r="E89" s="140" t="str">
        <f>List!F193</f>
        <v/>
      </c>
    </row>
    <row r="90" spans="1:5">
      <c r="A90" s="126">
        <f t="shared" si="2"/>
        <v>0</v>
      </c>
      <c r="B90" s="139" t="str">
        <f>List!C194</f>
        <v/>
      </c>
      <c r="C90" s="139" t="str">
        <f>List!D194</f>
        <v/>
      </c>
      <c r="D90" s="139" t="str">
        <f>List!E194</f>
        <v/>
      </c>
      <c r="E90" s="140" t="str">
        <f>List!F194</f>
        <v/>
      </c>
    </row>
    <row r="91" spans="1:5">
      <c r="A91" s="126">
        <f t="shared" si="2"/>
        <v>0</v>
      </c>
      <c r="B91" s="139" t="str">
        <f>List!C195</f>
        <v/>
      </c>
      <c r="C91" s="139" t="str">
        <f>List!D195</f>
        <v/>
      </c>
      <c r="D91" s="139" t="str">
        <f>List!E195</f>
        <v/>
      </c>
      <c r="E91" s="140" t="str">
        <f>List!F195</f>
        <v/>
      </c>
    </row>
    <row r="92" spans="1:5">
      <c r="A92" s="126">
        <f t="shared" si="2"/>
        <v>0</v>
      </c>
      <c r="B92" s="139" t="str">
        <f>List!C196</f>
        <v/>
      </c>
      <c r="C92" s="139" t="str">
        <f>List!D196</f>
        <v/>
      </c>
      <c r="D92" s="139" t="str">
        <f>List!E196</f>
        <v/>
      </c>
      <c r="E92" s="140" t="str">
        <f>List!F196</f>
        <v/>
      </c>
    </row>
    <row r="93" spans="1:5">
      <c r="A93" s="126">
        <f t="shared" si="2"/>
        <v>0</v>
      </c>
      <c r="B93" s="139" t="str">
        <f>List!C197</f>
        <v/>
      </c>
      <c r="C93" s="139" t="str">
        <f>List!D197</f>
        <v/>
      </c>
      <c r="D93" s="139" t="str">
        <f>List!E197</f>
        <v/>
      </c>
      <c r="E93" s="140" t="str">
        <f>List!F197</f>
        <v/>
      </c>
    </row>
    <row r="94" spans="1:5">
      <c r="A94" s="126">
        <f t="shared" si="2"/>
        <v>0</v>
      </c>
      <c r="B94" s="139" t="str">
        <f>List!C198</f>
        <v/>
      </c>
      <c r="C94" s="139" t="str">
        <f>List!D198</f>
        <v/>
      </c>
      <c r="D94" s="139" t="str">
        <f>List!E198</f>
        <v/>
      </c>
      <c r="E94" s="140" t="str">
        <f>List!F198</f>
        <v/>
      </c>
    </row>
    <row r="95" spans="1:5">
      <c r="A95" s="126">
        <f t="shared" si="2"/>
        <v>0</v>
      </c>
      <c r="B95" s="139" t="str">
        <f>List!C199</f>
        <v/>
      </c>
      <c r="C95" s="139" t="str">
        <f>List!D199</f>
        <v/>
      </c>
      <c r="D95" s="139" t="str">
        <f>List!E199</f>
        <v/>
      </c>
      <c r="E95" s="140" t="str">
        <f>List!F199</f>
        <v/>
      </c>
    </row>
    <row r="96" spans="1:5">
      <c r="A96" s="126">
        <f t="shared" si="2"/>
        <v>0</v>
      </c>
      <c r="B96" s="139" t="str">
        <f>List!C200</f>
        <v/>
      </c>
      <c r="C96" s="139" t="str">
        <f>List!D200</f>
        <v/>
      </c>
      <c r="D96" s="139" t="str">
        <f>List!E200</f>
        <v/>
      </c>
      <c r="E96" s="140" t="str">
        <f>List!F200</f>
        <v/>
      </c>
    </row>
    <row r="97" spans="1:5">
      <c r="A97" s="126">
        <f t="shared" si="2"/>
        <v>0</v>
      </c>
      <c r="B97" s="139" t="str">
        <f>List!C201</f>
        <v/>
      </c>
      <c r="C97" s="139" t="str">
        <f>List!D201</f>
        <v/>
      </c>
      <c r="D97" s="139" t="str">
        <f>List!E201</f>
        <v/>
      </c>
      <c r="E97" s="140" t="str">
        <f>List!F201</f>
        <v/>
      </c>
    </row>
    <row r="98" spans="1:5">
      <c r="A98" s="126">
        <f t="shared" si="2"/>
        <v>0</v>
      </c>
      <c r="B98" s="139" t="str">
        <f>List!C202</f>
        <v/>
      </c>
      <c r="C98" s="139" t="str">
        <f>List!D202</f>
        <v/>
      </c>
      <c r="D98" s="139" t="str">
        <f>List!E202</f>
        <v/>
      </c>
      <c r="E98" s="140" t="str">
        <f>List!F202</f>
        <v/>
      </c>
    </row>
    <row r="99" spans="1:5">
      <c r="A99" s="126">
        <f t="shared" si="2"/>
        <v>0</v>
      </c>
      <c r="B99" s="139" t="str">
        <f>List!C203</f>
        <v/>
      </c>
      <c r="C99" s="139" t="str">
        <f>List!D203</f>
        <v/>
      </c>
      <c r="D99" s="139" t="str">
        <f>List!E203</f>
        <v/>
      </c>
      <c r="E99" s="140" t="str">
        <f>List!F203</f>
        <v/>
      </c>
    </row>
    <row r="100" spans="1:5">
      <c r="A100" s="126">
        <f t="shared" si="2"/>
        <v>0</v>
      </c>
      <c r="B100" s="139" t="str">
        <f>List!C204</f>
        <v/>
      </c>
      <c r="C100" s="139" t="str">
        <f>List!D204</f>
        <v/>
      </c>
      <c r="D100" s="139" t="str">
        <f>List!E204</f>
        <v/>
      </c>
      <c r="E100" s="140" t="str">
        <f>List!F204</f>
        <v/>
      </c>
    </row>
    <row r="101" spans="1:5">
      <c r="A101" s="126">
        <f t="shared" si="2"/>
        <v>0</v>
      </c>
      <c r="B101" s="139" t="str">
        <f>List!C205</f>
        <v/>
      </c>
      <c r="C101" s="139" t="str">
        <f>List!D205</f>
        <v/>
      </c>
      <c r="D101" s="139" t="str">
        <f>List!E205</f>
        <v/>
      </c>
      <c r="E101" s="140" t="str">
        <f>List!F205</f>
        <v/>
      </c>
    </row>
    <row r="102" spans="1:5">
      <c r="A102" s="126">
        <f t="shared" si="2"/>
        <v>0</v>
      </c>
      <c r="B102" s="139" t="str">
        <f>List!C206</f>
        <v/>
      </c>
      <c r="C102" s="139" t="str">
        <f>List!D206</f>
        <v/>
      </c>
      <c r="D102" s="139" t="str">
        <f>List!E206</f>
        <v/>
      </c>
      <c r="E102" s="140" t="str">
        <f>List!F206</f>
        <v/>
      </c>
    </row>
    <row r="103" spans="1:5">
      <c r="A103" s="126">
        <f t="shared" si="2"/>
        <v>0</v>
      </c>
      <c r="B103" s="139" t="str">
        <f>List!C207</f>
        <v/>
      </c>
      <c r="C103" s="139" t="str">
        <f>List!D207</f>
        <v/>
      </c>
      <c r="D103" s="139" t="str">
        <f>List!E207</f>
        <v/>
      </c>
      <c r="E103" s="140" t="str">
        <f>List!F207</f>
        <v/>
      </c>
    </row>
    <row r="104" spans="1:5">
      <c r="A104" s="126">
        <f t="shared" si="2"/>
        <v>0</v>
      </c>
      <c r="B104" s="139" t="str">
        <f>List!C208</f>
        <v/>
      </c>
      <c r="C104" s="139" t="str">
        <f>List!D208</f>
        <v/>
      </c>
      <c r="D104" s="139" t="str">
        <f>List!E208</f>
        <v/>
      </c>
      <c r="E104" s="140" t="str">
        <f>List!F208</f>
        <v/>
      </c>
    </row>
    <row r="105" spans="1:5">
      <c r="A105" s="126">
        <f t="shared" si="2"/>
        <v>0</v>
      </c>
      <c r="B105" s="139" t="str">
        <f>List!C209</f>
        <v/>
      </c>
      <c r="C105" s="139" t="str">
        <f>List!D209</f>
        <v/>
      </c>
      <c r="D105" s="139" t="str">
        <f>List!E209</f>
        <v/>
      </c>
      <c r="E105" s="140" t="str">
        <f>List!F209</f>
        <v/>
      </c>
    </row>
    <row r="106" spans="1:5">
      <c r="A106" s="126">
        <f t="shared" si="2"/>
        <v>0</v>
      </c>
      <c r="B106" s="139" t="str">
        <f>List!C210</f>
        <v/>
      </c>
      <c r="C106" s="139" t="str">
        <f>List!D210</f>
        <v/>
      </c>
      <c r="D106" s="139" t="str">
        <f>List!E210</f>
        <v/>
      </c>
      <c r="E106" s="140" t="str">
        <f>List!F210</f>
        <v/>
      </c>
    </row>
    <row r="107" spans="1:5">
      <c r="A107" s="126">
        <f t="shared" si="2"/>
        <v>0</v>
      </c>
      <c r="B107" s="139" t="str">
        <f>List!C211</f>
        <v/>
      </c>
      <c r="C107" s="139" t="str">
        <f>List!D211</f>
        <v/>
      </c>
      <c r="D107" s="139" t="str">
        <f>List!E211</f>
        <v/>
      </c>
      <c r="E107" s="140" t="str">
        <f>List!F211</f>
        <v/>
      </c>
    </row>
    <row r="108" spans="1:5">
      <c r="A108" s="126">
        <f t="shared" si="2"/>
        <v>0</v>
      </c>
      <c r="B108" s="139" t="str">
        <f>List!C212</f>
        <v/>
      </c>
      <c r="C108" s="139" t="str">
        <f>List!D212</f>
        <v/>
      </c>
      <c r="D108" s="139" t="str">
        <f>List!E212</f>
        <v/>
      </c>
      <c r="E108" s="140" t="str">
        <f>List!F212</f>
        <v/>
      </c>
    </row>
    <row r="109" spans="1:5">
      <c r="A109" s="126">
        <f t="shared" si="2"/>
        <v>0</v>
      </c>
      <c r="B109" s="139" t="str">
        <f>List!C213</f>
        <v/>
      </c>
      <c r="C109" s="139" t="str">
        <f>List!D213</f>
        <v/>
      </c>
      <c r="D109" s="139" t="str">
        <f>List!E213</f>
        <v/>
      </c>
      <c r="E109" s="140" t="str">
        <f>List!F213</f>
        <v/>
      </c>
    </row>
    <row r="110" spans="1:5">
      <c r="A110" s="126">
        <f t="shared" si="2"/>
        <v>0</v>
      </c>
      <c r="B110" s="139" t="str">
        <f>List!C214</f>
        <v/>
      </c>
      <c r="C110" s="139" t="str">
        <f>List!D214</f>
        <v/>
      </c>
      <c r="D110" s="139" t="str">
        <f>List!E214</f>
        <v/>
      </c>
      <c r="E110" s="140" t="str">
        <f>List!F214</f>
        <v/>
      </c>
    </row>
    <row r="111" spans="1:5">
      <c r="A111" s="126">
        <f t="shared" si="2"/>
        <v>0</v>
      </c>
      <c r="B111" s="139" t="str">
        <f>List!C215</f>
        <v/>
      </c>
      <c r="C111" s="139" t="str">
        <f>List!D215</f>
        <v/>
      </c>
      <c r="D111" s="139" t="str">
        <f>List!E215</f>
        <v/>
      </c>
      <c r="E111" s="140" t="str">
        <f>List!F215</f>
        <v/>
      </c>
    </row>
    <row r="112" spans="1:5">
      <c r="A112" s="126">
        <f t="shared" si="2"/>
        <v>0</v>
      </c>
      <c r="B112" s="139" t="str">
        <f>List!C216</f>
        <v/>
      </c>
      <c r="C112" s="139" t="str">
        <f>List!D216</f>
        <v/>
      </c>
      <c r="D112" s="139" t="str">
        <f>List!E216</f>
        <v/>
      </c>
      <c r="E112" s="140" t="str">
        <f>List!F216</f>
        <v/>
      </c>
    </row>
    <row r="113" spans="1:5">
      <c r="A113" s="126">
        <f t="shared" si="2"/>
        <v>0</v>
      </c>
      <c r="B113" s="139" t="str">
        <f>List!C217</f>
        <v/>
      </c>
      <c r="C113" s="139" t="str">
        <f>List!D217</f>
        <v/>
      </c>
      <c r="D113" s="139" t="str">
        <f>List!E217</f>
        <v/>
      </c>
      <c r="E113" s="140" t="str">
        <f>List!F217</f>
        <v/>
      </c>
    </row>
    <row r="114" spans="1:5">
      <c r="A114" s="126">
        <f t="shared" si="2"/>
        <v>0</v>
      </c>
      <c r="B114" s="139" t="str">
        <f>List!C218</f>
        <v/>
      </c>
      <c r="C114" s="139" t="str">
        <f>List!D218</f>
        <v/>
      </c>
      <c r="D114" s="139" t="str">
        <f>List!E218</f>
        <v/>
      </c>
      <c r="E114" s="140" t="str">
        <f>List!F218</f>
        <v/>
      </c>
    </row>
    <row r="115" spans="1:5">
      <c r="A115" s="126">
        <f t="shared" si="2"/>
        <v>0</v>
      </c>
      <c r="B115" s="139" t="str">
        <f>List!C219</f>
        <v/>
      </c>
      <c r="C115" s="139" t="str">
        <f>List!D219</f>
        <v/>
      </c>
      <c r="D115" s="139" t="str">
        <f>List!E219</f>
        <v/>
      </c>
      <c r="E115" s="140" t="str">
        <f>List!F219</f>
        <v/>
      </c>
    </row>
    <row r="116" spans="1:5">
      <c r="A116" s="126">
        <f t="shared" si="2"/>
        <v>0</v>
      </c>
      <c r="B116" s="139" t="str">
        <f>List!C220</f>
        <v/>
      </c>
      <c r="C116" s="139" t="str">
        <f>List!D220</f>
        <v/>
      </c>
      <c r="D116" s="139" t="str">
        <f>List!E220</f>
        <v/>
      </c>
      <c r="E116" s="140" t="str">
        <f>List!F220</f>
        <v/>
      </c>
    </row>
    <row r="117" spans="1:5">
      <c r="A117" s="126">
        <f t="shared" si="2"/>
        <v>0</v>
      </c>
      <c r="B117" s="139" t="str">
        <f>List!C221</f>
        <v/>
      </c>
      <c r="C117" s="139" t="str">
        <f>List!D221</f>
        <v/>
      </c>
      <c r="D117" s="139" t="str">
        <f>List!E221</f>
        <v/>
      </c>
      <c r="E117" s="140" t="str">
        <f>List!F221</f>
        <v/>
      </c>
    </row>
    <row r="118" spans="1:5">
      <c r="A118" s="126">
        <f t="shared" si="2"/>
        <v>0</v>
      </c>
      <c r="B118" s="139" t="str">
        <f>List!C222</f>
        <v/>
      </c>
      <c r="C118" s="139" t="str">
        <f>List!D222</f>
        <v/>
      </c>
      <c r="D118" s="139" t="str">
        <f>List!E222</f>
        <v/>
      </c>
      <c r="E118" s="140" t="str">
        <f>List!F222</f>
        <v/>
      </c>
    </row>
    <row r="119" spans="1:5">
      <c r="A119" s="126">
        <f t="shared" si="2"/>
        <v>0</v>
      </c>
      <c r="B119" s="139" t="str">
        <f>List!C223</f>
        <v/>
      </c>
      <c r="C119" s="139" t="str">
        <f>List!D223</f>
        <v/>
      </c>
      <c r="D119" s="139" t="str">
        <f>List!E223</f>
        <v/>
      </c>
      <c r="E119" s="140" t="str">
        <f>List!F223</f>
        <v/>
      </c>
    </row>
    <row r="120" spans="1:5">
      <c r="A120" s="126">
        <f t="shared" si="2"/>
        <v>0</v>
      </c>
      <c r="B120" s="139" t="str">
        <f>List!C224</f>
        <v/>
      </c>
      <c r="C120" s="139" t="str">
        <f>List!D224</f>
        <v/>
      </c>
      <c r="D120" s="139" t="str">
        <f>List!E224</f>
        <v/>
      </c>
      <c r="E120" s="140" t="str">
        <f>List!F224</f>
        <v/>
      </c>
    </row>
    <row r="121" spans="1:5">
      <c r="A121" s="126">
        <f t="shared" si="2"/>
        <v>0</v>
      </c>
      <c r="B121" s="139" t="str">
        <f>List!C225</f>
        <v/>
      </c>
      <c r="C121" s="139" t="str">
        <f>List!D225</f>
        <v/>
      </c>
      <c r="D121" s="139" t="str">
        <f>List!E225</f>
        <v/>
      </c>
      <c r="E121" s="140" t="str">
        <f>List!F225</f>
        <v/>
      </c>
    </row>
    <row r="122" spans="1:5">
      <c r="A122" s="126">
        <f t="shared" si="2"/>
        <v>0</v>
      </c>
      <c r="B122" s="139" t="str">
        <f>List!C226</f>
        <v/>
      </c>
      <c r="C122" s="139" t="str">
        <f>List!D226</f>
        <v/>
      </c>
      <c r="D122" s="139" t="str">
        <f>List!E226</f>
        <v/>
      </c>
      <c r="E122" s="140" t="str">
        <f>List!F226</f>
        <v/>
      </c>
    </row>
    <row r="123" spans="1:5">
      <c r="A123" s="126">
        <f t="shared" si="2"/>
        <v>0</v>
      </c>
      <c r="B123" s="139" t="str">
        <f>List!C227</f>
        <v/>
      </c>
      <c r="C123" s="139" t="str">
        <f>List!D227</f>
        <v/>
      </c>
      <c r="D123" s="139" t="str">
        <f>List!E227</f>
        <v/>
      </c>
      <c r="E123" s="140" t="str">
        <f>List!F227</f>
        <v/>
      </c>
    </row>
    <row r="124" spans="1:5">
      <c r="A124" s="126">
        <f t="shared" si="2"/>
        <v>0</v>
      </c>
      <c r="B124" s="139" t="str">
        <f>List!C228</f>
        <v/>
      </c>
      <c r="C124" s="139" t="str">
        <f>List!D228</f>
        <v/>
      </c>
      <c r="D124" s="139" t="str">
        <f>List!E228</f>
        <v/>
      </c>
      <c r="E124" s="140" t="str">
        <f>List!F228</f>
        <v/>
      </c>
    </row>
    <row r="125" spans="1:5">
      <c r="A125" s="126">
        <f t="shared" si="2"/>
        <v>0</v>
      </c>
      <c r="B125" s="139" t="str">
        <f>List!C229</f>
        <v/>
      </c>
      <c r="C125" s="139" t="str">
        <f>List!D229</f>
        <v/>
      </c>
      <c r="D125" s="139" t="str">
        <f>List!E229</f>
        <v/>
      </c>
      <c r="E125" s="140" t="str">
        <f>List!F229</f>
        <v/>
      </c>
    </row>
    <row r="126" spans="1:5">
      <c r="A126" s="126">
        <f t="shared" si="2"/>
        <v>0</v>
      </c>
      <c r="B126" s="139" t="str">
        <f>List!C230</f>
        <v/>
      </c>
      <c r="C126" s="139" t="str">
        <f>List!D230</f>
        <v/>
      </c>
      <c r="D126" s="139" t="str">
        <f>List!E230</f>
        <v/>
      </c>
      <c r="E126" s="140" t="str">
        <f>List!F230</f>
        <v/>
      </c>
    </row>
    <row r="127" spans="1:5">
      <c r="A127" s="126">
        <f t="shared" si="2"/>
        <v>0</v>
      </c>
      <c r="B127" s="139" t="str">
        <f>List!C231</f>
        <v/>
      </c>
      <c r="C127" s="139" t="str">
        <f>List!D231</f>
        <v/>
      </c>
      <c r="D127" s="139" t="str">
        <f>List!E231</f>
        <v/>
      </c>
      <c r="E127" s="140" t="str">
        <f>List!F231</f>
        <v/>
      </c>
    </row>
    <row r="128" spans="1:5">
      <c r="A128" s="126">
        <f t="shared" si="2"/>
        <v>0</v>
      </c>
      <c r="B128" s="139" t="str">
        <f>List!C232</f>
        <v/>
      </c>
      <c r="C128" s="139" t="str">
        <f>List!D232</f>
        <v/>
      </c>
      <c r="D128" s="139" t="str">
        <f>List!E232</f>
        <v/>
      </c>
      <c r="E128" s="140" t="str">
        <f>List!F232</f>
        <v/>
      </c>
    </row>
    <row r="129" spans="1:5">
      <c r="A129" s="126">
        <f t="shared" si="2"/>
        <v>0</v>
      </c>
      <c r="B129" s="139" t="str">
        <f>List!C233</f>
        <v/>
      </c>
      <c r="C129" s="139" t="str">
        <f>List!D233</f>
        <v/>
      </c>
      <c r="D129" s="139" t="str">
        <f>List!E233</f>
        <v/>
      </c>
      <c r="E129" s="140" t="str">
        <f>List!F233</f>
        <v/>
      </c>
    </row>
    <row r="130" spans="1:5">
      <c r="A130" s="126">
        <f t="shared" si="2"/>
        <v>0</v>
      </c>
      <c r="B130" s="139" t="str">
        <f>List!C234</f>
        <v/>
      </c>
      <c r="C130" s="139" t="str">
        <f>List!D234</f>
        <v/>
      </c>
      <c r="D130" s="139" t="str">
        <f>List!E234</f>
        <v/>
      </c>
      <c r="E130" s="140" t="str">
        <f>List!F234</f>
        <v/>
      </c>
    </row>
    <row r="131" spans="1:5" ht="15.95" thickBot="1">
      <c r="A131" s="137">
        <f t="shared" si="2"/>
        <v>0</v>
      </c>
      <c r="B131" s="141" t="str">
        <f>List!C235</f>
        <v/>
      </c>
      <c r="C131" s="141" t="str">
        <f>List!D235</f>
        <v/>
      </c>
      <c r="D131" s="141" t="str">
        <f>List!E235</f>
        <v/>
      </c>
      <c r="E131" s="142" t="str">
        <f>List!F235</f>
        <v/>
      </c>
    </row>
  </sheetData>
  <sheetProtection algorithmName="SHA-512" hashValue="B4oVx6psGnKImD55qu+sq1NorMbDBvsjExc92nCnVOM4tnMIoYXcSy1P0eFUGjI0SuhjLbeB6baMmAsJVTjjAw==" saltValue="yFhPndRXgbthL2JcyEHxGw==" spinCount="100000" sheet="1" objects="1" scenarios="1"/>
  <mergeCells count="13">
    <mergeCell ref="B11:E11"/>
    <mergeCell ref="B4:E4"/>
    <mergeCell ref="B5:E5"/>
    <mergeCell ref="B6:E6"/>
    <mergeCell ref="B7:E7"/>
    <mergeCell ref="B10:E10"/>
    <mergeCell ref="B8:E8"/>
    <mergeCell ref="B9:E9"/>
    <mergeCell ref="G14:H14"/>
    <mergeCell ref="B14:C14"/>
    <mergeCell ref="G15:H19"/>
    <mergeCell ref="B12:E12"/>
    <mergeCell ref="B13:E13"/>
  </mergeCells>
  <conditionalFormatting sqref="H2:H3">
    <cfRule type="cellIs" dxfId="25" priority="2" operator="notEqual">
      <formula>""</formula>
    </cfRule>
  </conditionalFormatting>
  <dataValidations count="2">
    <dataValidation type="list" allowBlank="1" showInputMessage="1" showErrorMessage="1" sqref="H3" xr:uid="{294079D3-E450-4F7E-B033-4B54B0D7917B}">
      <formula1>LALIST</formula1>
    </dataValidation>
    <dataValidation type="custom" allowBlank="1" showInputMessage="1" showErrorMessage="1" sqref="H2" xr:uid="{C66C6FD8-78E7-4710-B307-F422F62CA443}">
      <formula1>NOT(OR(_xlfn.REGEXTEST(H2, "[\\/:*?""&lt;&gt;\|,.]"),_xlfn.ISFORMULA(H2),LEN(H2)&gt;50))</formula1>
    </dataValidation>
  </dataValidation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D02E0-AAA2-4191-84B0-EC6F9F1BECDF}">
  <dimension ref="A1:J37"/>
  <sheetViews>
    <sheetView tabSelected="1" zoomScaleNormal="100" workbookViewId="0">
      <selection activeCell="B1" sqref="B1"/>
    </sheetView>
  </sheetViews>
  <sheetFormatPr defaultColWidth="17.28515625" defaultRowHeight="15" customHeight="1"/>
  <cols>
    <col min="1" max="1" width="17.28515625" style="104"/>
    <col min="2" max="16384" width="17.28515625" style="106"/>
  </cols>
  <sheetData>
    <row r="1" spans="1:10" s="104" customFormat="1" ht="30" customHeight="1" thickBot="1">
      <c r="A1" s="103" t="s">
        <v>23</v>
      </c>
      <c r="B1" s="56">
        <v>2.0299999999999998</v>
      </c>
      <c r="C1" s="56" t="s">
        <v>24</v>
      </c>
      <c r="D1" s="56" t="s">
        <v>24</v>
      </c>
      <c r="E1" s="56" t="s">
        <v>24</v>
      </c>
      <c r="F1" s="56" t="s">
        <v>24</v>
      </c>
      <c r="G1" s="56" t="s">
        <v>24</v>
      </c>
    </row>
    <row r="2" spans="1:10" ht="30" customHeight="1">
      <c r="A2" s="56">
        <v>2.5299999999999998</v>
      </c>
      <c r="B2" s="105" t="str">
        <f>IF(OR(B$1=NOLIST,$A2=NOLIST),"",$A2+0.12&amp;"x"&amp;B$1+0.12&amp;"m")</f>
        <v>2.65x2.15m</v>
      </c>
      <c r="C2" s="105" t="str">
        <f>IF(OR(C$1=NOLIST,$A2=NOLIST),"",$A2+0.12&amp;"x"&amp;C$1&amp;"m")</f>
        <v/>
      </c>
      <c r="D2" s="105" t="str">
        <f>IF(OR(D$1=NOLIST,$A2=NOLIST),"",$A2+0.12&amp;"x"&amp;D$1&amp;"m")</f>
        <v/>
      </c>
      <c r="E2" s="105" t="str">
        <f>IF(OR(E$1=NOLIST,$A2=NOLIST),"",$A2+0.12&amp;"x"&amp;E$1&amp;"m")</f>
        <v/>
      </c>
      <c r="F2" s="105" t="str">
        <f>IF(OR(F$1=NOLIST,$A2=NOLIST),"",$A2+0.12&amp;"x"&amp;F$1&amp;"m")</f>
        <v/>
      </c>
      <c r="G2" s="105" t="str">
        <f>IF(OR(G$1=NOLIST,$A2=NOLIST),"",$A2+0.12&amp;"x"&amp;G$1&amp;"m")</f>
        <v/>
      </c>
      <c r="I2" s="157"/>
      <c r="J2" s="158"/>
    </row>
    <row r="3" spans="1:10" ht="30" customHeight="1" thickBot="1">
      <c r="A3" s="56" t="s">
        <v>24</v>
      </c>
      <c r="B3" s="105" t="str">
        <f t="shared" ref="B3:B13" si="0">IF(OR(B$1=NOLIST,$A3=NOLIST),"",$A3&amp;"x"&amp;B$1+0.12&amp;"m")</f>
        <v/>
      </c>
      <c r="C3" s="105" t="str">
        <f t="shared" ref="C3:G13" si="1">IF(OR(C$1=NOLIST,$A3=NOLIST),"",$A3&amp;"x"&amp;C$1&amp;"m")</f>
        <v/>
      </c>
      <c r="D3" s="105" t="str">
        <f t="shared" si="1"/>
        <v/>
      </c>
      <c r="E3" s="105" t="str">
        <f t="shared" si="1"/>
        <v/>
      </c>
      <c r="F3" s="105" t="str">
        <f t="shared" si="1"/>
        <v/>
      </c>
      <c r="G3" s="105" t="str">
        <f t="shared" si="1"/>
        <v/>
      </c>
      <c r="I3" s="159"/>
      <c r="J3" s="160"/>
    </row>
    <row r="4" spans="1:10" ht="30" customHeight="1">
      <c r="A4" s="56" t="s">
        <v>24</v>
      </c>
      <c r="B4" s="105" t="str">
        <f t="shared" si="0"/>
        <v/>
      </c>
      <c r="C4" s="105" t="str">
        <f t="shared" si="1"/>
        <v/>
      </c>
      <c r="D4" s="105" t="str">
        <f t="shared" si="1"/>
        <v/>
      </c>
      <c r="E4" s="105" t="str">
        <f t="shared" si="1"/>
        <v/>
      </c>
      <c r="F4" s="105" t="str">
        <f t="shared" si="1"/>
        <v/>
      </c>
      <c r="G4" s="105" t="str">
        <f t="shared" si="1"/>
        <v/>
      </c>
      <c r="I4" s="107"/>
      <c r="J4" s="107"/>
    </row>
    <row r="5" spans="1:10" ht="30" customHeight="1">
      <c r="A5" s="56" t="s">
        <v>24</v>
      </c>
      <c r="B5" s="105" t="str">
        <f t="shared" si="0"/>
        <v/>
      </c>
      <c r="C5" s="105" t="str">
        <f t="shared" si="1"/>
        <v/>
      </c>
      <c r="D5" s="105" t="str">
        <f t="shared" si="1"/>
        <v/>
      </c>
      <c r="E5" s="105" t="str">
        <f t="shared" si="1"/>
        <v/>
      </c>
      <c r="F5" s="105" t="str">
        <f t="shared" si="1"/>
        <v/>
      </c>
      <c r="G5" s="105" t="str">
        <f t="shared" si="1"/>
        <v/>
      </c>
      <c r="I5" s="107"/>
      <c r="J5" s="107"/>
    </row>
    <row r="6" spans="1:10" ht="30" customHeight="1">
      <c r="A6" s="56" t="s">
        <v>24</v>
      </c>
      <c r="B6" s="105" t="str">
        <f t="shared" si="0"/>
        <v/>
      </c>
      <c r="C6" s="105" t="str">
        <f t="shared" si="1"/>
        <v/>
      </c>
      <c r="D6" s="105" t="str">
        <f t="shared" si="1"/>
        <v/>
      </c>
      <c r="E6" s="105" t="str">
        <f t="shared" si="1"/>
        <v/>
      </c>
      <c r="F6" s="105" t="str">
        <f t="shared" si="1"/>
        <v/>
      </c>
      <c r="G6" s="105" t="str">
        <f t="shared" si="1"/>
        <v/>
      </c>
      <c r="I6" s="107"/>
      <c r="J6" s="107"/>
    </row>
    <row r="7" spans="1:10" ht="30" customHeight="1">
      <c r="A7" s="56" t="s">
        <v>24</v>
      </c>
      <c r="B7" s="105" t="str">
        <f t="shared" si="0"/>
        <v/>
      </c>
      <c r="C7" s="105" t="str">
        <f t="shared" si="1"/>
        <v/>
      </c>
      <c r="D7" s="105" t="str">
        <f t="shared" si="1"/>
        <v/>
      </c>
      <c r="E7" s="105" t="str">
        <f t="shared" si="1"/>
        <v/>
      </c>
      <c r="F7" s="105" t="str">
        <f t="shared" si="1"/>
        <v/>
      </c>
      <c r="G7" s="105" t="str">
        <f t="shared" si="1"/>
        <v/>
      </c>
    </row>
    <row r="8" spans="1:10" ht="30" customHeight="1">
      <c r="A8" s="56" t="s">
        <v>24</v>
      </c>
      <c r="B8" s="105" t="str">
        <f t="shared" si="0"/>
        <v/>
      </c>
      <c r="C8" s="105" t="str">
        <f t="shared" si="1"/>
        <v/>
      </c>
      <c r="D8" s="105" t="str">
        <f t="shared" si="1"/>
        <v/>
      </c>
      <c r="E8" s="105" t="str">
        <f t="shared" si="1"/>
        <v/>
      </c>
      <c r="F8" s="105" t="str">
        <f t="shared" si="1"/>
        <v/>
      </c>
      <c r="G8" s="105" t="str">
        <f t="shared" si="1"/>
        <v/>
      </c>
    </row>
    <row r="9" spans="1:10" ht="30" customHeight="1">
      <c r="A9" s="56" t="s">
        <v>24</v>
      </c>
      <c r="B9" s="105" t="str">
        <f t="shared" si="0"/>
        <v/>
      </c>
      <c r="C9" s="105" t="str">
        <f t="shared" si="1"/>
        <v/>
      </c>
      <c r="D9" s="105" t="str">
        <f t="shared" si="1"/>
        <v/>
      </c>
      <c r="E9" s="105" t="str">
        <f t="shared" si="1"/>
        <v/>
      </c>
      <c r="F9" s="105" t="str">
        <f t="shared" si="1"/>
        <v/>
      </c>
      <c r="G9" s="105" t="str">
        <f t="shared" si="1"/>
        <v/>
      </c>
    </row>
    <row r="10" spans="1:10" ht="30" customHeight="1">
      <c r="A10" s="56" t="s">
        <v>24</v>
      </c>
      <c r="B10" s="105" t="str">
        <f t="shared" si="0"/>
        <v/>
      </c>
      <c r="C10" s="105" t="str">
        <f t="shared" si="1"/>
        <v/>
      </c>
      <c r="D10" s="105" t="str">
        <f t="shared" si="1"/>
        <v/>
      </c>
      <c r="E10" s="105" t="str">
        <f t="shared" si="1"/>
        <v/>
      </c>
      <c r="F10" s="105" t="str">
        <f t="shared" si="1"/>
        <v/>
      </c>
      <c r="G10" s="105" t="str">
        <f t="shared" si="1"/>
        <v/>
      </c>
    </row>
    <row r="11" spans="1:10" ht="30" customHeight="1">
      <c r="A11" s="56" t="s">
        <v>24</v>
      </c>
      <c r="B11" s="105" t="str">
        <f t="shared" si="0"/>
        <v/>
      </c>
      <c r="C11" s="105" t="str">
        <f t="shared" si="1"/>
        <v/>
      </c>
      <c r="D11" s="105" t="str">
        <f t="shared" si="1"/>
        <v/>
      </c>
      <c r="E11" s="105" t="str">
        <f t="shared" si="1"/>
        <v/>
      </c>
      <c r="F11" s="105" t="str">
        <f t="shared" si="1"/>
        <v/>
      </c>
      <c r="G11" s="105" t="str">
        <f t="shared" si="1"/>
        <v/>
      </c>
    </row>
    <row r="12" spans="1:10" ht="30" customHeight="1">
      <c r="A12" s="56" t="s">
        <v>24</v>
      </c>
      <c r="B12" s="105" t="str">
        <f t="shared" si="0"/>
        <v/>
      </c>
      <c r="C12" s="105" t="str">
        <f t="shared" si="1"/>
        <v/>
      </c>
      <c r="D12" s="105" t="str">
        <f t="shared" si="1"/>
        <v/>
      </c>
      <c r="E12" s="105" t="str">
        <f t="shared" si="1"/>
        <v/>
      </c>
      <c r="F12" s="105" t="str">
        <f t="shared" si="1"/>
        <v/>
      </c>
      <c r="G12" s="105" t="str">
        <f t="shared" si="1"/>
        <v/>
      </c>
    </row>
    <row r="13" spans="1:10" ht="30" customHeight="1">
      <c r="A13" s="56" t="s">
        <v>24</v>
      </c>
      <c r="B13" s="105" t="str">
        <f t="shared" si="0"/>
        <v/>
      </c>
      <c r="C13" s="105" t="str">
        <f t="shared" si="1"/>
        <v/>
      </c>
      <c r="D13" s="105" t="str">
        <f t="shared" si="1"/>
        <v/>
      </c>
      <c r="E13" s="105" t="str">
        <f t="shared" si="1"/>
        <v/>
      </c>
      <c r="F13" s="105" t="str">
        <f t="shared" si="1"/>
        <v/>
      </c>
      <c r="G13" s="105" t="str">
        <f t="shared" si="1"/>
        <v/>
      </c>
    </row>
    <row r="14" spans="1:10" ht="15" customHeight="1">
      <c r="A14" s="108"/>
    </row>
    <row r="15" spans="1:10" ht="15" customHeight="1">
      <c r="A15" s="106"/>
      <c r="C15" s="108"/>
      <c r="F15" s="22" t="s">
        <v>25</v>
      </c>
      <c r="G15" s="109" t="str">
        <f>IF(OR(A2="*",B1="*"),"",Calc!D12)</f>
        <v>2.65x2.15m</v>
      </c>
    </row>
    <row r="16" spans="1:10" ht="15" customHeight="1">
      <c r="A16" s="110" t="s">
        <v>26</v>
      </c>
      <c r="B16" s="57" t="s">
        <v>27</v>
      </c>
      <c r="F16" s="22" t="s">
        <v>28</v>
      </c>
      <c r="G16" s="109" t="str">
        <f>IF(OR(A2="*",B1="*"),"",Calc!D11)</f>
        <v>2.53x2.03m</v>
      </c>
    </row>
    <row r="17" spans="1:7" ht="15" customHeight="1" thickBot="1">
      <c r="A17" s="110" t="s">
        <v>29</v>
      </c>
      <c r="B17" s="57" t="s">
        <v>30</v>
      </c>
    </row>
    <row r="18" spans="1:7" ht="15" customHeight="1">
      <c r="A18" s="108"/>
      <c r="E18" s="169" t="str">
        <f>_xlfn.TEXTJOIN(CHAR(10),TRUE,Calc!E85:E103)</f>
        <v/>
      </c>
      <c r="F18" s="170"/>
      <c r="G18" s="171"/>
    </row>
    <row r="19" spans="1:7" ht="15" customHeight="1">
      <c r="A19" s="110" t="s">
        <v>31</v>
      </c>
      <c r="B19" s="58" t="s">
        <v>32</v>
      </c>
      <c r="E19" s="172"/>
      <c r="F19" s="173"/>
      <c r="G19" s="174"/>
    </row>
    <row r="20" spans="1:7" ht="15" customHeight="1">
      <c r="A20" s="110" t="s">
        <v>33</v>
      </c>
      <c r="B20" s="94" t="s">
        <v>34</v>
      </c>
      <c r="E20" s="172"/>
      <c r="F20" s="173"/>
      <c r="G20" s="174"/>
    </row>
    <row r="21" spans="1:7" ht="15" customHeight="1">
      <c r="A21" s="110" t="s">
        <v>35</v>
      </c>
      <c r="B21" s="58" t="s">
        <v>36</v>
      </c>
      <c r="E21" s="172"/>
      <c r="F21" s="173"/>
      <c r="G21" s="174"/>
    </row>
    <row r="22" spans="1:7" ht="15" customHeight="1">
      <c r="A22" s="110" t="s">
        <v>37</v>
      </c>
      <c r="B22" s="58" t="s">
        <v>36</v>
      </c>
      <c r="E22" s="172"/>
      <c r="F22" s="173"/>
      <c r="G22" s="174"/>
    </row>
    <row r="23" spans="1:7" ht="15" customHeight="1">
      <c r="A23" s="110" t="s">
        <v>38</v>
      </c>
      <c r="B23" s="58" t="s">
        <v>36</v>
      </c>
      <c r="E23" s="172"/>
      <c r="F23" s="173"/>
      <c r="G23" s="174"/>
    </row>
    <row r="24" spans="1:7" ht="15" customHeight="1">
      <c r="A24" s="110" t="s">
        <v>39</v>
      </c>
      <c r="B24" s="58" t="s">
        <v>36</v>
      </c>
      <c r="E24" s="172"/>
      <c r="F24" s="173"/>
      <c r="G24" s="174"/>
    </row>
    <row r="25" spans="1:7" ht="15" customHeight="1">
      <c r="A25" s="110" t="s">
        <v>40</v>
      </c>
      <c r="B25" s="59" t="s">
        <v>41</v>
      </c>
      <c r="E25" s="172"/>
      <c r="F25" s="173"/>
      <c r="G25" s="174"/>
    </row>
    <row r="26" spans="1:7" ht="15" customHeight="1">
      <c r="E26" s="172"/>
      <c r="F26" s="173"/>
      <c r="G26" s="174"/>
    </row>
    <row r="27" spans="1:7" ht="15" customHeight="1">
      <c r="A27" s="111" t="s">
        <v>42</v>
      </c>
      <c r="B27" s="111" t="s">
        <v>43</v>
      </c>
      <c r="C27" s="111" t="s">
        <v>44</v>
      </c>
      <c r="E27" s="172"/>
      <c r="F27" s="173"/>
      <c r="G27" s="174"/>
    </row>
    <row r="28" spans="1:7" ht="15" customHeight="1">
      <c r="A28" s="143" t="s">
        <v>45</v>
      </c>
      <c r="B28" s="144">
        <v>2.5299999999999998</v>
      </c>
      <c r="C28" s="143">
        <v>1</v>
      </c>
      <c r="E28" s="172"/>
      <c r="F28" s="173"/>
      <c r="G28" s="174"/>
    </row>
    <row r="29" spans="1:7" ht="15" customHeight="1">
      <c r="A29" s="143" t="s">
        <v>34</v>
      </c>
      <c r="B29" s="144" t="s">
        <v>34</v>
      </c>
      <c r="C29" s="143"/>
      <c r="E29" s="172"/>
      <c r="F29" s="173"/>
      <c r="G29" s="174"/>
    </row>
    <row r="30" spans="1:7" ht="15" customHeight="1">
      <c r="A30" s="143" t="s">
        <v>34</v>
      </c>
      <c r="B30" s="144" t="s">
        <v>34</v>
      </c>
      <c r="C30" s="143"/>
      <c r="E30" s="172"/>
      <c r="F30" s="173"/>
      <c r="G30" s="174"/>
    </row>
    <row r="31" spans="1:7" ht="15" customHeight="1">
      <c r="A31" s="143" t="s">
        <v>34</v>
      </c>
      <c r="B31" s="144" t="s">
        <v>34</v>
      </c>
      <c r="C31" s="143"/>
      <c r="E31" s="175"/>
      <c r="F31" s="176"/>
      <c r="G31" s="177"/>
    </row>
    <row r="32" spans="1:7" ht="15" customHeight="1" thickBot="1">
      <c r="A32" s="180" t="s">
        <v>46</v>
      </c>
      <c r="B32" s="180"/>
      <c r="E32" s="159"/>
      <c r="F32" s="178"/>
      <c r="G32" s="160"/>
    </row>
    <row r="33" spans="1:7" ht="15" customHeight="1" thickBot="1">
      <c r="A33" s="179" t="s">
        <v>47</v>
      </c>
      <c r="B33" s="179"/>
    </row>
    <row r="34" spans="1:7" ht="15" customHeight="1" thickBot="1">
      <c r="A34" s="108"/>
      <c r="D34" s="161"/>
      <c r="E34" s="162"/>
      <c r="F34" s="167" t="s">
        <v>48</v>
      </c>
      <c r="G34" s="168"/>
    </row>
    <row r="35" spans="1:7" ht="15" customHeight="1">
      <c r="A35" s="112" t="s">
        <v>49</v>
      </c>
      <c r="B35" s="58" t="s">
        <v>41</v>
      </c>
      <c r="D35" s="163"/>
      <c r="E35" s="164"/>
      <c r="F35" s="113" t="s">
        <v>50</v>
      </c>
      <c r="G35" s="114">
        <v>45896</v>
      </c>
    </row>
    <row r="36" spans="1:7" ht="15" customHeight="1">
      <c r="A36" s="110" t="s">
        <v>51</v>
      </c>
      <c r="B36" s="58" t="s">
        <v>36</v>
      </c>
      <c r="D36" s="163"/>
      <c r="E36" s="164"/>
      <c r="F36" s="115" t="s">
        <v>29</v>
      </c>
      <c r="G36" s="116" t="s">
        <v>52</v>
      </c>
    </row>
    <row r="37" spans="1:7" ht="15" customHeight="1" thickBot="1">
      <c r="D37" s="165"/>
      <c r="E37" s="166"/>
      <c r="F37" s="117" t="s">
        <v>53</v>
      </c>
      <c r="G37" s="118" t="s">
        <v>54</v>
      </c>
    </row>
  </sheetData>
  <sheetProtection algorithmName="SHA-512" hashValue="5WqLizMwW9gWzDAbR0incWR/3jDeUK/RR5D+qfI4F9kzHkT8zabXv3mD5rUN4sh0KuiW0OWg10Rdqwm2zLxVwQ==" saltValue="Mfc43E7iOxgj61zhPFhonQ==" spinCount="100000" sheet="1" objects="1" scenarios="1"/>
  <mergeCells count="6">
    <mergeCell ref="I2:J3"/>
    <mergeCell ref="D34:E37"/>
    <mergeCell ref="F34:G34"/>
    <mergeCell ref="E18:G32"/>
    <mergeCell ref="A33:B33"/>
    <mergeCell ref="A32:B32"/>
  </mergeCells>
  <conditionalFormatting sqref="A33">
    <cfRule type="cellIs" dxfId="24" priority="8" operator="equal">
      <formula>" "</formula>
    </cfRule>
    <cfRule type="cellIs" dxfId="23" priority="9" operator="equal">
      <formula>""</formula>
    </cfRule>
  </conditionalFormatting>
  <conditionalFormatting sqref="A28:C31">
    <cfRule type="cellIs" dxfId="22" priority="5" operator="equal">
      <formula>0</formula>
    </cfRule>
    <cfRule type="cellIs" dxfId="21" priority="10" operator="equal">
      <formula>""</formula>
    </cfRule>
    <cfRule type="cellIs" dxfId="20" priority="11" operator="equal">
      <formula>" "</formula>
    </cfRule>
  </conditionalFormatting>
  <conditionalFormatting sqref="B1 A2">
    <cfRule type="cellIs" dxfId="19" priority="29" operator="equal">
      <formula>NOLIST</formula>
    </cfRule>
  </conditionalFormatting>
  <conditionalFormatting sqref="B16:B17">
    <cfRule type="cellIs" dxfId="18" priority="30" operator="equal">
      <formula>""</formula>
    </cfRule>
  </conditionalFormatting>
  <conditionalFormatting sqref="B20">
    <cfRule type="cellIs" dxfId="17" priority="12" operator="equal">
      <formula>" "</formula>
    </cfRule>
    <cfRule type="cellIs" dxfId="16" priority="23" operator="equal">
      <formula>""</formula>
    </cfRule>
  </conditionalFormatting>
  <conditionalFormatting sqref="B21:B25 B19 B35:B36">
    <cfRule type="cellIs" dxfId="15" priority="47" operator="notEqual">
      <formula>""</formula>
    </cfRule>
  </conditionalFormatting>
  <conditionalFormatting sqref="B1:G1 A2:A13 B28:B31">
    <cfRule type="cellIs" dxfId="14" priority="25" operator="equal">
      <formula>2.53</formula>
    </cfRule>
  </conditionalFormatting>
  <conditionalFormatting sqref="B1:G1 A2:A13">
    <cfRule type="cellIs" dxfId="13" priority="31" operator="equal">
      <formula>""</formula>
    </cfRule>
  </conditionalFormatting>
  <conditionalFormatting sqref="B2:G13 G15:G16">
    <cfRule type="cellIs" dxfId="12" priority="42" operator="notEqual">
      <formula>""</formula>
    </cfRule>
  </conditionalFormatting>
  <conditionalFormatting sqref="C1:G1 A3:A13">
    <cfRule type="cellIs" dxfId="11" priority="36" operator="equal">
      <formula>NOLIST</formula>
    </cfRule>
  </conditionalFormatting>
  <dataValidations count="16">
    <dataValidation type="list" allowBlank="1" showInputMessage="1" showErrorMessage="1" sqref="B16" xr:uid="{0FDCCE61-A72F-4672-BACD-A570105A1808}">
      <formula1>TMLIST</formula1>
    </dataValidation>
    <dataValidation type="list" showInputMessage="1" showErrorMessage="1" sqref="C1:F1" xr:uid="{77E2C92F-B7B2-4323-8127-9CE3A3FB535A}">
      <formula1>IF(B$1=NOLIST,NOLIST,IF(D$1=NOLIST,LLIST1,LLIST2))</formula1>
    </dataValidation>
    <dataValidation type="list" showInputMessage="1" showErrorMessage="1" sqref="A2" xr:uid="{B6FD472F-B5FC-4169-9CD5-C9AC7337FB2D}">
      <formula1>IF($A$3=NOLIST,WLIST1,WLIST2)</formula1>
    </dataValidation>
    <dataValidation type="list" showInputMessage="1" showErrorMessage="1" sqref="B1" xr:uid="{8B496128-BF9D-4A00-BDBB-4641D7ABFB39}">
      <formula1>IF($C$1=NOLIST,LLIST1,LLIST2)</formula1>
    </dataValidation>
    <dataValidation type="list" showInputMessage="1" showErrorMessage="1" sqref="A3:A12" xr:uid="{396C53A6-659C-46F9-A5D7-A6CF09F4DF17}">
      <formula1>IF($A2=NOLIST,NOLIST,IF($A4=NOLIST,WLIST1,WLIST2))</formula1>
    </dataValidation>
    <dataValidation type="list" showInputMessage="1" showErrorMessage="1" sqref="G1" xr:uid="{7D4D672B-95D1-42D3-9731-68BB1B0958D6}">
      <formula1>IF(F$1=NOLIST,NOLIST,LLIST1)</formula1>
    </dataValidation>
    <dataValidation type="list" allowBlank="1" showInputMessage="1" showErrorMessage="1" sqref="A13" xr:uid="{3C7DDAEC-7706-4307-82D8-7C11101FCE71}">
      <formula1>IF($A12=NOLIST,NOLIST,WLIST1)</formula1>
    </dataValidation>
    <dataValidation type="list" allowBlank="1" showInputMessage="1" showErrorMessage="1" sqref="B17" xr:uid="{960A82AB-80FD-4692-9AA0-86406ADCD096}">
      <formula1>"Standard,PLUS"</formula1>
    </dataValidation>
    <dataValidation type="list" allowBlank="1" showInputMessage="1" showErrorMessage="1" sqref="B19" xr:uid="{B6A1BFDE-266E-4AAC-BE33-27EDAC64124E}">
      <formula1>WOLIST</formula1>
    </dataValidation>
    <dataValidation type="list" allowBlank="1" showInputMessage="1" showErrorMessage="1" sqref="B21:B24 B36 B35" xr:uid="{3335E495-63F1-4613-BA3D-2B0FD6ADEBD9}">
      <formula1>"Yes,No"</formula1>
    </dataValidation>
    <dataValidation type="list" operator="greaterThanOrEqual" allowBlank="1" showInputMessage="1" showErrorMessage="1" sqref="B25" xr:uid="{66EDE954-F667-4F5E-8CF4-D071FEE05BD0}">
      <formula1>"Yes,No"</formula1>
    </dataValidation>
    <dataValidation type="list" allowBlank="1" showInputMessage="1" showErrorMessage="1" sqref="A28:A31" xr:uid="{F202D3EC-AC04-49EC-BD15-D73149769529}">
      <formula1>ATLIST</formula1>
    </dataValidation>
    <dataValidation type="list" allowBlank="1" showInputMessage="1" showErrorMessage="1" sqref="B28:B31" xr:uid="{B6799152-2FD1-4FF7-9260-0B69A3365E0E}">
      <formula1>SSLIST</formula1>
    </dataValidation>
    <dataValidation type="list" allowBlank="1" showInputMessage="1" showErrorMessage="1" sqref="B20" xr:uid="{1BD56AD3-7FDC-4E6C-9AB7-8981A2CAA783}">
      <formula1>MFLIST</formula1>
    </dataValidation>
    <dataValidation type="decimal" operator="greaterThanOrEqual" allowBlank="1" showInputMessage="1" showErrorMessage="1" sqref="C28" xr:uid="{E66F1CFD-1434-434A-9079-E2A296A48E26}">
      <formula1>0</formula1>
    </dataValidation>
    <dataValidation type="list" allowBlank="1" showInputMessage="1" showErrorMessage="1" sqref="A33:B33" xr:uid="{EB8C6293-D217-4899-876E-F96409FA1B2B}">
      <formula1>LFLIST</formula1>
    </dataValidation>
  </dataValidations>
  <pageMargins left="0.7" right="0.7" top="0.75" bottom="0.75" header="0.3" footer="0.3"/>
  <pageSetup paperSize="9" orientation="portrait" horizontalDpi="300" verticalDpi="0" r:id="rId1"/>
  <drawing r:id="rId2"/>
  <legacyDrawing r:id="rId3"/>
  <oleObjects>
    <mc:AlternateContent xmlns:mc="http://schemas.openxmlformats.org/markup-compatibility/2006">
      <mc:Choice Requires="x14">
        <oleObject progId="Packager Shell-object" shapeId="1028" r:id="rId4">
          <objectPr locked="0" defaultSize="0" autoPict="0" r:id="rId5">
            <anchor moveWithCells="1">
              <from>
                <xdr:col>8</xdr:col>
                <xdr:colOff>482600</xdr:colOff>
                <xdr:row>1</xdr:row>
                <xdr:rowOff>25400</xdr:rowOff>
              </from>
              <to>
                <xdr:col>9</xdr:col>
                <xdr:colOff>698500</xdr:colOff>
                <xdr:row>2</xdr:row>
                <xdr:rowOff>368300</xdr:rowOff>
              </to>
            </anchor>
          </objectPr>
        </oleObject>
      </mc:Choice>
      <mc:Fallback>
        <oleObject progId="Packager Shell-object" shapeId="1028" r:id="rId4"/>
      </mc:Fallback>
    </mc:AlternateContent>
  </oleObjects>
  <extLst>
    <ext xmlns:x14="http://schemas.microsoft.com/office/spreadsheetml/2009/9/main" uri="{78C0D931-6437-407d-A8EE-F0AAD7539E65}">
      <x14:conditionalFormattings>
        <x14:conditionalFormatting xmlns:xm="http://schemas.microsoft.com/office/excel/2006/main">
          <x14:cfRule type="expression" priority="1" id="{0737E424-D6C9-44E6-9B75-0EFEFD33D1DD}">
            <xm:f>Calc!$D$97="?"</xm:f>
            <x14:dxf>
              <fill>
                <patternFill>
                  <bgColor rgb="FFFF0000"/>
                </patternFill>
              </fill>
            </x14:dxf>
          </x14:cfRule>
          <xm:sqref>A33</xm:sqref>
        </x14:conditionalFormatting>
        <x14:conditionalFormatting xmlns:xm="http://schemas.microsoft.com/office/excel/2006/main">
          <x14:cfRule type="expression" priority="4" id="{BFAAB356-2BB5-4735-ACB6-9CA16D4747EA}">
            <xm:f>(Calc!$D$95="?")+(Calc!$D$94="?")+(Calc!$D$93="?")+(Calc!$D$92="?")</xm:f>
            <x14:dxf>
              <fill>
                <patternFill>
                  <bgColor rgb="FFFF0000"/>
                </patternFill>
              </fill>
            </x14:dxf>
          </x14:cfRule>
          <xm:sqref>A28:C31</xm:sqref>
        </x14:conditionalFormatting>
        <x14:conditionalFormatting xmlns:xm="http://schemas.microsoft.com/office/excel/2006/main">
          <x14:cfRule type="expression" priority="2" id="{98DF41A5-16D3-4F9F-8F4E-CF18EC7607B0}">
            <xm:f>(Calc!$D$91="?")</xm:f>
            <x14:dxf>
              <fill>
                <patternFill>
                  <bgColor rgb="FFFF0000"/>
                </patternFill>
              </fill>
            </x14:dxf>
          </x14:cfRule>
          <xm:sqref>B17</xm:sqref>
        </x14:conditionalFormatting>
        <x14:conditionalFormatting xmlns:xm="http://schemas.microsoft.com/office/excel/2006/main">
          <x14:cfRule type="expression" priority="3" id="{52BB1C3C-5048-4A72-A6BA-51C8AFB762E3}">
            <xm:f>(Calc!$D$92="?")+(Calc!$D$91="?")</xm:f>
            <x14:dxf>
              <fill>
                <patternFill>
                  <bgColor rgb="FFFF0000"/>
                </patternFill>
              </fill>
            </x14:dxf>
          </x14:cfRule>
          <xm:sqref>B19</xm:sqref>
        </x14:conditionalFormatting>
        <x14:conditionalFormatting xmlns:xm="http://schemas.microsoft.com/office/excel/2006/main">
          <x14:cfRule type="expression" priority="6" id="{309C81FF-727C-4D2D-936D-10AD03C00C00}">
            <xm:f>(Calc!$D$89="?")+(Calc!$D$90="?")</xm:f>
            <x14:dxf>
              <fill>
                <patternFill>
                  <bgColor rgb="FFFF0000"/>
                </patternFill>
              </fill>
            </x14:dxf>
          </x14:cfRule>
          <xm:sqref>B19:B20</xm:sqref>
        </x14:conditionalFormatting>
        <x14:conditionalFormatting xmlns:xm="http://schemas.microsoft.com/office/excel/2006/main">
          <x14:cfRule type="expression" priority="7" id="{868AEADF-BBDD-447A-932E-E54F5FC9D211}">
            <xm:f>Calc!$D$88="?"</xm:f>
            <x14:dxf>
              <fill>
                <patternFill>
                  <bgColor rgb="FFFF0000"/>
                </patternFill>
              </fill>
            </x14:dxf>
          </x14:cfRule>
          <xm:sqref>B19:B24</xm:sqref>
        </x14:conditionalFormatting>
        <x14:conditionalFormatting xmlns:xm="http://schemas.microsoft.com/office/excel/2006/main">
          <x14:cfRule type="expression" priority="15" id="{26A2F8C1-D130-471C-8F41-D4C176F3C571}">
            <xm:f>Calc!$D$96="?"</xm:f>
            <x14:dxf>
              <fill>
                <patternFill>
                  <bgColor rgb="FFFF0000"/>
                </patternFill>
              </fill>
            </x14:dxf>
          </x14:cfRule>
          <xm:sqref>B25</xm:sqref>
        </x14:conditionalFormatting>
        <x14:conditionalFormatting xmlns:xm="http://schemas.microsoft.com/office/excel/2006/main">
          <x14:cfRule type="expression" priority="46" id="{A52BC1C9-5DCB-4702-A484-8DDF62F21088}">
            <xm:f>Calc!$D$100="?"</xm:f>
            <x14:dxf>
              <fill>
                <patternFill>
                  <bgColor rgb="FFFF0000"/>
                </patternFill>
              </fill>
            </x14:dxf>
          </x14:cfRule>
          <xm:sqref>G15:G16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027BA-BE6F-4CD5-857C-2AC5573B89C2}">
  <dimension ref="A1:O674"/>
  <sheetViews>
    <sheetView workbookViewId="0">
      <selection activeCell="H134" sqref="H134"/>
    </sheetView>
  </sheetViews>
  <sheetFormatPr defaultColWidth="18.7109375" defaultRowHeight="15"/>
  <cols>
    <col min="1" max="2" width="6.7109375" style="2" customWidth="1"/>
    <col min="3" max="6" width="18.7109375" style="2"/>
    <col min="7" max="7" width="18.7109375" style="79"/>
    <col min="8" max="8" width="18.7109375" style="80"/>
    <col min="9" max="16384" width="18.7109375" style="2"/>
  </cols>
  <sheetData>
    <row r="1" spans="3:15" ht="15.95" thickBot="1">
      <c r="C1" s="76" t="s">
        <v>55</v>
      </c>
      <c r="D1" s="77" t="s">
        <v>56</v>
      </c>
      <c r="E1" s="77" t="s">
        <v>57</v>
      </c>
      <c r="F1" s="77" t="s">
        <v>58</v>
      </c>
      <c r="G1" s="90" t="s">
        <v>59</v>
      </c>
      <c r="H1" s="90" t="s">
        <v>60</v>
      </c>
      <c r="I1" s="91" t="s">
        <v>61</v>
      </c>
      <c r="J1" s="9" t="s">
        <v>62</v>
      </c>
      <c r="K1" s="9" t="s">
        <v>63</v>
      </c>
      <c r="L1" s="9" t="s">
        <v>64</v>
      </c>
      <c r="M1" s="10" t="s">
        <v>65</v>
      </c>
    </row>
    <row r="2" spans="3:15">
      <c r="C2" s="6" t="s">
        <v>24</v>
      </c>
      <c r="D2" s="101">
        <v>2.0299999999999998</v>
      </c>
      <c r="E2" s="101" t="s">
        <v>24</v>
      </c>
      <c r="F2" s="101">
        <v>2.0299999999999998</v>
      </c>
      <c r="G2" s="102" t="s">
        <v>24</v>
      </c>
      <c r="H2" s="102" t="s">
        <v>27</v>
      </c>
      <c r="I2" s="83" t="s">
        <v>66</v>
      </c>
      <c r="J2" s="2" t="s">
        <v>34</v>
      </c>
      <c r="K2" s="2" t="s">
        <v>34</v>
      </c>
      <c r="L2" s="2" t="s">
        <v>34</v>
      </c>
      <c r="M2" s="99" t="s">
        <v>34</v>
      </c>
    </row>
    <row r="3" spans="3:15">
      <c r="C3" s="6">
        <v>2.0299999999999998</v>
      </c>
      <c r="D3" s="100">
        <v>2.5299999999999998</v>
      </c>
      <c r="E3" s="101">
        <v>2.0299999999999998</v>
      </c>
      <c r="F3" s="100">
        <v>2.5299999999999998</v>
      </c>
      <c r="G3" s="102"/>
      <c r="H3" s="102" t="s">
        <v>67</v>
      </c>
      <c r="I3" s="83" t="s">
        <v>68</v>
      </c>
      <c r="J3" s="2" t="s">
        <v>69</v>
      </c>
      <c r="K3" s="101">
        <v>2.0299999999999998</v>
      </c>
      <c r="L3" s="2" t="s">
        <v>70</v>
      </c>
      <c r="M3" s="3" t="s">
        <v>47</v>
      </c>
    </row>
    <row r="4" spans="3:15">
      <c r="C4" s="23">
        <v>2.5299999999999998</v>
      </c>
      <c r="D4" s="101">
        <v>4.0599999999999996</v>
      </c>
      <c r="E4" s="100">
        <v>2.5299999999999998</v>
      </c>
      <c r="F4" s="101"/>
      <c r="G4" s="102"/>
      <c r="H4" s="102" t="s">
        <v>71</v>
      </c>
      <c r="I4" s="83" t="s">
        <v>32</v>
      </c>
      <c r="J4" s="2" t="s">
        <v>45</v>
      </c>
      <c r="K4" s="100">
        <v>2.5299999999999998</v>
      </c>
      <c r="L4" s="2" t="s">
        <v>72</v>
      </c>
      <c r="M4" s="3" t="s">
        <v>73</v>
      </c>
    </row>
    <row r="5" spans="3:15">
      <c r="C5" s="6">
        <v>4.0599999999999996</v>
      </c>
      <c r="D5" s="101">
        <v>5.0599999999999996</v>
      </c>
      <c r="E5" s="101"/>
      <c r="F5" s="101"/>
      <c r="G5" s="102"/>
      <c r="H5" s="102"/>
      <c r="I5" s="83" t="s">
        <v>74</v>
      </c>
      <c r="J5" s="2" t="s">
        <v>75</v>
      </c>
      <c r="L5" s="2" t="s">
        <v>76</v>
      </c>
      <c r="M5" s="2" t="s">
        <v>77</v>
      </c>
    </row>
    <row r="6" spans="3:15">
      <c r="C6" s="6">
        <v>5.0599999999999996</v>
      </c>
      <c r="D6" s="101">
        <v>6.09</v>
      </c>
      <c r="E6" s="101"/>
      <c r="F6" s="101"/>
      <c r="G6" s="102"/>
      <c r="H6" s="102"/>
      <c r="I6" s="83"/>
      <c r="L6" s="2" t="s">
        <v>27</v>
      </c>
      <c r="M6" s="3" t="s">
        <v>78</v>
      </c>
    </row>
    <row r="7" spans="3:15" ht="15.95" thickBot="1">
      <c r="C7" s="7">
        <v>6.09</v>
      </c>
      <c r="D7" s="8"/>
      <c r="E7" s="8"/>
      <c r="F7" s="8"/>
      <c r="G7" s="92"/>
      <c r="H7" s="92"/>
      <c r="I7" s="93"/>
      <c r="J7" s="4"/>
      <c r="K7" s="4"/>
      <c r="L7" s="4"/>
      <c r="M7" s="5"/>
    </row>
    <row r="8" spans="3:15">
      <c r="C8" s="1"/>
    </row>
    <row r="9" spans="3:15">
      <c r="C9" s="1" t="s">
        <v>79</v>
      </c>
      <c r="D9" s="2">
        <f>D27*2.03+D28*2.53</f>
        <v>2.5299999999999998</v>
      </c>
    </row>
    <row r="10" spans="3:15">
      <c r="C10" s="1" t="s">
        <v>80</v>
      </c>
      <c r="D10" s="2">
        <f>D30*2.03+D31*2.53+D32*4.06+D33*5.06+D34*6.09</f>
        <v>2.0299999999999998</v>
      </c>
    </row>
    <row r="11" spans="3:15">
      <c r="C11" s="1" t="s">
        <v>81</v>
      </c>
      <c r="D11" s="2" t="str">
        <f>D9&amp;"x"&amp;D10&amp;"m"</f>
        <v>2.53x2.03m</v>
      </c>
      <c r="O11" s="44"/>
    </row>
    <row r="12" spans="3:15">
      <c r="C12" s="1" t="s">
        <v>82</v>
      </c>
      <c r="D12" s="2" t="str">
        <f>D9+0.12&amp;"x"&amp;D10+0.12&amp;"m"</f>
        <v>2.65x2.15m</v>
      </c>
      <c r="O12" s="44"/>
    </row>
    <row r="13" spans="3:15">
      <c r="O13" s="44"/>
    </row>
    <row r="14" spans="3:15">
      <c r="C14" s="1" t="s">
        <v>83</v>
      </c>
      <c r="D14" s="2">
        <v>0</v>
      </c>
      <c r="E14" s="12" t="s">
        <v>84</v>
      </c>
      <c r="O14" s="44"/>
    </row>
    <row r="15" spans="3:15">
      <c r="C15" s="21" t="s">
        <v>26</v>
      </c>
      <c r="D15" s="2">
        <f>_xlfn.IFNA(MATCH(Configure!B16,TMLIST,0)-1,0)</f>
        <v>0</v>
      </c>
      <c r="E15" s="12" t="s">
        <v>85</v>
      </c>
    </row>
    <row r="16" spans="3:15">
      <c r="C16" s="21" t="s">
        <v>86</v>
      </c>
      <c r="D16" s="2" cm="1">
        <f t="array" ref="D16">_xlfn.SWITCH($D$15,0,0,1,1,2,1)</f>
        <v>0</v>
      </c>
      <c r="E16" s="12" t="s">
        <v>87</v>
      </c>
    </row>
    <row r="17" spans="3:5">
      <c r="C17" s="21" t="s">
        <v>88</v>
      </c>
      <c r="D17" s="2" cm="1">
        <f t="array" ref="D17">_xlfn.SWITCH($D$15,0,0,1,1,2,0)</f>
        <v>0</v>
      </c>
      <c r="E17" s="12" t="s">
        <v>87</v>
      </c>
    </row>
    <row r="18" spans="3:5">
      <c r="C18" s="21" t="s">
        <v>29</v>
      </c>
      <c r="D18" s="2">
        <f>IF(Configure!B17="PLUS",1,0)</f>
        <v>0</v>
      </c>
      <c r="E18" s="12" t="s">
        <v>89</v>
      </c>
    </row>
    <row r="19" spans="3:5">
      <c r="C19" s="21" t="s">
        <v>90</v>
      </c>
      <c r="D19" s="2">
        <v>0</v>
      </c>
      <c r="E19" s="12"/>
    </row>
    <row r="20" spans="3:5">
      <c r="C20" s="21" t="s">
        <v>91</v>
      </c>
      <c r="D20" s="2">
        <v>1</v>
      </c>
      <c r="E20" s="12"/>
    </row>
    <row r="21" spans="3:5">
      <c r="C21" s="21" t="s">
        <v>49</v>
      </c>
      <c r="D21" s="2">
        <f>IF(Configure!B35="Yes",1,0)</f>
        <v>0</v>
      </c>
      <c r="E21" s="12"/>
    </row>
    <row r="22" spans="3:5">
      <c r="C22" s="21" t="s">
        <v>51</v>
      </c>
      <c r="D22" s="2">
        <f>IF(Configure!B36="Yes",1,0)</f>
        <v>1</v>
      </c>
      <c r="E22" s="12"/>
    </row>
    <row r="23" spans="3:5">
      <c r="C23" s="21" t="s">
        <v>92</v>
      </c>
      <c r="D23" s="2">
        <v>0</v>
      </c>
      <c r="E23" s="12"/>
    </row>
    <row r="24" spans="3:5">
      <c r="C24" s="21" t="s">
        <v>93</v>
      </c>
      <c r="D24" s="2">
        <v>0</v>
      </c>
      <c r="E24" s="12"/>
    </row>
    <row r="26" spans="3:5">
      <c r="C26" s="1" t="s">
        <v>94</v>
      </c>
      <c r="D26" s="2">
        <f>SUM(D27:D28)</f>
        <v>1</v>
      </c>
      <c r="E26" t="s">
        <v>95</v>
      </c>
    </row>
    <row r="27" spans="3:5">
      <c r="C27" s="1" t="s">
        <v>96</v>
      </c>
      <c r="D27" s="2">
        <f>COUNTIF(Configure!A2:A13,2.03)</f>
        <v>0</v>
      </c>
    </row>
    <row r="28" spans="3:5">
      <c r="C28" s="1" t="s">
        <v>97</v>
      </c>
      <c r="D28" s="2">
        <f>COUNTIF(Configure!A2:A13,2.53)</f>
        <v>1</v>
      </c>
    </row>
    <row r="29" spans="3:5">
      <c r="C29" s="1" t="s">
        <v>98</v>
      </c>
      <c r="D29" s="2">
        <f>SUM(D30:D34)</f>
        <v>1</v>
      </c>
    </row>
    <row r="30" spans="3:5">
      <c r="C30" s="1" t="s">
        <v>99</v>
      </c>
      <c r="D30" s="2">
        <f>COUNTIF(Configure!B1:G1,2.03)</f>
        <v>1</v>
      </c>
    </row>
    <row r="31" spans="3:5">
      <c r="C31" s="1" t="s">
        <v>100</v>
      </c>
      <c r="D31" s="2">
        <f>COUNTIF(Configure!B1:G1,2.53)</f>
        <v>0</v>
      </c>
    </row>
    <row r="32" spans="3:5">
      <c r="C32" s="1" t="s">
        <v>101</v>
      </c>
      <c r="D32" s="2">
        <f>COUNTIF(Configure!B1:G1,4.06)</f>
        <v>0</v>
      </c>
    </row>
    <row r="33" spans="3:5">
      <c r="C33" s="1" t="s">
        <v>102</v>
      </c>
      <c r="D33" s="2">
        <f>COUNTIF(Configure!B1:G1,5.06)</f>
        <v>0</v>
      </c>
    </row>
    <row r="34" spans="3:5">
      <c r="C34" s="1" t="s">
        <v>103</v>
      </c>
      <c r="D34" s="2">
        <f>COUNTIF(Configure!B1:G1,6.09)</f>
        <v>0</v>
      </c>
      <c r="E34" s="12"/>
    </row>
    <row r="35" spans="3:5">
      <c r="C35" s="1" t="s">
        <v>104</v>
      </c>
      <c r="D35" s="2">
        <f>D29*D26</f>
        <v>1</v>
      </c>
      <c r="E35" s="12"/>
    </row>
    <row r="36" spans="3:5">
      <c r="E36" s="12"/>
    </row>
    <row r="37" spans="3:5">
      <c r="C37" s="1" t="s">
        <v>31</v>
      </c>
      <c r="D37" s="2">
        <f>_xlfn.IFNA(MATCH(Configure!B19,WOLIST,0)-1,0)</f>
        <v>2</v>
      </c>
      <c r="E37" s="12" t="s">
        <v>105</v>
      </c>
    </row>
    <row r="38" spans="3:5">
      <c r="C38" s="1" t="s">
        <v>106</v>
      </c>
      <c r="D38" s="2">
        <f>_xlfn.IFNA(MATCH(Configure!B20,MFLIST,0)-1,0)</f>
        <v>0</v>
      </c>
      <c r="E38" s="12" t="s">
        <v>107</v>
      </c>
    </row>
    <row r="39" spans="3:5">
      <c r="C39" s="1" t="s">
        <v>108</v>
      </c>
      <c r="D39" s="2">
        <f>IF(Configure!B21="Yes",1,0)</f>
        <v>1</v>
      </c>
      <c r="E39" s="12"/>
    </row>
    <row r="40" spans="3:5">
      <c r="C40" s="1" t="s">
        <v>109</v>
      </c>
      <c r="D40" s="2">
        <f>IF(Configure!B22="Yes",1,0)</f>
        <v>1</v>
      </c>
      <c r="E40" s="12"/>
    </row>
    <row r="41" spans="3:5">
      <c r="C41" s="1" t="s">
        <v>110</v>
      </c>
      <c r="D41" s="2">
        <f>IF(Configure!B23="Yes",1,0)</f>
        <v>1</v>
      </c>
      <c r="E41" s="12"/>
    </row>
    <row r="42" spans="3:5">
      <c r="C42" s="1" t="s">
        <v>111</v>
      </c>
      <c r="D42" s="2">
        <f>IF(Configure!B24="Yes",1,0)</f>
        <v>1</v>
      </c>
      <c r="E42" s="12"/>
    </row>
    <row r="43" spans="3:5">
      <c r="C43" s="1" t="s">
        <v>112</v>
      </c>
      <c r="D43" s="2">
        <f>($D$39+$D$41)*D30+($D$40+$D$42)*D27</f>
        <v>2</v>
      </c>
      <c r="E43" s="12"/>
    </row>
    <row r="44" spans="3:5">
      <c r="C44" s="1" t="s">
        <v>113</v>
      </c>
      <c r="D44" s="2">
        <f>($D$39+$D$41)*D31+($D$40+$D$42)*D28</f>
        <v>2</v>
      </c>
      <c r="E44" s="12"/>
    </row>
    <row r="45" spans="3:5">
      <c r="C45" s="1" t="s">
        <v>114</v>
      </c>
      <c r="D45" s="2">
        <f>($D$39+$D$41)*D32</f>
        <v>0</v>
      </c>
      <c r="E45" s="12"/>
    </row>
    <row r="46" spans="3:5">
      <c r="C46" s="1" t="s">
        <v>115</v>
      </c>
      <c r="D46" s="2">
        <f>($D$39+$D$41)*D33</f>
        <v>0</v>
      </c>
      <c r="E46" s="12"/>
    </row>
    <row r="47" spans="3:5">
      <c r="C47" s="1" t="s">
        <v>116</v>
      </c>
      <c r="D47" s="2">
        <f>($D$39+$D$41)*D34</f>
        <v>0</v>
      </c>
      <c r="E47" s="12"/>
    </row>
    <row r="48" spans="3:5">
      <c r="C48" s="1" t="s">
        <v>117</v>
      </c>
      <c r="D48" s="2">
        <f>SUMIF(Configure!B28:B31,K3,Configure!C28:C31)</f>
        <v>0</v>
      </c>
      <c r="E48" s="12"/>
    </row>
    <row r="49" spans="3:5">
      <c r="C49" s="1" t="s">
        <v>118</v>
      </c>
      <c r="D49" s="2">
        <f>SUMIF(Configure!B28:B31,K4,Configure!C28:C31)</f>
        <v>1</v>
      </c>
      <c r="E49" s="12"/>
    </row>
    <row r="50" spans="3:5">
      <c r="C50" s="1" t="s">
        <v>119</v>
      </c>
      <c r="D50" s="2">
        <f>SUMIFS(Configure!C28:C31,Configure!A28:A31,J3,Configure!B28:B31,K3)</f>
        <v>0</v>
      </c>
      <c r="E50" s="12"/>
    </row>
    <row r="51" spans="3:5">
      <c r="C51" s="1" t="s">
        <v>120</v>
      </c>
      <c r="D51" s="2">
        <f>SUMIFS(Configure!C28:C31,Configure!A28:A31,J3,Configure!B28:B31,K4)</f>
        <v>0</v>
      </c>
      <c r="E51" s="12"/>
    </row>
    <row r="52" spans="3:5">
      <c r="C52" s="1" t="s">
        <v>121</v>
      </c>
      <c r="D52" s="2">
        <f>SUMIFS(Configure!C28:C31,Configure!A28:A31,J4,Configure!B28:B31,K3)</f>
        <v>0</v>
      </c>
      <c r="E52" s="12"/>
    </row>
    <row r="53" spans="3:5">
      <c r="C53" s="1" t="s">
        <v>122</v>
      </c>
      <c r="D53" s="2">
        <f>SUMIFS(Configure!C28:C31,Configure!A28:A31,J4,Configure!B28:B31,K4)</f>
        <v>1</v>
      </c>
      <c r="E53" s="12"/>
    </row>
    <row r="54" spans="3:5">
      <c r="C54" s="1" t="s">
        <v>123</v>
      </c>
      <c r="D54" s="2">
        <f>SUMIFS(Configure!C28:C31,Configure!A28:A31,J5,Configure!B28:B31,K3)</f>
        <v>0</v>
      </c>
      <c r="E54" s="12"/>
    </row>
    <row r="55" spans="3:5">
      <c r="C55" s="1" t="s">
        <v>124</v>
      </c>
      <c r="D55" s="2">
        <f>SUMIFS(Configure!C28:C31,Configure!A28:A31,J5,Configure!B28:B31,K4)</f>
        <v>0</v>
      </c>
      <c r="E55" s="12"/>
    </row>
    <row r="56" spans="3:5">
      <c r="C56" s="1" t="s">
        <v>125</v>
      </c>
      <c r="D56" s="2">
        <f>IF(Configure!B25="Yes",0,1)</f>
        <v>1</v>
      </c>
      <c r="E56" s="12" t="s">
        <v>126</v>
      </c>
    </row>
    <row r="57" spans="3:5">
      <c r="C57" s="1" t="s">
        <v>127</v>
      </c>
      <c r="D57" s="2">
        <f>_xlfn.IFNA(MATCH(Configure!A33,LFLIST,0)-1,0)</f>
        <v>1</v>
      </c>
      <c r="E57" s="12" t="s">
        <v>128</v>
      </c>
    </row>
    <row r="58" spans="3:5">
      <c r="C58" s="1" t="s">
        <v>129</v>
      </c>
      <c r="D58" s="2">
        <f>(D43+D44+D45*2+D46*2+D47*3+SUM(D39:D42))*(6+3*D18)*IF(D37=1,1,0)</f>
        <v>0</v>
      </c>
      <c r="E58" s="12"/>
    </row>
    <row r="59" spans="3:5">
      <c r="C59" s="1" t="s">
        <v>130</v>
      </c>
      <c r="D59" s="2">
        <f>4*SUM(D52:D55)*(6+3*D18)*IF(D37=1,1,0)</f>
        <v>0</v>
      </c>
      <c r="E59" s="12"/>
    </row>
    <row r="60" spans="3:5">
      <c r="C60" s="1" t="s">
        <v>131</v>
      </c>
      <c r="D60" s="2">
        <f>22*SUM(D52:D55)*(3+D18)*IF(D37=2,1,0)*D56</f>
        <v>66</v>
      </c>
      <c r="E60" s="12"/>
    </row>
    <row r="61" spans="3:5">
      <c r="C61" s="1"/>
      <c r="E61" s="12"/>
    </row>
    <row r="62" spans="3:5">
      <c r="C62" s="1" t="s">
        <v>132</v>
      </c>
      <c r="D62" s="2" cm="1">
        <f t="array" ref="D62">(IF(Configure!A2=2.03,1,0)+IF(D26&gt;2,1,0)*IF(INDEX(Configure!A2:A13,MAX(D26,1))=2.03,1,0))*(D29+1-D42-D40)*D18*IF(OR(D37=2,D37=3),1,0)</f>
        <v>0</v>
      </c>
      <c r="E62" s="12"/>
    </row>
    <row r="63" spans="3:5">
      <c r="C63" s="1" t="s">
        <v>133</v>
      </c>
      <c r="D63" s="2" cm="1">
        <f t="array" ref="D63">(IF(Configure!A2=2.53,1,0)+IF(D26&gt;2,1,0)*IF(INDEX(Configure!A2:A13,MAX(D26,1))=2.53,1,0))*(D29+1-D42-D40)*D18*IF(OR(D37=2,D37=3),1,0)</f>
        <v>0</v>
      </c>
      <c r="E63" s="12"/>
    </row>
    <row r="64" spans="3:5">
      <c r="C64" s="1" t="s">
        <v>134</v>
      </c>
      <c r="D64" s="2" cm="1">
        <f t="array" ref="D64">(IF(Configure!A2=2.03,1,0)+IF(D26&gt;2,1,0)*IF(INDEX(Configure!A2:A13,MAX(D26,1))=2.03,1,0))*(2*D42+2*D40)*D18*IF(OR(D37=2,D37=3),1,0)</f>
        <v>0</v>
      </c>
      <c r="E64" s="12"/>
    </row>
    <row r="65" spans="3:8">
      <c r="C65" s="1" t="s">
        <v>135</v>
      </c>
      <c r="D65" s="2" cm="1">
        <f t="array" ref="D65">(IF(Configure!A2=2.53,1,0)+IF(D26&gt;2,1,0)*IF(INDEX(Configure!A2:A13,MAX(D26,1))=2.53,1,0))*(2*D42+2*D40)*D18*IF(OR(D37=2,D37=3),1,0)</f>
        <v>0</v>
      </c>
      <c r="E65" s="12"/>
    </row>
    <row r="66" spans="3:8">
      <c r="C66" s="1"/>
      <c r="E66" s="12"/>
    </row>
    <row r="67" spans="3:8">
      <c r="C67" s="1" t="s">
        <v>136</v>
      </c>
      <c r="D67" s="2">
        <v>0</v>
      </c>
      <c r="E67" s="12"/>
    </row>
    <row r="68" spans="3:8">
      <c r="C68" s="1" t="s">
        <v>137</v>
      </c>
      <c r="D68" s="2">
        <f>LOOKUP(D35,{0;1;2;3;5},{1;1;0.933;0.867;0.8})</f>
        <v>1</v>
      </c>
      <c r="E68" s="12"/>
    </row>
    <row r="69" spans="3:8">
      <c r="C69" s="65" t="s">
        <v>19</v>
      </c>
      <c r="D69" s="74">
        <f>ROUND(List!$J$118*D68,2)+D70</f>
        <v>14.37</v>
      </c>
      <c r="E69" s="12" t="s">
        <v>138</v>
      </c>
      <c r="H69" s="79"/>
    </row>
    <row r="70" spans="3:8">
      <c r="C70" s="1" t="s">
        <v>139</v>
      </c>
      <c r="D70" s="74">
        <v>0</v>
      </c>
      <c r="E70" s="12"/>
      <c r="H70" s="79"/>
    </row>
    <row r="71" spans="3:8">
      <c r="C71" s="65" t="s">
        <v>140</v>
      </c>
      <c r="D71" s="66">
        <f>ROUNDUP(D69/(10.5-D73*2),0)</f>
        <v>2</v>
      </c>
      <c r="E71" s="12" t="s">
        <v>141</v>
      </c>
    </row>
    <row r="72" spans="3:8">
      <c r="C72" s="65" t="s">
        <v>142</v>
      </c>
      <c r="D72" s="74">
        <f>D73*ROUNDUP(D71/2,0)*4</f>
        <v>0</v>
      </c>
      <c r="E72" s="12"/>
    </row>
    <row r="73" spans="3:8">
      <c r="C73" s="65" t="s">
        <v>143</v>
      </c>
      <c r="D73" s="74">
        <f>ROUND(D81/D82,2)</f>
        <v>0</v>
      </c>
      <c r="E73" s="12"/>
    </row>
    <row r="74" spans="3:8">
      <c r="C74" s="65" t="s">
        <v>144</v>
      </c>
      <c r="D74" s="73">
        <f>ROUNDUP(D71/2,0)*D81*2</f>
        <v>0</v>
      </c>
      <c r="E74" s="12"/>
    </row>
    <row r="75" spans="3:8" ht="15.95" thickBot="1">
      <c r="C75" s="1"/>
      <c r="E75" s="12"/>
    </row>
    <row r="76" spans="3:8" ht="15.95" thickBot="1">
      <c r="C76" s="184" t="s">
        <v>145</v>
      </c>
      <c r="D76" s="185"/>
      <c r="E76"/>
    </row>
    <row r="77" spans="3:8">
      <c r="C77" s="64" t="s">
        <v>146</v>
      </c>
      <c r="D77" s="67">
        <v>40</v>
      </c>
      <c r="E77"/>
    </row>
    <row r="78" spans="3:8">
      <c r="C78" s="62" t="s">
        <v>147</v>
      </c>
      <c r="D78" s="68">
        <v>80</v>
      </c>
      <c r="E78"/>
    </row>
    <row r="79" spans="3:8">
      <c r="C79" s="62" t="s">
        <v>148</v>
      </c>
      <c r="D79" s="68">
        <v>50</v>
      </c>
      <c r="E79"/>
    </row>
    <row r="80" spans="3:8" ht="15.95" thickBot="1">
      <c r="C80" s="63" t="s">
        <v>149</v>
      </c>
      <c r="D80" s="69">
        <v>2.5</v>
      </c>
      <c r="E80"/>
      <c r="H80" s="82"/>
    </row>
    <row r="81" spans="3:8">
      <c r="C81" s="64" t="s">
        <v>150</v>
      </c>
      <c r="D81" s="70">
        <f>'PRC import'!H46</f>
        <v>0</v>
      </c>
      <c r="E81"/>
      <c r="H81" s="82"/>
    </row>
    <row r="82" spans="3:8" ht="15.95" thickBot="1">
      <c r="C82" s="63" t="s">
        <v>151</v>
      </c>
      <c r="D82" s="71">
        <f>ROUND(D77+(D78-D77)/(1+(1/POWER(MAX(D81,1)/D79,D80))),0)</f>
        <v>40</v>
      </c>
      <c r="E82"/>
      <c r="H82" s="82"/>
    </row>
    <row r="83" spans="3:8" ht="15.95" thickBot="1">
      <c r="C83"/>
      <c r="D83" s="72"/>
      <c r="E83"/>
      <c r="H83" s="82"/>
    </row>
    <row r="84" spans="3:8" ht="15.95" thickBot="1">
      <c r="C84" s="181" t="s">
        <v>152</v>
      </c>
      <c r="D84" s="182"/>
      <c r="E84" s="183"/>
    </row>
    <row r="85" spans="3:8">
      <c r="C85" s="45" t="s">
        <v>83</v>
      </c>
      <c r="E85" s="46" t="str">
        <f>IF(D85="?","B15: Roof material unknown","")</f>
        <v/>
      </c>
    </row>
    <row r="86" spans="3:8">
      <c r="C86" s="45" t="s">
        <v>26</v>
      </c>
      <c r="D86" s="2" t="str">
        <f>IF(Configure!B16="","?","")</f>
        <v/>
      </c>
      <c r="E86" s="46" t="str">
        <f>IF(D86="?","B16: Surface treatment unknown","")</f>
        <v/>
      </c>
    </row>
    <row r="87" spans="3:8">
      <c r="C87" s="45" t="s">
        <v>153</v>
      </c>
      <c r="D87" s="2" t="str">
        <f>IF(Configure!B17="","?","")</f>
        <v/>
      </c>
      <c r="E87" s="46" t="str">
        <f>IF(D87="?","B17: Version unknown","")</f>
        <v/>
      </c>
    </row>
    <row r="88" spans="3:8">
      <c r="C88" s="45" t="s">
        <v>154</v>
      </c>
      <c r="D88" s="2" t="str">
        <f>IF(AND(SUM(D39:D42)&gt;0,D37=0),"?","")</f>
        <v/>
      </c>
      <c r="E88" s="46" t="str">
        <f>IF(D88="?","B19-B24: Walls require a material","")</f>
        <v/>
      </c>
    </row>
    <row r="89" spans="3:8">
      <c r="C89" s="45" t="s">
        <v>155</v>
      </c>
      <c r="D89" s="2" t="str">
        <f>IF(AND(D38&gt;0,D37&lt;&gt;1),"?","")</f>
        <v/>
      </c>
      <c r="E89" s="46" t="str">
        <f>IF(D89="?","B19-B20: Finish requires mesh","")</f>
        <v/>
      </c>
    </row>
    <row r="90" spans="3:8">
      <c r="C90" s="45" t="s">
        <v>156</v>
      </c>
      <c r="D90" s="2" t="str">
        <f>IF(AND(D38=0,D37=1),"?","")</f>
        <v/>
      </c>
      <c r="E90" s="46" t="str">
        <f>IF(D90="?","B19-B20: Mesh requires finish","")</f>
        <v/>
      </c>
    </row>
    <row r="91" spans="3:8">
      <c r="C91" s="45" t="s">
        <v>157</v>
      </c>
      <c r="D91" s="2" t="str">
        <f>IF(AND(D37=3,D18=1),"?","")</f>
        <v/>
      </c>
      <c r="E91" s="46" t="str">
        <f>IF(D91="?","B17/B19: Glass unavailable for PLUS version","")</f>
        <v/>
      </c>
    </row>
    <row r="92" spans="3:8">
      <c r="C92" s="45" t="s">
        <v>158</v>
      </c>
      <c r="D92" s="2" t="str">
        <f>IF(AND(D37=3,SUM(D52:D55)&lt;&gt;0),"?","")</f>
        <v/>
      </c>
      <c r="E92" s="46" t="str">
        <f>IF(D92="?","B19/A28-A31: Glass unavailable for gates","")</f>
        <v/>
      </c>
    </row>
    <row r="93" spans="3:8">
      <c r="C93" s="45" t="s">
        <v>159</v>
      </c>
      <c r="D93" s="2" t="str">
        <f>IF(D48&gt;D43+2*D45+3*D47,"?","")</f>
        <v/>
      </c>
      <c r="E93" s="46" t="str">
        <f>IF(D93="?","A28-C31: Too many entrances 2m","")</f>
        <v/>
      </c>
    </row>
    <row r="94" spans="3:8">
      <c r="C94" s="45" t="s">
        <v>160</v>
      </c>
      <c r="D94" s="2" t="str">
        <f>IF(D49&gt;D44+2*D46,"?","")</f>
        <v/>
      </c>
      <c r="E94" s="46" t="str">
        <f>IF(D94="?","A28-C31: Too many entrances 2,5m","")</f>
        <v/>
      </c>
    </row>
    <row r="95" spans="3:8">
      <c r="C95" s="45" t="s">
        <v>161</v>
      </c>
      <c r="D95" s="2" t="str">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t="str">
        <f>IF(D95="?","A28-C31: Entrances invalid","")</f>
        <v/>
      </c>
    </row>
    <row r="96" spans="3:8">
      <c r="C96" s="45" t="s">
        <v>125</v>
      </c>
      <c r="D96" s="2" t="str">
        <f>IF(AND(OR(D37=0,SUM(D39:D42)=0),D56=0),"?","")</f>
        <v/>
      </c>
      <c r="E96" s="46" t="str">
        <f>IF(D96="?","B25: No cladding to remove","")</f>
        <v/>
      </c>
    </row>
    <row r="97" spans="1:5">
      <c r="C97" s="45" t="s">
        <v>127</v>
      </c>
      <c r="D97" s="2" t="str">
        <f>IF(OR(AND(D57=0,SUM(D52:D55)&gt;0),AND(D57&gt;0,SUM(D52:D55)=0)),"?","")</f>
        <v/>
      </c>
      <c r="E97" s="46" t="str">
        <f>IF(D97="?","A33: Gate hardware invalid","")</f>
        <v/>
      </c>
    </row>
    <row r="98" spans="1:5">
      <c r="C98" s="45" t="s">
        <v>162</v>
      </c>
      <c r="D98" s="2" t="str">
        <f>IF(OR(NOT(ISNUMBER(Configure!B1)),COUNTBLANK(Configure!B1:G1)&gt;0),"?","")</f>
        <v/>
      </c>
      <c r="E98" s="46" t="str">
        <f>IF(D98="?","B1-G1: Length direction invalid","")</f>
        <v/>
      </c>
    </row>
    <row r="99" spans="1:5">
      <c r="C99" s="45" t="s">
        <v>163</v>
      </c>
      <c r="D99" s="2" t="str">
        <f>IF(OR(NOT(ISNUMBER(Configure!A2)),COUNTBLANK(Configure!A2:A13)&gt;0),"?","")</f>
        <v/>
      </c>
      <c r="E99" s="46" t="str">
        <f>IF(D99="?","A2-A13: Width direction invalid","")</f>
        <v/>
      </c>
    </row>
    <row r="100" spans="1:5">
      <c r="C100" s="45" t="s">
        <v>164</v>
      </c>
      <c r="D100" s="2" t="str">
        <f>IF(D10&gt;25.31,"?","")</f>
        <v/>
      </c>
      <c r="E100" s="46" t="str">
        <f>IF(D100="?","B1-G1: Shelter too long","")</f>
        <v/>
      </c>
    </row>
    <row r="101" spans="1:5">
      <c r="C101" s="45" t="s">
        <v>165</v>
      </c>
      <c r="D101" s="2" t="str">
        <f>IF(AND(D14=1,D20=0),"?","")</f>
        <v/>
      </c>
      <c r="E101" s="46" t="str">
        <f>IF(D101="?","B15/B29: Polycarbonate roof requires beams","")</f>
        <v/>
      </c>
    </row>
    <row r="102" spans="1:5">
      <c r="C102" s="45" t="s">
        <v>90</v>
      </c>
      <c r="D102" s="2" t="str">
        <f>IF(AND(D19=1,D20=0),"?","")</f>
        <v/>
      </c>
      <c r="E102" s="46" t="str">
        <f>IF(D102="?","B28/B29: LED lighting requires beams","")</f>
        <v/>
      </c>
    </row>
    <row r="103" spans="1:5">
      <c r="C103" s="45" t="s">
        <v>91</v>
      </c>
      <c r="D103" s="2" t="str">
        <f>IF(AND(D20=0,D26&gt;1,D28&gt;0,D34&gt;0),"?","")</f>
        <v/>
      </c>
      <c r="E103" s="46" t="str">
        <f>IF(D103="?","B29: Can't remove beams for module size 2,5x6m","")</f>
        <v/>
      </c>
    </row>
    <row r="104" spans="1:5">
      <c r="C104" s="45" t="s">
        <v>166</v>
      </c>
      <c r="D104" s="2" t="str">
        <f>IF(AND(D67=1,D81=0),"?","")</f>
        <v/>
      </c>
      <c r="E104" s="46" t="str">
        <f>IF(D104="?","H13/H29: quote requires one-way distance","")</f>
        <v/>
      </c>
    </row>
    <row r="105" spans="1:5" ht="15.95" thickBot="1">
      <c r="C105" s="47" t="s">
        <v>167</v>
      </c>
      <c r="D105" s="4" t="str">
        <f>IF(COUNTIF(D85:D104,"=?")&gt;0,"?","")</f>
        <v/>
      </c>
      <c r="E105" s="5"/>
    </row>
    <row r="106" spans="1:5">
      <c r="C106" s="1"/>
      <c r="E106" s="12"/>
    </row>
    <row r="107" spans="1:5">
      <c r="A107" s="2" t="s">
        <v>168</v>
      </c>
      <c r="B107" s="2" t="s">
        <v>169</v>
      </c>
    </row>
    <row r="108" spans="1:5">
      <c r="A108" s="2">
        <f>IF(B108&lt;&gt;"",SUM($B$108:B108),"")</f>
        <v>1</v>
      </c>
      <c r="B108" s="2">
        <f>IF(C108&lt;&gt;"",1,"")</f>
        <v>1</v>
      </c>
      <c r="C108" s="1" t="str">
        <f>Language!E2</f>
        <v>Shelter 'Domino' - WxL=2.65x2.15m</v>
      </c>
      <c r="E108" s="12"/>
    </row>
    <row r="109" spans="1:5">
      <c r="A109" s="2">
        <f>IF(B109&lt;&gt;"",SUM($B$108:B109),"")</f>
        <v>2</v>
      </c>
      <c r="B109" s="2">
        <f t="shared" ref="B109:B117" si="0">IF(C109&lt;&gt;"",1,"")</f>
        <v>1</v>
      </c>
      <c r="C109" s="1" t="str">
        <f>IF(D14=0,Language!E6,Language!E7)</f>
        <v>Roof in profiled steel sheet (bottom off-white - top RAL7016)</v>
      </c>
      <c r="E109" s="12"/>
    </row>
    <row r="110" spans="1:5">
      <c r="A110" s="2">
        <f>IF(B110&lt;&gt;"",SUM($B$108:B110),"")</f>
        <v>3</v>
      </c>
      <c r="B110" s="2">
        <f t="shared" si="0"/>
        <v>1</v>
      </c>
      <c r="C110" s="1" t="str" cm="1">
        <f t="array" ref="C110">_xlfn.SWITCH(D15,0,Language!E3,1,Language!E4,2,Language!E5)</f>
        <v>Surface treatment - galvanized</v>
      </c>
      <c r="E110" s="12"/>
    </row>
    <row r="111" spans="1:5">
      <c r="A111" s="2">
        <f>IF(B111&lt;&gt;"",SUM($B$108:B111),"")</f>
        <v>4</v>
      </c>
      <c r="B111" s="2">
        <f t="shared" si="0"/>
        <v>1</v>
      </c>
      <c r="C111" s="1" t="str" cm="1">
        <f t="array" ref="C111">IF(SUM(D39:D42)&gt;0,_xlfn.SWITCH(D37,0,"",1,Language!E8,2,Language!E9,3,Language!E10),"")</f>
        <v>Wall cladding in Thermowood - H=2.15m - 2x L=2.53m - 2x L=2.03m</v>
      </c>
      <c r="E111" s="12"/>
    </row>
    <row r="112" spans="1:5">
      <c r="A112" s="2">
        <f>IF(B112&lt;&gt;"",SUM($B$108:B112),"")</f>
        <v>5</v>
      </c>
      <c r="B112" s="2">
        <f t="shared" si="0"/>
        <v>1</v>
      </c>
      <c r="C112" s="1" t="str">
        <f>IF(OR(D48&gt;0,D49&gt;0),Language!E11,"")</f>
        <v>Entrance - 1x single swing gate 2,53m</v>
      </c>
      <c r="E112" s="12"/>
    </row>
    <row r="113" spans="1:6">
      <c r="A113" s="2" t="str">
        <f>IF(B113&lt;&gt;"",SUM($B$108:B113),"")</f>
        <v/>
      </c>
      <c r="B113" s="2" t="str">
        <f t="shared" si="0"/>
        <v/>
      </c>
      <c r="C113" s="1" t="str">
        <f>IF(D56=0,Language!E12,"")</f>
        <v/>
      </c>
      <c r="E113" s="12"/>
    </row>
    <row r="114" spans="1:6">
      <c r="A114" s="2">
        <f>IF(B114&lt;&gt;"",SUM($B$108:B114),"")</f>
        <v>6</v>
      </c>
      <c r="B114" s="2">
        <f t="shared" si="0"/>
        <v>1</v>
      </c>
      <c r="C114" s="1" t="str" cm="1">
        <f t="array" ref="C114">_xlfn.SWITCH(D57,0,"",1,Language!E13,2,Language!E14,3,Language!E15,4,Language!E16)</f>
        <v>With gate hardware - euro cylinder lock</v>
      </c>
      <c r="E114" s="12"/>
    </row>
    <row r="115" spans="1:6">
      <c r="A115" s="2" t="str">
        <f>IF(B115&lt;&gt;"",SUM($B$108:B115),"")</f>
        <v/>
      </c>
      <c r="B115" s="2" t="str">
        <f t="shared" si="0"/>
        <v/>
      </c>
      <c r="C115" s="1" t="str">
        <f>IF(D19=1,Language!E17,"")</f>
        <v/>
      </c>
      <c r="E115" s="12"/>
    </row>
    <row r="116" spans="1:6">
      <c r="A116" s="2" t="str">
        <f>IF(B116&lt;&gt;"",SUM($B$108:B116),"")</f>
        <v/>
      </c>
      <c r="B116" s="2" t="str">
        <f t="shared" si="0"/>
        <v/>
      </c>
      <c r="C116" s="1" t="str">
        <f>IF(D21=1,Language!E18,"")</f>
        <v/>
      </c>
      <c r="E116" s="12"/>
    </row>
    <row r="117" spans="1:6">
      <c r="A117" s="2">
        <f>IF(B117&lt;&gt;"",SUM($B$108:B117),"")</f>
        <v>7</v>
      </c>
      <c r="B117" s="2">
        <f t="shared" si="0"/>
        <v>1</v>
      </c>
      <c r="C117" s="1" t="str">
        <f>IF(D22=1,Language!E19,"")</f>
        <v>Chemical anchoring - ETA-21/0168</v>
      </c>
      <c r="E117" s="12"/>
    </row>
    <row r="118" spans="1:6">
      <c r="C118" s="1"/>
      <c r="E118" s="12"/>
    </row>
    <row r="119" spans="1:6">
      <c r="A119" s="2" t="s">
        <v>168</v>
      </c>
      <c r="C119" s="1"/>
      <c r="E119" s="12"/>
    </row>
    <row r="120" spans="1:6">
      <c r="A120" s="2">
        <v>1</v>
      </c>
      <c r="C120" s="1"/>
      <c r="D120" s="1" t="str">
        <f>Language!E20</f>
        <v>Installation and transport excluded</v>
      </c>
    </row>
    <row r="121" spans="1:6">
      <c r="A121" s="2">
        <v>2</v>
      </c>
      <c r="C121" s="1"/>
      <c r="D121" s="1" t="str">
        <f>Language!E21</f>
        <v>Foundations excluded</v>
      </c>
      <c r="E121" s="12"/>
    </row>
    <row r="122" spans="1:6">
      <c r="A122" s="2" t="str">
        <f>IF($D$67=1,3,"")</f>
        <v/>
      </c>
      <c r="C122" s="1" t="str">
        <f>IF(D67=1,"B1","")</f>
        <v/>
      </c>
      <c r="D122" s="2" t="s">
        <v>170</v>
      </c>
      <c r="E122" s="12">
        <f>D69</f>
        <v>14.37</v>
      </c>
      <c r="F122" s="2" t="s">
        <v>171</v>
      </c>
    </row>
    <row r="123" spans="1:6">
      <c r="A123" s="2" t="str">
        <f>IF($D$67=1,4,"")</f>
        <v/>
      </c>
      <c r="C123" s="1" t="str">
        <f>IF(D67=1,"B6","")</f>
        <v/>
      </c>
      <c r="D123" s="2" t="s">
        <v>166</v>
      </c>
      <c r="E123" s="12">
        <f>D72</f>
        <v>0</v>
      </c>
      <c r="F123" s="2" t="s">
        <v>171</v>
      </c>
    </row>
    <row r="124" spans="1:6">
      <c r="A124" s="2" t="str">
        <f>IF($D$67=1,5,"")</f>
        <v/>
      </c>
      <c r="C124" s="1" t="str">
        <f>IF(D67=1,"42.06.10.0003","")</f>
        <v/>
      </c>
      <c r="D124" s="2" t="s">
        <v>172</v>
      </c>
      <c r="E124" s="12">
        <f>ROUNDUP(D71/2,0)</f>
        <v>1</v>
      </c>
      <c r="F124" s="2" t="s">
        <v>173</v>
      </c>
    </row>
    <row r="125" spans="1:6">
      <c r="A125" s="2" t="str">
        <f>IF($D$67=1,6,"")</f>
        <v/>
      </c>
      <c r="C125" s="1" t="str">
        <f>IF(D67=1,"42.06.10.0004","")</f>
        <v/>
      </c>
      <c r="D125" s="2" t="s">
        <v>174</v>
      </c>
      <c r="E125" s="12">
        <f>D74</f>
        <v>0</v>
      </c>
      <c r="F125" s="2" t="s">
        <v>175</v>
      </c>
    </row>
    <row r="126" spans="1:6">
      <c r="E126" s="12"/>
    </row>
    <row r="127" spans="1:6">
      <c r="A127" s="2" t="s">
        <v>168</v>
      </c>
      <c r="B127" s="2" t="s">
        <v>169</v>
      </c>
    </row>
    <row r="128" spans="1:6">
      <c r="A128" s="2" t="str">
        <f>IF(B128&lt;&gt;"",SUM($B$128:B128),"")</f>
        <v/>
      </c>
      <c r="B128" s="2" t="str">
        <f>IF(C128&gt;0,1,"")</f>
        <v/>
      </c>
      <c r="C128" s="13"/>
      <c r="D128" s="14" t="s">
        <v>29</v>
      </c>
      <c r="E128" s="14" t="s">
        <v>176</v>
      </c>
      <c r="F128" s="15" t="s">
        <v>26</v>
      </c>
    </row>
    <row r="129" spans="1:8">
      <c r="A129" s="2" t="str">
        <f>IF(B129&lt;&gt;"",SUM($B$128:B129),"")</f>
        <v/>
      </c>
      <c r="B129" s="2" t="str">
        <f t="shared" ref="B129:B192" si="1">IF(C129&gt;0,1,"")</f>
        <v/>
      </c>
      <c r="C129" s="16"/>
      <c r="D129" s="2">
        <v>0</v>
      </c>
      <c r="E129" s="2">
        <v>1</v>
      </c>
      <c r="F129" s="17">
        <v>0</v>
      </c>
      <c r="G129" s="79" t="s">
        <v>177</v>
      </c>
      <c r="H129" s="80" t="s">
        <v>178</v>
      </c>
    </row>
    <row r="130" spans="1:8">
      <c r="A130" s="2" t="str">
        <f>IF(B130&lt;&gt;"",SUM($B$128:B130),"")</f>
        <v/>
      </c>
      <c r="B130" s="2" t="str">
        <f t="shared" si="1"/>
        <v/>
      </c>
      <c r="C130" s="16"/>
      <c r="D130" s="2">
        <v>0</v>
      </c>
      <c r="E130" s="2">
        <v>1</v>
      </c>
      <c r="F130" s="17">
        <v>1</v>
      </c>
      <c r="G130" s="79" t="s">
        <v>179</v>
      </c>
      <c r="H130" s="80" t="s">
        <v>180</v>
      </c>
    </row>
    <row r="131" spans="1:8">
      <c r="A131" s="2" t="str">
        <f>IF(B131&lt;&gt;"",SUM($B$128:B131),"")</f>
        <v/>
      </c>
      <c r="B131" s="2" t="str">
        <f t="shared" si="1"/>
        <v/>
      </c>
      <c r="C131" s="16"/>
      <c r="D131" s="2">
        <v>0</v>
      </c>
      <c r="E131" s="2">
        <v>0</v>
      </c>
      <c r="F131" s="17">
        <v>0</v>
      </c>
      <c r="G131" s="79" t="s">
        <v>181</v>
      </c>
      <c r="H131" s="80" t="s">
        <v>182</v>
      </c>
    </row>
    <row r="132" spans="1:8">
      <c r="A132" s="2" t="str">
        <f>IF(B132&lt;&gt;"",SUM($B$128:B132),"")</f>
        <v/>
      </c>
      <c r="B132" s="2" t="str">
        <f t="shared" si="1"/>
        <v/>
      </c>
      <c r="C132" s="16"/>
      <c r="D132" s="2">
        <v>0</v>
      </c>
      <c r="E132" s="2">
        <v>0</v>
      </c>
      <c r="F132" s="17">
        <v>1</v>
      </c>
      <c r="G132" s="79" t="s">
        <v>183</v>
      </c>
      <c r="H132" s="80" t="s">
        <v>184</v>
      </c>
    </row>
    <row r="133" spans="1:8">
      <c r="A133" s="2" t="str">
        <f>IF(B133&lt;&gt;"",SUM($B$128:B133),"")</f>
        <v/>
      </c>
      <c r="B133" s="2" t="str">
        <f t="shared" si="1"/>
        <v/>
      </c>
      <c r="C133" s="16"/>
      <c r="D133" s="2">
        <v>1</v>
      </c>
      <c r="E133" s="2">
        <v>1</v>
      </c>
      <c r="F133" s="17">
        <v>0</v>
      </c>
      <c r="G133" s="79" t="s">
        <v>185</v>
      </c>
      <c r="H133" s="80" t="s">
        <v>186</v>
      </c>
    </row>
    <row r="134" spans="1:8">
      <c r="A134" s="2" t="str">
        <f>IF(B134&lt;&gt;"",SUM($B$128:B134),"")</f>
        <v/>
      </c>
      <c r="B134" s="2" t="str">
        <f t="shared" si="1"/>
        <v/>
      </c>
      <c r="C134" s="16"/>
      <c r="D134" s="2">
        <v>1</v>
      </c>
      <c r="E134" s="2">
        <v>1</v>
      </c>
      <c r="F134" s="17">
        <v>1</v>
      </c>
      <c r="G134" s="79" t="s">
        <v>187</v>
      </c>
      <c r="H134" s="80" t="s">
        <v>188</v>
      </c>
    </row>
    <row r="135" spans="1:8">
      <c r="A135" s="2" t="str">
        <f>IF(B135&lt;&gt;"",SUM($B$128:B135),"")</f>
        <v/>
      </c>
      <c r="B135" s="2" t="str">
        <f t="shared" si="1"/>
        <v/>
      </c>
      <c r="C135" s="16"/>
      <c r="D135" s="2">
        <v>1</v>
      </c>
      <c r="E135" s="2">
        <v>0</v>
      </c>
      <c r="F135" s="17">
        <v>0</v>
      </c>
      <c r="G135" s="79" t="s">
        <v>189</v>
      </c>
      <c r="H135" s="80" t="s">
        <v>190</v>
      </c>
    </row>
    <row r="136" spans="1:8">
      <c r="A136" s="2" t="str">
        <f>IF(B136&lt;&gt;"",SUM($B$128:B136),"")</f>
        <v/>
      </c>
      <c r="B136" s="2" t="str">
        <f t="shared" si="1"/>
        <v/>
      </c>
      <c r="C136" s="16"/>
      <c r="D136" s="2">
        <v>1</v>
      </c>
      <c r="E136" s="2">
        <v>0</v>
      </c>
      <c r="F136" s="17">
        <v>1</v>
      </c>
      <c r="G136" s="79" t="s">
        <v>191</v>
      </c>
      <c r="H136" s="80" t="s">
        <v>192</v>
      </c>
    </row>
    <row r="137" spans="1:8">
      <c r="A137" s="2" t="str">
        <f>IF(B137&lt;&gt;"",SUM($B$128:B137),"")</f>
        <v/>
      </c>
      <c r="B137" s="2" t="str">
        <f t="shared" si="1"/>
        <v/>
      </c>
      <c r="C137" s="16"/>
      <c r="F137" s="17"/>
    </row>
    <row r="138" spans="1:8">
      <c r="A138" s="2" t="str">
        <f>IF(B138&lt;&gt;"",SUM($B$128:B138),"")</f>
        <v/>
      </c>
      <c r="B138" s="2" t="str">
        <f t="shared" si="1"/>
        <v/>
      </c>
      <c r="C138" s="16"/>
      <c r="F138" s="17"/>
    </row>
    <row r="139" spans="1:8">
      <c r="A139" s="2">
        <f>IF(B139&lt;&gt;"",SUM($B$128:B139),"")</f>
        <v>1</v>
      </c>
      <c r="B139" s="2">
        <f t="shared" si="1"/>
        <v>1</v>
      </c>
      <c r="C139" s="18">
        <f>(D26+1)*(D29+1)+D45+D46+D47*2</f>
        <v>4</v>
      </c>
      <c r="D139" s="19">
        <f>$D$18</f>
        <v>0</v>
      </c>
      <c r="E139" s="19">
        <f>IF(OR($D$37=2,$D$37=3),1,0)</f>
        <v>1</v>
      </c>
      <c r="F139" s="20">
        <f>$D$17</f>
        <v>0</v>
      </c>
      <c r="G139" s="79" t="str" cm="1">
        <f t="array" ref="G139">INDEX($G$129:$G$136,_xlfn.XMATCH(D139&amp;E139&amp;F139,$D$129:$D$136&amp;$E$129:$E$136&amp;$F$129:$F$136,0))</f>
        <v>43.06.14.0043</v>
      </c>
      <c r="H139" s="80" t="str">
        <f>_xlfn.XLOOKUP(G139,G129:G136,H129:H136)</f>
        <v>Domino - Column - 80x3 - L2175 - 8Ø13 - 8Ø9 - Galvanized</v>
      </c>
    </row>
    <row r="140" spans="1:8">
      <c r="A140" s="2" t="str">
        <f>IF(B140&lt;&gt;"",SUM($B$128:B140),"")</f>
        <v/>
      </c>
      <c r="B140" s="2" t="str">
        <f t="shared" si="1"/>
        <v/>
      </c>
    </row>
    <row r="141" spans="1:8">
      <c r="A141" s="2" t="str">
        <f>IF(B141&lt;&gt;"",SUM($B$128:B141),"")</f>
        <v/>
      </c>
      <c r="B141" s="2" t="str">
        <f t="shared" si="1"/>
        <v/>
      </c>
    </row>
    <row r="142" spans="1:8">
      <c r="A142" s="2" t="str">
        <f>IF(B142&lt;&gt;"",SUM($B$128:B142),"")</f>
        <v/>
      </c>
      <c r="B142" s="2" t="str">
        <f t="shared" si="1"/>
        <v/>
      </c>
    </row>
    <row r="143" spans="1:8">
      <c r="A143" s="2" t="str">
        <f>IF(B143&lt;&gt;"",SUM($B$128:B143),"")</f>
        <v/>
      </c>
      <c r="B143" s="2" t="str">
        <f t="shared" si="1"/>
        <v/>
      </c>
      <c r="C143" s="13"/>
      <c r="D143" s="14"/>
      <c r="E143" s="14" t="s">
        <v>193</v>
      </c>
      <c r="F143" s="15" t="s">
        <v>26</v>
      </c>
    </row>
    <row r="144" spans="1:8">
      <c r="A144" s="2" t="str">
        <f>IF(B144&lt;&gt;"",SUM($B$128:B144),"")</f>
        <v/>
      </c>
      <c r="B144" s="2" t="str">
        <f t="shared" si="1"/>
        <v/>
      </c>
      <c r="C144" s="16"/>
      <c r="E144" s="2" t="s">
        <v>194</v>
      </c>
      <c r="F144" s="17">
        <v>0</v>
      </c>
      <c r="G144" s="79" t="s">
        <v>195</v>
      </c>
      <c r="H144" s="80" t="s">
        <v>196</v>
      </c>
    </row>
    <row r="145" spans="1:8">
      <c r="A145" s="2" t="str">
        <f>IF(B145&lt;&gt;"",SUM($B$128:B145),"")</f>
        <v/>
      </c>
      <c r="B145" s="2" t="str">
        <f t="shared" si="1"/>
        <v/>
      </c>
      <c r="C145" s="16"/>
      <c r="E145" s="2" t="s">
        <v>194</v>
      </c>
      <c r="F145" s="17">
        <v>1</v>
      </c>
      <c r="G145" s="79" t="s">
        <v>197</v>
      </c>
      <c r="H145" s="80" t="s">
        <v>198</v>
      </c>
    </row>
    <row r="146" spans="1:8">
      <c r="A146" s="2" t="str">
        <f>IF(B146&lt;&gt;"",SUM($B$128:B146),"")</f>
        <v/>
      </c>
      <c r="B146" s="2" t="str">
        <f t="shared" si="1"/>
        <v/>
      </c>
      <c r="C146" s="16"/>
      <c r="E146" s="2" t="s">
        <v>199</v>
      </c>
      <c r="F146" s="17">
        <v>0</v>
      </c>
      <c r="G146" s="79" t="s">
        <v>200</v>
      </c>
      <c r="H146" s="80" t="s">
        <v>201</v>
      </c>
    </row>
    <row r="147" spans="1:8">
      <c r="A147" s="2" t="str">
        <f>IF(B147&lt;&gt;"",SUM($B$128:B147),"")</f>
        <v/>
      </c>
      <c r="B147" s="2" t="str">
        <f t="shared" si="1"/>
        <v/>
      </c>
      <c r="C147" s="16"/>
      <c r="E147" s="2" t="s">
        <v>199</v>
      </c>
      <c r="F147" s="17">
        <v>1</v>
      </c>
      <c r="G147" s="79" t="s">
        <v>202</v>
      </c>
      <c r="H147" s="80" t="s">
        <v>203</v>
      </c>
    </row>
    <row r="148" spans="1:8">
      <c r="A148" s="2" t="str">
        <f>IF(B148&lt;&gt;"",SUM($B$128:B148),"")</f>
        <v/>
      </c>
      <c r="B148" s="2" t="str">
        <f t="shared" si="1"/>
        <v/>
      </c>
      <c r="C148" s="16"/>
      <c r="E148" s="2" t="s">
        <v>204</v>
      </c>
      <c r="F148" s="17">
        <v>0</v>
      </c>
      <c r="G148" s="79" t="s">
        <v>205</v>
      </c>
      <c r="H148" s="80" t="s">
        <v>206</v>
      </c>
    </row>
    <row r="149" spans="1:8">
      <c r="A149" s="2" t="str">
        <f>IF(B149&lt;&gt;"",SUM($B$128:B149),"")</f>
        <v/>
      </c>
      <c r="B149" s="2" t="str">
        <f t="shared" si="1"/>
        <v/>
      </c>
      <c r="C149" s="16"/>
      <c r="E149" s="2" t="s">
        <v>204</v>
      </c>
      <c r="F149" s="17">
        <v>1</v>
      </c>
      <c r="G149" s="79" t="s">
        <v>207</v>
      </c>
      <c r="H149" s="80" t="s">
        <v>208</v>
      </c>
    </row>
    <row r="150" spans="1:8">
      <c r="A150" s="2" t="str">
        <f>IF(B150&lt;&gt;"",SUM($B$128:B150),"")</f>
        <v/>
      </c>
      <c r="B150" s="2" t="str">
        <f t="shared" si="1"/>
        <v/>
      </c>
      <c r="C150" s="16"/>
      <c r="E150" s="2" t="s">
        <v>209</v>
      </c>
      <c r="F150" s="17">
        <v>0</v>
      </c>
      <c r="G150" s="79" t="s">
        <v>210</v>
      </c>
      <c r="H150" s="80" t="s">
        <v>211</v>
      </c>
    </row>
    <row r="151" spans="1:8">
      <c r="A151" s="2" t="str">
        <f>IF(B151&lt;&gt;"",SUM($B$128:B151),"")</f>
        <v/>
      </c>
      <c r="B151" s="2" t="str">
        <f t="shared" si="1"/>
        <v/>
      </c>
      <c r="C151" s="16"/>
      <c r="E151" s="2" t="s">
        <v>209</v>
      </c>
      <c r="F151" s="17">
        <v>1</v>
      </c>
      <c r="G151" s="79" t="s">
        <v>212</v>
      </c>
      <c r="H151" s="80" t="s">
        <v>213</v>
      </c>
    </row>
    <row r="152" spans="1:8">
      <c r="A152" s="2" t="str">
        <f>IF(B152&lt;&gt;"",SUM($B$128:B152),"")</f>
        <v/>
      </c>
      <c r="B152" s="2" t="str">
        <f t="shared" si="1"/>
        <v/>
      </c>
      <c r="C152" s="16"/>
      <c r="E152" s="2" t="s">
        <v>214</v>
      </c>
      <c r="F152" s="17">
        <v>0</v>
      </c>
      <c r="G152" s="79" t="s">
        <v>215</v>
      </c>
      <c r="H152" s="80" t="s">
        <v>216</v>
      </c>
    </row>
    <row r="153" spans="1:8">
      <c r="A153" s="2" t="str">
        <f>IF(B153&lt;&gt;"",SUM($B$128:B153),"")</f>
        <v/>
      </c>
      <c r="B153" s="2" t="str">
        <f t="shared" si="1"/>
        <v/>
      </c>
      <c r="C153" s="16"/>
      <c r="E153" s="2" t="s">
        <v>214</v>
      </c>
      <c r="F153" s="17">
        <v>1</v>
      </c>
      <c r="G153" s="79" t="s">
        <v>217</v>
      </c>
      <c r="H153" s="80" t="s">
        <v>218</v>
      </c>
    </row>
    <row r="154" spans="1:8">
      <c r="A154" s="2" t="str">
        <f>IF(B154&lt;&gt;"",SUM($B$128:B154),"")</f>
        <v/>
      </c>
      <c r="B154" s="2" t="str">
        <f t="shared" si="1"/>
        <v/>
      </c>
      <c r="C154" s="16"/>
      <c r="F154" s="17"/>
    </row>
    <row r="155" spans="1:8">
      <c r="A155" s="2" t="str">
        <f>IF(B155&lt;&gt;"",SUM($B$128:B155),"")</f>
        <v/>
      </c>
      <c r="B155" s="2" t="str">
        <f t="shared" si="1"/>
        <v/>
      </c>
      <c r="C155" s="16"/>
      <c r="F155" s="17"/>
    </row>
    <row r="156" spans="1:8">
      <c r="A156" s="2">
        <f>IF(B156&lt;&gt;"",SUM($B$128:B156),"")</f>
        <v>2</v>
      </c>
      <c r="B156" s="2">
        <f t="shared" si="1"/>
        <v>1</v>
      </c>
      <c r="C156" s="16">
        <v>4</v>
      </c>
      <c r="E156" s="2" t="s">
        <v>194</v>
      </c>
      <c r="F156" s="17">
        <f>$D$16</f>
        <v>0</v>
      </c>
      <c r="G156" s="79" t="str" cm="1">
        <f t="array" ref="G156">INDEX($G$144:$G$153,_xlfn.XMATCH(E156&amp;F156,$E$144:$E$153&amp;$F$144:$F$153,0))</f>
        <v>43.09.06.0001</v>
      </c>
      <c r="H156" s="80" t="str">
        <f>_xlfn.XLOOKUP(G156,$G$144:$G$153,$H$144:$H$153)</f>
        <v>Domino - Mof A - Galvanized</v>
      </c>
    </row>
    <row r="157" spans="1:8">
      <c r="A157" s="2" t="str">
        <f>IF(B157&lt;&gt;"",SUM($B$128:B157),"")</f>
        <v/>
      </c>
      <c r="B157" s="2" t="str">
        <f t="shared" si="1"/>
        <v/>
      </c>
      <c r="C157" s="16">
        <f>(D29-1)*2</f>
        <v>0</v>
      </c>
      <c r="E157" s="2" t="s">
        <v>199</v>
      </c>
      <c r="F157" s="17">
        <f>$D$16</f>
        <v>0</v>
      </c>
      <c r="G157" s="79" t="str" cm="1">
        <f t="array" ref="G157">INDEX($G$144:$G$153,_xlfn.XMATCH(E157&amp;F157,$E$144:$E$153&amp;$F$144:$F$153,0))</f>
        <v>43.09.06.0002</v>
      </c>
      <c r="H157" s="80" t="str">
        <f t="shared" ref="H157:H160" si="2">_xlfn.XLOOKUP(G157,$G$144:$G$153,$H$144:$H$153)</f>
        <v>Domino - Mof B - Galvanized</v>
      </c>
    </row>
    <row r="158" spans="1:8">
      <c r="A158" s="2" t="str">
        <f>IF(B158&lt;&gt;"",SUM($B$128:B158),"")</f>
        <v/>
      </c>
      <c r="B158" s="2" t="str">
        <f t="shared" si="1"/>
        <v/>
      </c>
      <c r="C158" s="16">
        <f>(D26-1)*2</f>
        <v>0</v>
      </c>
      <c r="E158" s="2" t="s">
        <v>204</v>
      </c>
      <c r="F158" s="17">
        <f>$D$16</f>
        <v>0</v>
      </c>
      <c r="G158" s="79" t="str" cm="1">
        <f t="array" ref="G158">INDEX($G$144:$G$153,_xlfn.XMATCH(E158&amp;F158,$E$144:$E$153&amp;$F$144:$F$153,0))</f>
        <v>43.09.06.0003</v>
      </c>
      <c r="H158" s="80" t="str">
        <f t="shared" si="2"/>
        <v>Domino - Mof C - Galvanized</v>
      </c>
    </row>
    <row r="159" spans="1:8">
      <c r="A159" s="2" t="str">
        <f>IF(B159&lt;&gt;"",SUM($B$128:B159),"")</f>
        <v/>
      </c>
      <c r="B159" s="2" t="str">
        <f t="shared" si="1"/>
        <v/>
      </c>
      <c r="C159" s="16">
        <f>(D26-1)*(D29-1)</f>
        <v>0</v>
      </c>
      <c r="E159" s="2" t="s">
        <v>209</v>
      </c>
      <c r="F159" s="17">
        <f>$D$17</f>
        <v>0</v>
      </c>
      <c r="G159" s="79" t="str" cm="1">
        <f t="array" ref="G159">INDEX($G$144:$G$153,_xlfn.XMATCH(E159&amp;F159,$E$144:$E$153&amp;$F$144:$F$153,0))</f>
        <v>43.09.06.0005</v>
      </c>
      <c r="H159" s="80" t="str">
        <f t="shared" si="2"/>
        <v>Domino - Mof D - Galvanized</v>
      </c>
    </row>
    <row r="160" spans="1:8">
      <c r="A160" s="2" t="str">
        <f>IF(B160&lt;&gt;"",SUM($B$128:B160),"")</f>
        <v/>
      </c>
      <c r="B160" s="2" t="str">
        <f t="shared" si="1"/>
        <v/>
      </c>
      <c r="C160" s="18">
        <f>D45+D46+D47*2</f>
        <v>0</v>
      </c>
      <c r="D160" s="19"/>
      <c r="E160" s="19" t="s">
        <v>214</v>
      </c>
      <c r="F160" s="20">
        <f>$D$17</f>
        <v>0</v>
      </c>
      <c r="G160" s="79" t="str" cm="1">
        <f t="array" ref="G160">INDEX($G$144:$G$153,_xlfn.XMATCH(E160&amp;F160,$E$144:$E$153&amp;$F$144:$F$153,0))</f>
        <v>43.09.06.0004</v>
      </c>
      <c r="H160" s="80" t="str">
        <f t="shared" si="2"/>
        <v>Domino - Mof W - Galvanized</v>
      </c>
    </row>
    <row r="161" spans="1:8">
      <c r="A161" s="2" t="str">
        <f>IF(B161&lt;&gt;"",SUM($B$128:B161),"")</f>
        <v/>
      </c>
      <c r="B161" s="2" t="str">
        <f t="shared" si="1"/>
        <v/>
      </c>
    </row>
    <row r="162" spans="1:8">
      <c r="A162" s="2" t="str">
        <f>IF(B162&lt;&gt;"",SUM($B$128:B162),"")</f>
        <v/>
      </c>
      <c r="B162" s="2" t="str">
        <f t="shared" si="1"/>
        <v/>
      </c>
    </row>
    <row r="163" spans="1:8">
      <c r="A163" s="2" t="str">
        <f>IF(B163&lt;&gt;"",SUM($B$128:B163),"")</f>
        <v/>
      </c>
      <c r="B163" s="2" t="str">
        <f t="shared" si="1"/>
        <v/>
      </c>
    </row>
    <row r="164" spans="1:8">
      <c r="A164" s="2" t="str">
        <f>IF(B164&lt;&gt;"",SUM($B$128:B164),"")</f>
        <v/>
      </c>
      <c r="B164" s="2" t="str">
        <f t="shared" si="1"/>
        <v/>
      </c>
      <c r="C164" s="13"/>
      <c r="D164" s="14" t="s">
        <v>193</v>
      </c>
      <c r="E164" s="14" t="s">
        <v>219</v>
      </c>
      <c r="F164" s="15" t="s">
        <v>26</v>
      </c>
    </row>
    <row r="165" spans="1:8">
      <c r="A165" s="2" t="str">
        <f>IF(B165&lt;&gt;"",SUM($B$128:B165),"")</f>
        <v/>
      </c>
      <c r="B165" s="2" t="str">
        <f t="shared" si="1"/>
        <v/>
      </c>
      <c r="C165" s="16"/>
      <c r="D165" s="2" t="s">
        <v>220</v>
      </c>
      <c r="E165" s="2">
        <v>0</v>
      </c>
      <c r="F165" s="17">
        <v>0</v>
      </c>
      <c r="G165" s="79" t="s">
        <v>221</v>
      </c>
      <c r="H165" s="80" t="s">
        <v>222</v>
      </c>
    </row>
    <row r="166" spans="1:8">
      <c r="A166" s="2" t="str">
        <f>IF(B166&lt;&gt;"",SUM($B$128:B166),"")</f>
        <v/>
      </c>
      <c r="B166" s="2" t="str">
        <f t="shared" si="1"/>
        <v/>
      </c>
      <c r="C166" s="16"/>
      <c r="D166" s="2" t="s">
        <v>220</v>
      </c>
      <c r="E166" s="2">
        <v>0</v>
      </c>
      <c r="F166" s="17">
        <v>1</v>
      </c>
      <c r="G166" s="79" t="s">
        <v>223</v>
      </c>
      <c r="H166" s="80" t="s">
        <v>224</v>
      </c>
    </row>
    <row r="167" spans="1:8">
      <c r="A167" s="2" t="str">
        <f>IF(B167&lt;&gt;"",SUM($B$128:B167),"")</f>
        <v/>
      </c>
      <c r="B167" s="2" t="str">
        <f t="shared" si="1"/>
        <v/>
      </c>
      <c r="C167" s="16"/>
      <c r="D167" s="2" t="s">
        <v>220</v>
      </c>
      <c r="E167" s="2">
        <v>1</v>
      </c>
      <c r="F167" s="17">
        <v>0</v>
      </c>
      <c r="G167" s="79" t="s">
        <v>225</v>
      </c>
      <c r="H167" s="80" t="s">
        <v>226</v>
      </c>
    </row>
    <row r="168" spans="1:8">
      <c r="A168" s="2" t="str">
        <f>IF(B168&lt;&gt;"",SUM($B$128:B168),"")</f>
        <v/>
      </c>
      <c r="B168" s="2" t="str">
        <f t="shared" si="1"/>
        <v/>
      </c>
      <c r="C168" s="16"/>
      <c r="D168" s="2" t="s">
        <v>220</v>
      </c>
      <c r="E168" s="2">
        <v>1</v>
      </c>
      <c r="F168" s="17">
        <v>1</v>
      </c>
      <c r="G168" s="79" t="s">
        <v>227</v>
      </c>
      <c r="H168" s="80" t="s">
        <v>228</v>
      </c>
    </row>
    <row r="169" spans="1:8">
      <c r="A169" s="2" t="str">
        <f>IF(B169&lt;&gt;"",SUM($B$128:B169),"")</f>
        <v/>
      </c>
      <c r="B169" s="2" t="str">
        <f t="shared" si="1"/>
        <v/>
      </c>
      <c r="C169" s="16"/>
      <c r="D169" s="2" t="s">
        <v>229</v>
      </c>
      <c r="E169" s="2">
        <v>0</v>
      </c>
      <c r="F169" s="17">
        <v>0</v>
      </c>
      <c r="G169" s="79" t="s">
        <v>230</v>
      </c>
      <c r="H169" s="79" t="s">
        <v>231</v>
      </c>
    </row>
    <row r="170" spans="1:8">
      <c r="A170" s="2" t="str">
        <f>IF(B170&lt;&gt;"",SUM($B$128:B170),"")</f>
        <v/>
      </c>
      <c r="B170" s="2" t="str">
        <f t="shared" si="1"/>
        <v/>
      </c>
      <c r="C170" s="16"/>
      <c r="D170" s="2" t="s">
        <v>229</v>
      </c>
      <c r="E170" s="2">
        <v>0</v>
      </c>
      <c r="F170" s="17">
        <v>1</v>
      </c>
      <c r="G170" s="79" t="s">
        <v>232</v>
      </c>
      <c r="H170" s="79" t="s">
        <v>233</v>
      </c>
    </row>
    <row r="171" spans="1:8">
      <c r="A171" s="2" t="str">
        <f>IF(B171&lt;&gt;"",SUM($B$128:B171),"")</f>
        <v/>
      </c>
      <c r="B171" s="2" t="str">
        <f t="shared" si="1"/>
        <v/>
      </c>
      <c r="C171" s="16"/>
      <c r="F171" s="17"/>
    </row>
    <row r="172" spans="1:8">
      <c r="A172" s="2" t="str">
        <f>IF(B172&lt;&gt;"",SUM($B$128:B172),"")</f>
        <v/>
      </c>
      <c r="B172" s="2" t="str">
        <f t="shared" si="1"/>
        <v/>
      </c>
      <c r="C172" s="16"/>
      <c r="F172" s="17"/>
    </row>
    <row r="173" spans="1:8">
      <c r="A173" s="2" t="str">
        <f>IF(B173&lt;&gt;"",SUM($B$128:B173),"")</f>
        <v/>
      </c>
      <c r="B173" s="2" t="str">
        <f t="shared" si="1"/>
        <v/>
      </c>
      <c r="C173" s="16">
        <f>(D29-1)*(D26+1)+D45+D46+D47*2</f>
        <v>0</v>
      </c>
      <c r="D173" s="2" t="s">
        <v>220</v>
      </c>
      <c r="E173" s="2">
        <v>0</v>
      </c>
      <c r="F173" s="17">
        <f>$D$17</f>
        <v>0</v>
      </c>
      <c r="G173" s="79" t="str" cm="1">
        <f t="array" ref="G173">INDEX($G$165:$G$170,_xlfn.XMATCH(D173&amp;E173&amp;F173,$D$165:$D$170&amp;$E$165:$E$170&amp;$F$165:$F$170,0))</f>
        <v>43.03.10.0002</v>
      </c>
      <c r="H173" s="80" t="str">
        <f>_xlfn.XLOOKUP(G173,$G$165:$G$170,$H$165:$H$170)</f>
        <v>Domino - Foot - 70x4 - L605 - Galvanized</v>
      </c>
    </row>
    <row r="174" spans="1:8">
      <c r="A174" s="2">
        <f>IF(B174&lt;&gt;"",SUM($B$128:B174),"")</f>
        <v>3</v>
      </c>
      <c r="B174" s="2">
        <f t="shared" si="1"/>
        <v>1</v>
      </c>
      <c r="C174" s="16">
        <f>(D26+1)*2</f>
        <v>4</v>
      </c>
      <c r="D174" s="2" t="s">
        <v>220</v>
      </c>
      <c r="E174" s="2">
        <v>1</v>
      </c>
      <c r="F174" s="17">
        <f>$D$17</f>
        <v>0</v>
      </c>
      <c r="G174" s="79" t="str" cm="1">
        <f t="array" ref="G174">INDEX($G$165:$G$170,_xlfn.XMATCH(D174&amp;E174&amp;F174,$D$165:$D$170&amp;$E$165:$E$170&amp;$F$165:$F$170,0))</f>
        <v>43.03.10.0001</v>
      </c>
      <c r="H174" s="80" t="str">
        <f t="shared" ref="H174:H175" si="3">_xlfn.XLOOKUP(G174,$G$165:$G$170,$H$165:$H$170)</f>
        <v>Domino - Foot - 70x4 - L605 - Outflow - Galvanized</v>
      </c>
    </row>
    <row r="175" spans="1:8">
      <c r="A175" s="2">
        <f>IF(B175&lt;&gt;"",SUM($B$128:B175),"")</f>
        <v>4</v>
      </c>
      <c r="B175" s="2">
        <f t="shared" si="1"/>
        <v>1</v>
      </c>
      <c r="C175" s="18">
        <f>(D52+D53)*2</f>
        <v>2</v>
      </c>
      <c r="D175" s="19" t="s">
        <v>229</v>
      </c>
      <c r="E175" s="19">
        <v>0</v>
      </c>
      <c r="F175" s="20">
        <f>$D$17</f>
        <v>0</v>
      </c>
      <c r="G175" s="79" t="str" cm="1">
        <f t="array" ref="G175">INDEX($G$165:$G$170,_xlfn.XMATCH(D175&amp;E175&amp;F175,$D$165:$D$170&amp;$E$165:$E$170&amp;$F$165:$F$170,0))</f>
        <v>43.03.10.0003</v>
      </c>
      <c r="H175" s="80" t="str">
        <f t="shared" si="3"/>
        <v>Domino - Foot 70x50x3 - L600 - Galvanized</v>
      </c>
    </row>
    <row r="176" spans="1:8">
      <c r="A176" s="2" t="str">
        <f>IF(B176&lt;&gt;"",SUM($B$128:B176),"")</f>
        <v/>
      </c>
      <c r="B176" s="2" t="str">
        <f t="shared" si="1"/>
        <v/>
      </c>
    </row>
    <row r="177" spans="1:8">
      <c r="A177" s="2" t="str">
        <f>IF(B177&lt;&gt;"",SUM($B$128:B177),"")</f>
        <v/>
      </c>
      <c r="B177" s="2" t="str">
        <f t="shared" si="1"/>
        <v/>
      </c>
    </row>
    <row r="178" spans="1:8">
      <c r="A178" s="2" t="str">
        <f>IF(B178&lt;&gt;"",SUM($B$128:B178),"")</f>
        <v/>
      </c>
      <c r="B178" s="2" t="str">
        <f t="shared" si="1"/>
        <v/>
      </c>
    </row>
    <row r="179" spans="1:8">
      <c r="A179" s="2" t="str">
        <f>IF(B179&lt;&gt;"",SUM($B$128:B179),"")</f>
        <v/>
      </c>
      <c r="B179" s="2" t="str">
        <f t="shared" si="1"/>
        <v/>
      </c>
    </row>
    <row r="180" spans="1:8">
      <c r="A180" s="2" t="str">
        <f>IF(B180&lt;&gt;"",SUM($B$128:B180),"")</f>
        <v/>
      </c>
      <c r="B180" s="2" t="str">
        <f t="shared" si="1"/>
        <v/>
      </c>
      <c r="C180" s="13"/>
      <c r="D180" s="14" t="s">
        <v>193</v>
      </c>
      <c r="E180" s="14" t="s">
        <v>234</v>
      </c>
      <c r="F180" s="15" t="s">
        <v>26</v>
      </c>
    </row>
    <row r="181" spans="1:8">
      <c r="A181" s="2" t="str">
        <f>IF(B181&lt;&gt;"",SUM($B$128:B181),"")</f>
        <v/>
      </c>
      <c r="B181" s="2" t="str">
        <f t="shared" si="1"/>
        <v/>
      </c>
      <c r="C181" s="16"/>
      <c r="D181" s="2" t="s">
        <v>214</v>
      </c>
      <c r="E181" s="2">
        <v>2.0299999999999998</v>
      </c>
      <c r="F181" s="17">
        <v>0</v>
      </c>
      <c r="G181" s="79" t="s">
        <v>235</v>
      </c>
      <c r="H181" s="80" t="s">
        <v>236</v>
      </c>
    </row>
    <row r="182" spans="1:8">
      <c r="A182" s="2" t="str">
        <f>IF(B182&lt;&gt;"",SUM($B$128:B182),"")</f>
        <v/>
      </c>
      <c r="B182" s="2" t="str">
        <f t="shared" si="1"/>
        <v/>
      </c>
      <c r="C182" s="16"/>
      <c r="D182" s="2" t="s">
        <v>214</v>
      </c>
      <c r="E182" s="2">
        <v>2.0299999999999998</v>
      </c>
      <c r="F182" s="17">
        <v>1</v>
      </c>
      <c r="G182" s="79" t="s">
        <v>237</v>
      </c>
      <c r="H182" s="80" t="s">
        <v>238</v>
      </c>
    </row>
    <row r="183" spans="1:8">
      <c r="A183" s="2" t="str">
        <f>IF(B183&lt;&gt;"",SUM($B$128:B183),"")</f>
        <v/>
      </c>
      <c r="B183" s="2" t="str">
        <f t="shared" si="1"/>
        <v/>
      </c>
      <c r="C183" s="16"/>
      <c r="D183" s="2" t="s">
        <v>234</v>
      </c>
      <c r="E183" s="2">
        <v>2.0299999999999998</v>
      </c>
      <c r="F183" s="17">
        <v>0</v>
      </c>
      <c r="G183" s="79" t="s">
        <v>239</v>
      </c>
      <c r="H183" s="80" t="s">
        <v>240</v>
      </c>
    </row>
    <row r="184" spans="1:8">
      <c r="A184" s="2" t="str">
        <f>IF(B184&lt;&gt;"",SUM($B$128:B184),"")</f>
        <v/>
      </c>
      <c r="B184" s="2" t="str">
        <f t="shared" si="1"/>
        <v/>
      </c>
      <c r="C184" s="16"/>
      <c r="D184" s="2" t="s">
        <v>234</v>
      </c>
      <c r="E184" s="2">
        <v>2.0299999999999998</v>
      </c>
      <c r="F184" s="17">
        <v>1</v>
      </c>
      <c r="G184" s="79" t="s">
        <v>241</v>
      </c>
      <c r="H184" s="80" t="s">
        <v>242</v>
      </c>
    </row>
    <row r="185" spans="1:8">
      <c r="A185" s="2" t="str">
        <f>IF(B185&lt;&gt;"",SUM($B$128:B185),"")</f>
        <v/>
      </c>
      <c r="B185" s="2" t="str">
        <f t="shared" si="1"/>
        <v/>
      </c>
      <c r="C185" s="16"/>
      <c r="D185" s="2" t="s">
        <v>214</v>
      </c>
      <c r="E185" s="2">
        <v>2.5299999999999998</v>
      </c>
      <c r="F185" s="17">
        <v>0</v>
      </c>
      <c r="G185" s="79" t="s">
        <v>243</v>
      </c>
      <c r="H185" s="80" t="s">
        <v>244</v>
      </c>
    </row>
    <row r="186" spans="1:8">
      <c r="A186" s="2" t="str">
        <f>IF(B186&lt;&gt;"",SUM($B$128:B186),"")</f>
        <v/>
      </c>
      <c r="B186" s="2" t="str">
        <f t="shared" si="1"/>
        <v/>
      </c>
      <c r="C186" s="16"/>
      <c r="D186" s="2" t="s">
        <v>214</v>
      </c>
      <c r="E186" s="2">
        <v>2.5299999999999998</v>
      </c>
      <c r="F186" s="17">
        <v>1</v>
      </c>
      <c r="G186" s="79" t="s">
        <v>245</v>
      </c>
      <c r="H186" s="80" t="s">
        <v>246</v>
      </c>
    </row>
    <row r="187" spans="1:8">
      <c r="A187" s="2" t="str">
        <f>IF(B187&lt;&gt;"",SUM($B$128:B187),"")</f>
        <v/>
      </c>
      <c r="B187" s="2" t="str">
        <f t="shared" si="1"/>
        <v/>
      </c>
      <c r="C187" s="16"/>
      <c r="D187" s="2" t="s">
        <v>234</v>
      </c>
      <c r="E187" s="2">
        <v>2.5299999999999998</v>
      </c>
      <c r="F187" s="17">
        <v>0</v>
      </c>
      <c r="G187" s="79" t="s">
        <v>247</v>
      </c>
      <c r="H187" s="80" t="s">
        <v>248</v>
      </c>
    </row>
    <row r="188" spans="1:8">
      <c r="A188" s="2" t="str">
        <f>IF(B188&lt;&gt;"",SUM($B$128:B188),"")</f>
        <v/>
      </c>
      <c r="B188" s="2" t="str">
        <f t="shared" si="1"/>
        <v/>
      </c>
      <c r="C188" s="16"/>
      <c r="D188" s="2" t="s">
        <v>234</v>
      </c>
      <c r="E188" s="2">
        <v>2.5299999999999998</v>
      </c>
      <c r="F188" s="17">
        <v>1</v>
      </c>
      <c r="G188" s="79" t="s">
        <v>249</v>
      </c>
      <c r="H188" s="80" t="s">
        <v>250</v>
      </c>
    </row>
    <row r="189" spans="1:8">
      <c r="A189" s="2" t="str">
        <f>IF(B189&lt;&gt;"",SUM($B$128:B189),"")</f>
        <v/>
      </c>
      <c r="B189" s="2" t="str">
        <f t="shared" si="1"/>
        <v/>
      </c>
      <c r="C189" s="16"/>
      <c r="D189" s="2" t="s">
        <v>234</v>
      </c>
      <c r="E189" s="2">
        <v>4.0599999999999996</v>
      </c>
      <c r="F189" s="17">
        <v>0</v>
      </c>
      <c r="G189" s="79" t="s">
        <v>251</v>
      </c>
      <c r="H189" s="80" t="s">
        <v>252</v>
      </c>
    </row>
    <row r="190" spans="1:8">
      <c r="A190" s="2" t="str">
        <f>IF(B190&lt;&gt;"",SUM($B$128:B190),"")</f>
        <v/>
      </c>
      <c r="B190" s="2" t="str">
        <f t="shared" si="1"/>
        <v/>
      </c>
      <c r="C190" s="16"/>
      <c r="D190" s="2" t="s">
        <v>234</v>
      </c>
      <c r="E190" s="2">
        <v>4.0599999999999996</v>
      </c>
      <c r="F190" s="17">
        <v>1</v>
      </c>
      <c r="G190" s="79" t="s">
        <v>253</v>
      </c>
      <c r="H190" s="80" t="s">
        <v>254</v>
      </c>
    </row>
    <row r="191" spans="1:8">
      <c r="A191" s="2" t="str">
        <f>IF(B191&lt;&gt;"",SUM($B$128:B191),"")</f>
        <v/>
      </c>
      <c r="B191" s="2" t="str">
        <f t="shared" si="1"/>
        <v/>
      </c>
      <c r="C191" s="16"/>
      <c r="D191" s="2" t="s">
        <v>234</v>
      </c>
      <c r="E191" s="2">
        <v>5.0599999999999996</v>
      </c>
      <c r="F191" s="17">
        <v>0</v>
      </c>
      <c r="G191" s="79" t="s">
        <v>255</v>
      </c>
      <c r="H191" s="80" t="s">
        <v>256</v>
      </c>
    </row>
    <row r="192" spans="1:8">
      <c r="A192" s="2" t="str">
        <f>IF(B192&lt;&gt;"",SUM($B$128:B192),"")</f>
        <v/>
      </c>
      <c r="B192" s="2" t="str">
        <f t="shared" si="1"/>
        <v/>
      </c>
      <c r="C192" s="16"/>
      <c r="D192" s="2" t="s">
        <v>234</v>
      </c>
      <c r="E192" s="2">
        <v>5.0599999999999996</v>
      </c>
      <c r="F192" s="17">
        <v>1</v>
      </c>
      <c r="G192" s="79" t="s">
        <v>257</v>
      </c>
      <c r="H192" s="80" t="s">
        <v>258</v>
      </c>
    </row>
    <row r="193" spans="1:8">
      <c r="A193" s="2" t="str">
        <f>IF(B193&lt;&gt;"",SUM($B$128:B193),"")</f>
        <v/>
      </c>
      <c r="B193" s="2" t="str">
        <f t="shared" ref="B193:B256" si="4">IF(C193&gt;0,1,"")</f>
        <v/>
      </c>
      <c r="C193" s="16"/>
      <c r="D193" s="2" t="s">
        <v>234</v>
      </c>
      <c r="E193" s="2">
        <v>6.09</v>
      </c>
      <c r="F193" s="17">
        <v>0</v>
      </c>
      <c r="G193" s="79" t="s">
        <v>259</v>
      </c>
      <c r="H193" s="80" t="s">
        <v>260</v>
      </c>
    </row>
    <row r="194" spans="1:8">
      <c r="A194" s="2" t="str">
        <f>IF(B194&lt;&gt;"",SUM($B$128:B194),"")</f>
        <v/>
      </c>
      <c r="B194" s="2" t="str">
        <f t="shared" si="4"/>
        <v/>
      </c>
      <c r="C194" s="16"/>
      <c r="D194" s="2" t="s">
        <v>234</v>
      </c>
      <c r="E194" s="2">
        <v>6.09</v>
      </c>
      <c r="F194" s="17">
        <v>1</v>
      </c>
      <c r="G194" s="79" t="s">
        <v>261</v>
      </c>
      <c r="H194" s="80" t="s">
        <v>262</v>
      </c>
    </row>
    <row r="195" spans="1:8">
      <c r="A195" s="2" t="str">
        <f>IF(B195&lt;&gt;"",SUM($B$128:B195),"")</f>
        <v/>
      </c>
      <c r="B195" s="2" t="str">
        <f t="shared" si="4"/>
        <v/>
      </c>
      <c r="C195" s="16"/>
      <c r="F195" s="17"/>
    </row>
    <row r="196" spans="1:8">
      <c r="A196" s="2" t="str">
        <f>IF(B196&lt;&gt;"",SUM($B$128:B196),"")</f>
        <v/>
      </c>
      <c r="B196" s="2" t="str">
        <f t="shared" si="4"/>
        <v/>
      </c>
      <c r="C196" s="16"/>
      <c r="F196" s="17"/>
    </row>
    <row r="197" spans="1:8">
      <c r="A197" s="2" t="str">
        <f>IF(B197&lt;&gt;"",SUM($B$128:B197),"")</f>
        <v/>
      </c>
      <c r="B197" s="2" t="str">
        <f t="shared" si="4"/>
        <v/>
      </c>
      <c r="C197" s="16">
        <f>D27*2</f>
        <v>0</v>
      </c>
      <c r="D197" s="2" t="s">
        <v>214</v>
      </c>
      <c r="E197" s="2">
        <v>2.0299999999999998</v>
      </c>
      <c r="F197" s="17">
        <f>$D$16</f>
        <v>0</v>
      </c>
      <c r="G197" s="79" t="str" cm="1">
        <f t="array" ref="G197">INDEX($G$181:$G$194,_xlfn.XMATCH(D197&amp;E197&amp;F197,$D$181:$D$194&amp;$E$181:$E$194&amp;$F$181:$F$194,0))</f>
        <v>37.60.06.0061</v>
      </c>
      <c r="H197" s="80" t="str">
        <f>_xlfn.XLOOKUP(G197,$G$181:$G$194,$H$181:$H$194)</f>
        <v>Domino - Gutter G - L1890 - 6Ø13 - Cut 3 - Galvanized</v>
      </c>
    </row>
    <row r="198" spans="1:8">
      <c r="A198" s="2">
        <f>IF(B198&lt;&gt;"",SUM($B$128:B198),"")</f>
        <v>5</v>
      </c>
      <c r="B198" s="2">
        <f t="shared" si="4"/>
        <v>1</v>
      </c>
      <c r="C198" s="16">
        <f>D28*2</f>
        <v>2</v>
      </c>
      <c r="D198" s="2" t="s">
        <v>214</v>
      </c>
      <c r="E198" s="2">
        <v>2.5299999999999998</v>
      </c>
      <c r="F198" s="17">
        <f t="shared" ref="F198:F203" si="5">$D$16</f>
        <v>0</v>
      </c>
      <c r="G198" s="79" t="str" cm="1">
        <f t="array" ref="G198">INDEX($G$181:$G$194,_xlfn.XMATCH(D198&amp;E198&amp;F198,$D$181:$D$194&amp;$E$181:$E$194&amp;$F$181:$F$194,0))</f>
        <v>37.60.06.0161</v>
      </c>
      <c r="H198" s="80" t="str">
        <f t="shared" ref="H198:H203" si="6">_xlfn.XLOOKUP(G198,$G$181:$G$194,$H$181:$H$194)</f>
        <v>Domino - Gutter G - L2390 - 6Ø13 - Cut 3 - Galvanized</v>
      </c>
    </row>
    <row r="199" spans="1:8">
      <c r="A199" s="2">
        <f>IF(B199&lt;&gt;"",SUM($B$128:B199),"")</f>
        <v>6</v>
      </c>
      <c r="B199" s="2">
        <f t="shared" si="4"/>
        <v>1</v>
      </c>
      <c r="C199" s="16">
        <f>D30*2</f>
        <v>2</v>
      </c>
      <c r="D199" s="2" t="s">
        <v>234</v>
      </c>
      <c r="E199" s="2">
        <v>2.0299999999999998</v>
      </c>
      <c r="F199" s="17">
        <f t="shared" si="5"/>
        <v>0</v>
      </c>
      <c r="G199" s="79" t="str" cm="1">
        <f t="array" ref="G199">INDEX($G$181:$G$194,_xlfn.XMATCH(D199&amp;E199&amp;F199,$D$181:$D$194&amp;$E$181:$E$194&amp;$F$181:$F$194,0))</f>
        <v>37.60.06.0160</v>
      </c>
      <c r="H199" s="80" t="str">
        <f t="shared" si="6"/>
        <v>Domino - Gutter G - L1890 - 7Ø13 - Galvanized</v>
      </c>
    </row>
    <row r="200" spans="1:8">
      <c r="A200" s="2" t="str">
        <f>IF(B200&lt;&gt;"",SUM($B$128:B200),"")</f>
        <v/>
      </c>
      <c r="B200" s="2" t="str">
        <f t="shared" si="4"/>
        <v/>
      </c>
      <c r="C200" s="16">
        <f>D31*2</f>
        <v>0</v>
      </c>
      <c r="D200" s="2" t="s">
        <v>234</v>
      </c>
      <c r="E200" s="2">
        <v>2.5299999999999998</v>
      </c>
      <c r="F200" s="17">
        <f t="shared" si="5"/>
        <v>0</v>
      </c>
      <c r="G200" s="79" t="str" cm="1">
        <f t="array" ref="G200">INDEX($G$181:$G$194,_xlfn.XMATCH(D200&amp;E200&amp;F200,$D$181:$D$194&amp;$E$181:$E$194&amp;$F$181:$F$194,0))</f>
        <v>37.60.06.0162</v>
      </c>
      <c r="H200" s="80" t="str">
        <f t="shared" si="6"/>
        <v>Domino - Gutter G - L2390 - 7Ø13 - Galvanized</v>
      </c>
    </row>
    <row r="201" spans="1:8">
      <c r="A201" s="2" t="str">
        <f>IF(B201&lt;&gt;"",SUM($B$128:B201),"")</f>
        <v/>
      </c>
      <c r="B201" s="2" t="str">
        <f t="shared" si="4"/>
        <v/>
      </c>
      <c r="C201" s="16">
        <f>D32*2</f>
        <v>0</v>
      </c>
      <c r="D201" s="2" t="s">
        <v>234</v>
      </c>
      <c r="E201" s="2">
        <v>4.0599999999999996</v>
      </c>
      <c r="F201" s="17">
        <f t="shared" si="5"/>
        <v>0</v>
      </c>
      <c r="G201" s="79" t="str" cm="1">
        <f t="array" ref="G201">INDEX($G$181:$G$194,_xlfn.XMATCH(D201&amp;E201&amp;F201,$D$181:$D$194&amp;$E$181:$E$194&amp;$F$181:$F$194,0))</f>
        <v>37.60.06.0058</v>
      </c>
      <c r="H201" s="80" t="str">
        <f t="shared" si="6"/>
        <v>Domino - Gutter G - L3920 - 9Ø13 - Galvanized</v>
      </c>
    </row>
    <row r="202" spans="1:8">
      <c r="A202" s="2" t="str">
        <f>IF(B202&lt;&gt;"",SUM($B$128:B202),"")</f>
        <v/>
      </c>
      <c r="B202" s="2" t="str">
        <f t="shared" si="4"/>
        <v/>
      </c>
      <c r="C202" s="16">
        <f>D33*2</f>
        <v>0</v>
      </c>
      <c r="D202" s="2" t="s">
        <v>234</v>
      </c>
      <c r="E202" s="2">
        <v>5.0599999999999996</v>
      </c>
      <c r="F202" s="17">
        <f t="shared" si="5"/>
        <v>0</v>
      </c>
      <c r="G202" s="79" t="str" cm="1">
        <f t="array" ref="G202">INDEX($G$181:$G$194,_xlfn.XMATCH(D202&amp;E202&amp;F202,$D$181:$D$194&amp;$E$181:$E$194&amp;$F$181:$F$194,0))</f>
        <v>37.60.06.0059</v>
      </c>
      <c r="H202" s="80" t="str">
        <f t="shared" si="6"/>
        <v>Domino - Gutter G - L4920 - 9Ø13 - Galvanized</v>
      </c>
    </row>
    <row r="203" spans="1:8">
      <c r="A203" s="2" t="str">
        <f>IF(B203&lt;&gt;"",SUM($B$128:B203),"")</f>
        <v/>
      </c>
      <c r="B203" s="2" t="str">
        <f t="shared" si="4"/>
        <v/>
      </c>
      <c r="C203" s="18">
        <f>D34*2</f>
        <v>0</v>
      </c>
      <c r="D203" s="19" t="s">
        <v>234</v>
      </c>
      <c r="E203" s="19">
        <v>6.09</v>
      </c>
      <c r="F203" s="20">
        <f t="shared" si="5"/>
        <v>0</v>
      </c>
      <c r="G203" s="79" t="str" cm="1">
        <f t="array" ref="G203">INDEX($G$181:$G$194,_xlfn.XMATCH(D203&amp;E203&amp;F203,$D$181:$D$194&amp;$E$181:$E$194&amp;$F$181:$F$194,0))</f>
        <v>37.60.06.0060</v>
      </c>
      <c r="H203" s="80" t="str">
        <f t="shared" si="6"/>
        <v>Domino - Gutter G - L5950 - 10Ø13 - Galvanized</v>
      </c>
    </row>
    <row r="204" spans="1:8">
      <c r="A204" s="2" t="str">
        <f>IF(B204&lt;&gt;"",SUM($B$128:B204),"")</f>
        <v/>
      </c>
      <c r="B204" s="2" t="str">
        <f t="shared" si="4"/>
        <v/>
      </c>
    </row>
    <row r="205" spans="1:8">
      <c r="A205" s="2" t="str">
        <f>IF(B205&lt;&gt;"",SUM($B$128:B205),"")</f>
        <v/>
      </c>
      <c r="B205" s="2" t="str">
        <f t="shared" si="4"/>
        <v/>
      </c>
    </row>
    <row r="206" spans="1:8">
      <c r="A206" s="2" t="str">
        <f>IF(B206&lt;&gt;"",SUM($B$128:B206),"")</f>
        <v/>
      </c>
      <c r="B206" s="2" t="str">
        <f t="shared" si="4"/>
        <v/>
      </c>
    </row>
    <row r="207" spans="1:8">
      <c r="A207" s="2" t="str">
        <f>IF(B207&lt;&gt;"",SUM($B$128:B207),"")</f>
        <v/>
      </c>
      <c r="B207" s="2" t="str">
        <f t="shared" si="4"/>
        <v/>
      </c>
      <c r="C207" s="13"/>
      <c r="D207" s="14"/>
      <c r="E207" s="14" t="s">
        <v>234</v>
      </c>
      <c r="F207" s="15" t="s">
        <v>26</v>
      </c>
    </row>
    <row r="208" spans="1:8">
      <c r="A208" s="2" t="str">
        <f>IF(B208&lt;&gt;"",SUM($B$128:B208),"")</f>
        <v/>
      </c>
      <c r="B208" s="2" t="str">
        <f t="shared" si="4"/>
        <v/>
      </c>
      <c r="C208" s="16"/>
      <c r="E208" s="2">
        <v>2.0299999999999998</v>
      </c>
      <c r="F208" s="17">
        <v>0</v>
      </c>
      <c r="G208" s="79" t="s">
        <v>263</v>
      </c>
      <c r="H208" s="80" t="s">
        <v>264</v>
      </c>
    </row>
    <row r="209" spans="1:8">
      <c r="A209" s="2" t="str">
        <f>IF(B209&lt;&gt;"",SUM($B$128:B209),"")</f>
        <v/>
      </c>
      <c r="B209" s="2" t="str">
        <f t="shared" si="4"/>
        <v/>
      </c>
      <c r="C209" s="16"/>
      <c r="E209" s="2">
        <v>2.0299999999999998</v>
      </c>
      <c r="F209" s="17">
        <v>1</v>
      </c>
      <c r="G209" s="79" t="s">
        <v>265</v>
      </c>
      <c r="H209" s="80" t="s">
        <v>266</v>
      </c>
    </row>
    <row r="210" spans="1:8">
      <c r="A210" s="2" t="str">
        <f>IF(B210&lt;&gt;"",SUM($B$128:B210),"")</f>
        <v/>
      </c>
      <c r="B210" s="2" t="str">
        <f t="shared" si="4"/>
        <v/>
      </c>
      <c r="C210" s="16"/>
      <c r="E210" s="2">
        <v>2.5299999999999998</v>
      </c>
      <c r="F210" s="17">
        <v>0</v>
      </c>
      <c r="G210" s="79" t="s">
        <v>267</v>
      </c>
      <c r="H210" s="80" t="s">
        <v>268</v>
      </c>
    </row>
    <row r="211" spans="1:8">
      <c r="A211" s="2" t="str">
        <f>IF(B211&lt;&gt;"",SUM($B$128:B211),"")</f>
        <v/>
      </c>
      <c r="B211" s="2" t="str">
        <f t="shared" si="4"/>
        <v/>
      </c>
      <c r="C211" s="16"/>
      <c r="E211" s="2">
        <v>2.5299999999999998</v>
      </c>
      <c r="F211" s="17">
        <v>1</v>
      </c>
      <c r="G211" s="79" t="s">
        <v>269</v>
      </c>
      <c r="H211" s="80" t="s">
        <v>270</v>
      </c>
    </row>
    <row r="212" spans="1:8">
      <c r="A212" s="2" t="str">
        <f>IF(B212&lt;&gt;"",SUM($B$128:B212),"")</f>
        <v/>
      </c>
      <c r="B212" s="2" t="str">
        <f t="shared" si="4"/>
        <v/>
      </c>
      <c r="C212" s="16"/>
      <c r="E212" s="2">
        <v>4.0599999999999996</v>
      </c>
      <c r="F212" s="17">
        <v>0</v>
      </c>
      <c r="G212" s="79" t="s">
        <v>271</v>
      </c>
      <c r="H212" s="80" t="s">
        <v>272</v>
      </c>
    </row>
    <row r="213" spans="1:8">
      <c r="A213" s="2" t="str">
        <f>IF(B213&lt;&gt;"",SUM($B$128:B213),"")</f>
        <v/>
      </c>
      <c r="B213" s="2" t="str">
        <f t="shared" si="4"/>
        <v/>
      </c>
      <c r="C213" s="16"/>
      <c r="E213" s="2">
        <v>4.0599999999999996</v>
      </c>
      <c r="F213" s="17">
        <v>1</v>
      </c>
      <c r="G213" s="79" t="s">
        <v>273</v>
      </c>
      <c r="H213" s="80" t="s">
        <v>274</v>
      </c>
    </row>
    <row r="214" spans="1:8">
      <c r="A214" s="2" t="str">
        <f>IF(B214&lt;&gt;"",SUM($B$128:B214),"")</f>
        <v/>
      </c>
      <c r="B214" s="2" t="str">
        <f t="shared" si="4"/>
        <v/>
      </c>
      <c r="C214" s="16"/>
      <c r="E214" s="2">
        <v>5.0599999999999996</v>
      </c>
      <c r="F214" s="17">
        <v>0</v>
      </c>
      <c r="G214" s="79" t="s">
        <v>275</v>
      </c>
      <c r="H214" s="80" t="s">
        <v>276</v>
      </c>
    </row>
    <row r="215" spans="1:8">
      <c r="A215" s="2" t="str">
        <f>IF(B215&lt;&gt;"",SUM($B$128:B215),"")</f>
        <v/>
      </c>
      <c r="B215" s="2" t="str">
        <f t="shared" si="4"/>
        <v/>
      </c>
      <c r="C215" s="16"/>
      <c r="E215" s="2">
        <v>5.0599999999999996</v>
      </c>
      <c r="F215" s="17">
        <v>1</v>
      </c>
      <c r="G215" s="79" t="s">
        <v>277</v>
      </c>
      <c r="H215" s="80" t="s">
        <v>278</v>
      </c>
    </row>
    <row r="216" spans="1:8">
      <c r="A216" s="2" t="str">
        <f>IF(B216&lt;&gt;"",SUM($B$128:B216),"")</f>
        <v/>
      </c>
      <c r="B216" s="2" t="str">
        <f t="shared" si="4"/>
        <v/>
      </c>
      <c r="C216" s="16"/>
      <c r="E216" s="2">
        <v>6.09</v>
      </c>
      <c r="F216" s="17">
        <v>0</v>
      </c>
      <c r="G216" s="79" t="s">
        <v>279</v>
      </c>
      <c r="H216" s="80" t="s">
        <v>280</v>
      </c>
    </row>
    <row r="217" spans="1:8">
      <c r="A217" s="2" t="str">
        <f>IF(B217&lt;&gt;"",SUM($B$128:B217),"")</f>
        <v/>
      </c>
      <c r="B217" s="2" t="str">
        <f t="shared" si="4"/>
        <v/>
      </c>
      <c r="C217" s="16"/>
      <c r="E217" s="2">
        <v>6.09</v>
      </c>
      <c r="F217" s="17">
        <v>1</v>
      </c>
      <c r="G217" s="79" t="s">
        <v>281</v>
      </c>
      <c r="H217" s="80" t="s">
        <v>282</v>
      </c>
    </row>
    <row r="218" spans="1:8">
      <c r="A218" s="2" t="str">
        <f>IF(B218&lt;&gt;"",SUM($B$128:B218),"")</f>
        <v/>
      </c>
      <c r="B218" s="2" t="str">
        <f t="shared" si="4"/>
        <v/>
      </c>
      <c r="C218" s="16"/>
      <c r="F218" s="17"/>
    </row>
    <row r="219" spans="1:8">
      <c r="A219" s="2" t="str">
        <f>IF(B219&lt;&gt;"",SUM($B$128:B219),"")</f>
        <v/>
      </c>
      <c r="B219" s="2" t="str">
        <f t="shared" si="4"/>
        <v/>
      </c>
      <c r="C219" s="16"/>
      <c r="F219" s="17"/>
    </row>
    <row r="220" spans="1:8">
      <c r="A220" s="2" t="str">
        <f>IF(B220&lt;&gt;"",SUM($B$128:B220),"")</f>
        <v/>
      </c>
      <c r="B220" s="2" t="str">
        <f t="shared" si="4"/>
        <v/>
      </c>
      <c r="C220" s="16">
        <f>($D$26-1)*D30</f>
        <v>0</v>
      </c>
      <c r="E220" s="2">
        <v>2.0299999999999998</v>
      </c>
      <c r="F220" s="17">
        <f>$D$17</f>
        <v>0</v>
      </c>
      <c r="G220" s="79" t="str" cm="1">
        <f t="array" ref="G220">INDEX($G$208:$G$217,_xlfn.XMATCH(E220&amp;F220,$E$208:$E$217&amp;$F$208:$F$217,0))</f>
        <v>37.60.06.0163</v>
      </c>
      <c r="H220" s="80" t="str">
        <f>_xlfn.XLOOKUP(G220,$G$208:$G$217,$H$208:$H$217)</f>
        <v>Domino - Gutter U - L1890 - 4Ø13 - Galvanized</v>
      </c>
    </row>
    <row r="221" spans="1:8">
      <c r="A221" s="2" t="str">
        <f>IF(B221&lt;&gt;"",SUM($B$128:B221),"")</f>
        <v/>
      </c>
      <c r="B221" s="2" t="str">
        <f t="shared" si="4"/>
        <v/>
      </c>
      <c r="C221" s="16">
        <f>($D$26-1)*D31</f>
        <v>0</v>
      </c>
      <c r="E221" s="2">
        <v>2.5299999999999998</v>
      </c>
      <c r="F221" s="17">
        <f t="shared" ref="F221:F224" si="7">$D$17</f>
        <v>0</v>
      </c>
      <c r="G221" s="79" t="str" cm="1">
        <f t="array" ref="G221">INDEX($G$208:$G$217,_xlfn.XMATCH(E221&amp;F221,$E$208:$E$217&amp;$F$208:$F$217,0))</f>
        <v>37.60.06.0164</v>
      </c>
      <c r="H221" s="80" t="str">
        <f t="shared" ref="H221:H224" si="8">_xlfn.XLOOKUP(G221,$G$208:$G$217,$H$208:$H$217)</f>
        <v>Domino - Gutter U - L2390 - 4Ø13 - Galvanized</v>
      </c>
    </row>
    <row r="222" spans="1:8">
      <c r="A222" s="2" t="str">
        <f>IF(B222&lt;&gt;"",SUM($B$128:B222),"")</f>
        <v/>
      </c>
      <c r="B222" s="2" t="str">
        <f t="shared" si="4"/>
        <v/>
      </c>
      <c r="C222" s="16">
        <f>($D$26-1)*D32</f>
        <v>0</v>
      </c>
      <c r="E222" s="2">
        <v>4.0599999999999996</v>
      </c>
      <c r="F222" s="17">
        <f t="shared" si="7"/>
        <v>0</v>
      </c>
      <c r="G222" s="79" t="str" cm="1">
        <f t="array" ref="G222">INDEX($G$208:$G$217,_xlfn.XMATCH(E222&amp;F222,$E$208:$E$217&amp;$F$208:$F$217,0))</f>
        <v>37.60.06.0165</v>
      </c>
      <c r="H222" s="80" t="str">
        <f t="shared" si="8"/>
        <v>Domino - Gutter U - L3920 - 5Ø13 - Galvanized</v>
      </c>
    </row>
    <row r="223" spans="1:8">
      <c r="A223" s="2" t="str">
        <f>IF(B223&lt;&gt;"",SUM($B$128:B223),"")</f>
        <v/>
      </c>
      <c r="B223" s="2" t="str">
        <f t="shared" si="4"/>
        <v/>
      </c>
      <c r="C223" s="16">
        <f>($D$26-1)*D33</f>
        <v>0</v>
      </c>
      <c r="E223" s="2">
        <v>5.0599999999999996</v>
      </c>
      <c r="F223" s="17">
        <f t="shared" si="7"/>
        <v>0</v>
      </c>
      <c r="G223" s="79" t="str" cm="1">
        <f t="array" ref="G223">INDEX($G$208:$G$217,_xlfn.XMATCH(E223&amp;F223,$E$208:$E$217&amp;$F$208:$F$217,0))</f>
        <v>37.60.06.0166</v>
      </c>
      <c r="H223" s="80" t="str">
        <f t="shared" si="8"/>
        <v>Domino - Gutter U - L4920 - 5Ø13 - Galvanized</v>
      </c>
    </row>
    <row r="224" spans="1:8">
      <c r="A224" s="2" t="str">
        <f>IF(B224&lt;&gt;"",SUM($B$128:B224),"")</f>
        <v/>
      </c>
      <c r="B224" s="2" t="str">
        <f t="shared" si="4"/>
        <v/>
      </c>
      <c r="C224" s="18">
        <f>($D$26-1)*D34</f>
        <v>0</v>
      </c>
      <c r="D224" s="19"/>
      <c r="E224" s="19">
        <v>6.09</v>
      </c>
      <c r="F224" s="20">
        <f t="shared" si="7"/>
        <v>0</v>
      </c>
      <c r="G224" s="79" t="str" cm="1">
        <f t="array" ref="G224">INDEX($G$208:$G$217,_xlfn.XMATCH(E224&amp;F224,$E$208:$E$217&amp;$F$208:$F$217,0))</f>
        <v>37.60.06.0167</v>
      </c>
      <c r="H224" s="80" t="str">
        <f t="shared" si="8"/>
        <v>Domino - Gutter U - L5950 - 6Ø13 - Galvanized</v>
      </c>
    </row>
    <row r="225" spans="1:8">
      <c r="A225" s="2" t="str">
        <f>IF(B225&lt;&gt;"",SUM($B$128:B225),"")</f>
        <v/>
      </c>
      <c r="B225" s="2" t="str">
        <f t="shared" si="4"/>
        <v/>
      </c>
    </row>
    <row r="226" spans="1:8">
      <c r="A226" s="2" t="str">
        <f>IF(B226&lt;&gt;"",SUM($B$128:B226),"")</f>
        <v/>
      </c>
      <c r="B226" s="2" t="str">
        <f t="shared" si="4"/>
        <v/>
      </c>
    </row>
    <row r="227" spans="1:8">
      <c r="A227" s="2" t="str">
        <f>IF(B227&lt;&gt;"",SUM($B$128:B227),"")</f>
        <v/>
      </c>
      <c r="B227" s="2" t="str">
        <f t="shared" si="4"/>
        <v/>
      </c>
    </row>
    <row r="228" spans="1:8">
      <c r="A228" s="2" t="str">
        <f>IF(B228&lt;&gt;"",SUM($B$128:B228),"")</f>
        <v/>
      </c>
      <c r="B228" s="2" t="str">
        <f t="shared" si="4"/>
        <v/>
      </c>
      <c r="C228" s="13"/>
      <c r="D228" s="14"/>
      <c r="E228" s="14" t="s">
        <v>234</v>
      </c>
      <c r="F228" s="15" t="s">
        <v>26</v>
      </c>
    </row>
    <row r="229" spans="1:8">
      <c r="A229" s="2" t="str">
        <f>IF(B229&lt;&gt;"",SUM($B$128:B229),"")</f>
        <v/>
      </c>
      <c r="B229" s="2" t="str">
        <f t="shared" si="4"/>
        <v/>
      </c>
      <c r="C229" s="16"/>
      <c r="E229" s="2">
        <v>2.0299999999999998</v>
      </c>
      <c r="F229" s="17">
        <v>0</v>
      </c>
      <c r="G229" s="79" t="s">
        <v>283</v>
      </c>
      <c r="H229" s="79" t="s">
        <v>284</v>
      </c>
    </row>
    <row r="230" spans="1:8">
      <c r="A230" s="2" t="str">
        <f>IF(B230&lt;&gt;"",SUM($B$128:B230),"")</f>
        <v/>
      </c>
      <c r="B230" s="2" t="str">
        <f t="shared" si="4"/>
        <v/>
      </c>
      <c r="C230" s="16"/>
      <c r="E230" s="2">
        <v>2.0299999999999998</v>
      </c>
      <c r="F230" s="17">
        <v>1</v>
      </c>
      <c r="G230" s="79" t="s">
        <v>285</v>
      </c>
      <c r="H230" s="79" t="s">
        <v>286</v>
      </c>
    </row>
    <row r="231" spans="1:8">
      <c r="A231" s="2" t="str">
        <f>IF(B231&lt;&gt;"",SUM($B$128:B231),"")</f>
        <v/>
      </c>
      <c r="B231" s="2" t="str">
        <f t="shared" si="4"/>
        <v/>
      </c>
      <c r="C231" s="16"/>
      <c r="E231" s="2">
        <v>2.5299999999999998</v>
      </c>
      <c r="F231" s="17">
        <v>0</v>
      </c>
      <c r="G231" s="79" t="s">
        <v>287</v>
      </c>
      <c r="H231" s="79" t="s">
        <v>288</v>
      </c>
    </row>
    <row r="232" spans="1:8">
      <c r="A232" s="2" t="str">
        <f>IF(B232&lt;&gt;"",SUM($B$128:B232),"")</f>
        <v/>
      </c>
      <c r="B232" s="2" t="str">
        <f t="shared" si="4"/>
        <v/>
      </c>
      <c r="C232" s="16"/>
      <c r="E232" s="2">
        <v>2.5299999999999998</v>
      </c>
      <c r="F232" s="17">
        <v>1</v>
      </c>
      <c r="G232" s="79" t="s">
        <v>289</v>
      </c>
      <c r="H232" s="79" t="s">
        <v>290</v>
      </c>
    </row>
    <row r="233" spans="1:8">
      <c r="A233" s="2" t="str">
        <f>IF(B233&lt;&gt;"",SUM($B$128:B233),"")</f>
        <v/>
      </c>
      <c r="B233" s="2" t="str">
        <f t="shared" si="4"/>
        <v/>
      </c>
      <c r="C233" s="16"/>
      <c r="E233" s="2">
        <v>4.0599999999999996</v>
      </c>
      <c r="F233" s="17">
        <v>0</v>
      </c>
      <c r="G233" s="79" t="s">
        <v>291</v>
      </c>
      <c r="H233" s="79" t="s">
        <v>292</v>
      </c>
    </row>
    <row r="234" spans="1:8">
      <c r="A234" s="2" t="str">
        <f>IF(B234&lt;&gt;"",SUM($B$128:B234),"")</f>
        <v/>
      </c>
      <c r="B234" s="2" t="str">
        <f t="shared" si="4"/>
        <v/>
      </c>
      <c r="C234" s="16"/>
      <c r="E234" s="2">
        <v>4.0599999999999996</v>
      </c>
      <c r="F234" s="17">
        <v>1</v>
      </c>
      <c r="G234" s="79" t="s">
        <v>293</v>
      </c>
      <c r="H234" s="79" t="s">
        <v>294</v>
      </c>
    </row>
    <row r="235" spans="1:8">
      <c r="A235" s="2" t="str">
        <f>IF(B235&lt;&gt;"",SUM($B$128:B235),"")</f>
        <v/>
      </c>
      <c r="B235" s="2" t="str">
        <f t="shared" si="4"/>
        <v/>
      </c>
      <c r="C235" s="16"/>
      <c r="E235" s="2">
        <v>5.0599999999999996</v>
      </c>
      <c r="F235" s="17">
        <v>0</v>
      </c>
      <c r="G235" s="79" t="s">
        <v>295</v>
      </c>
      <c r="H235" s="79" t="s">
        <v>296</v>
      </c>
    </row>
    <row r="236" spans="1:8">
      <c r="A236" s="2" t="str">
        <f>IF(B236&lt;&gt;"",SUM($B$128:B236),"")</f>
        <v/>
      </c>
      <c r="B236" s="2" t="str">
        <f t="shared" si="4"/>
        <v/>
      </c>
      <c r="C236" s="16"/>
      <c r="E236" s="2">
        <v>5.0599999999999996</v>
      </c>
      <c r="F236" s="17">
        <v>1</v>
      </c>
      <c r="G236" s="79" t="s">
        <v>297</v>
      </c>
      <c r="H236" s="79" t="s">
        <v>298</v>
      </c>
    </row>
    <row r="237" spans="1:8">
      <c r="A237" s="2" t="str">
        <f>IF(B237&lt;&gt;"",SUM($B$128:B237),"")</f>
        <v/>
      </c>
      <c r="B237" s="2" t="str">
        <f t="shared" si="4"/>
        <v/>
      </c>
      <c r="C237" s="16"/>
      <c r="E237" s="2">
        <v>6.09</v>
      </c>
      <c r="F237" s="17">
        <v>0</v>
      </c>
      <c r="G237" s="79" t="s">
        <v>299</v>
      </c>
      <c r="H237" s="79" t="s">
        <v>300</v>
      </c>
    </row>
    <row r="238" spans="1:8">
      <c r="A238" s="2" t="str">
        <f>IF(B238&lt;&gt;"",SUM($B$128:B238),"")</f>
        <v/>
      </c>
      <c r="B238" s="2" t="str">
        <f t="shared" si="4"/>
        <v/>
      </c>
      <c r="C238" s="16"/>
      <c r="E238" s="2">
        <v>6.09</v>
      </c>
      <c r="F238" s="17">
        <v>1</v>
      </c>
      <c r="G238" s="79" t="s">
        <v>301</v>
      </c>
      <c r="H238" s="79" t="s">
        <v>302</v>
      </c>
    </row>
    <row r="239" spans="1:8">
      <c r="A239" s="2" t="str">
        <f>IF(B239&lt;&gt;"",SUM($B$128:B239),"")</f>
        <v/>
      </c>
      <c r="B239" s="2" t="str">
        <f t="shared" si="4"/>
        <v/>
      </c>
      <c r="C239" s="16"/>
      <c r="F239" s="17"/>
    </row>
    <row r="240" spans="1:8">
      <c r="A240" s="2" t="str">
        <f>IF(B240&lt;&gt;"",SUM($B$128:B240),"")</f>
        <v/>
      </c>
      <c r="B240" s="2" t="str">
        <f t="shared" si="4"/>
        <v/>
      </c>
      <c r="C240" s="16"/>
      <c r="F240" s="17"/>
    </row>
    <row r="241" spans="1:8">
      <c r="A241" s="2">
        <f>IF(B241&lt;&gt;"",SUM($B$128:B241),"")</f>
        <v>7</v>
      </c>
      <c r="B241" s="2">
        <f t="shared" si="4"/>
        <v>1</v>
      </c>
      <c r="C241" s="16">
        <f>D30</f>
        <v>1</v>
      </c>
      <c r="E241" s="2">
        <v>2.0299999999999998</v>
      </c>
      <c r="F241" s="17">
        <f>$D$17</f>
        <v>0</v>
      </c>
      <c r="G241" s="79" t="str" cm="1">
        <f t="array" ref="G241">INDEX($G$229:$G$238,_xlfn.XMATCH(E241&amp;F241,$E$229:$E$238&amp;$F$229:$F$238,0))</f>
        <v>37.60.06.0168</v>
      </c>
      <c r="H241" s="80" t="str">
        <f>_xlfn.XLOOKUP(G241,$G$229:$G$238,$H$229:$H$238)</f>
        <v>Domino - U-Profile - 80x50x3 - L1890 - 3Ø13 - Galvanized</v>
      </c>
    </row>
    <row r="242" spans="1:8">
      <c r="A242" s="2" t="str">
        <f>IF(B242&lt;&gt;"",SUM($B$128:B242),"")</f>
        <v/>
      </c>
      <c r="B242" s="2" t="str">
        <f t="shared" si="4"/>
        <v/>
      </c>
      <c r="C242" s="16">
        <f>D31</f>
        <v>0</v>
      </c>
      <c r="E242" s="2">
        <v>2.5299999999999998</v>
      </c>
      <c r="F242" s="17">
        <f t="shared" ref="F242:F245" si="9">$D$17</f>
        <v>0</v>
      </c>
      <c r="G242" s="79" t="str" cm="1">
        <f t="array" ref="G242">INDEX($G$229:$G$238,_xlfn.XMATCH(E242&amp;F242,$E$229:$E$238&amp;$F$229:$F$238,0))</f>
        <v>37.60.06.0169</v>
      </c>
      <c r="H242" s="80" t="str">
        <f t="shared" ref="H242:H245" si="10">_xlfn.XLOOKUP(G242,$G$229:$G$238,$H$229:$H$238)</f>
        <v>Domino - U-Profile - 80x50x3 - L2390 - 3Ø13 - Galvanized</v>
      </c>
    </row>
    <row r="243" spans="1:8">
      <c r="A243" s="2" t="str">
        <f>IF(B243&lt;&gt;"",SUM($B$128:B243),"")</f>
        <v/>
      </c>
      <c r="B243" s="2" t="str">
        <f t="shared" si="4"/>
        <v/>
      </c>
      <c r="C243" s="16">
        <f>D32</f>
        <v>0</v>
      </c>
      <c r="E243" s="2">
        <v>4.0599999999999996</v>
      </c>
      <c r="F243" s="17">
        <f t="shared" si="9"/>
        <v>0</v>
      </c>
      <c r="G243" s="79" t="str" cm="1">
        <f t="array" ref="G243">INDEX($G$229:$G$238,_xlfn.XMATCH(E243&amp;F243,$E$229:$E$238&amp;$F$229:$F$238,0))</f>
        <v>37.60.06.0017</v>
      </c>
      <c r="H243" s="80" t="str">
        <f t="shared" si="10"/>
        <v>Domino - U-Profile - 80x50x3 - L3920 - 4Ø13 - Galvanized</v>
      </c>
    </row>
    <row r="244" spans="1:8">
      <c r="A244" s="2" t="str">
        <f>IF(B244&lt;&gt;"",SUM($B$128:B244),"")</f>
        <v/>
      </c>
      <c r="B244" s="2" t="str">
        <f t="shared" si="4"/>
        <v/>
      </c>
      <c r="C244" s="16">
        <f>D33</f>
        <v>0</v>
      </c>
      <c r="E244" s="2">
        <v>5.0599999999999996</v>
      </c>
      <c r="F244" s="17">
        <f t="shared" si="9"/>
        <v>0</v>
      </c>
      <c r="G244" s="79" t="str" cm="1">
        <f t="array" ref="G244">INDEX($G$229:$G$238,_xlfn.XMATCH(E244&amp;F244,$E$229:$E$238&amp;$F$229:$F$238,0))</f>
        <v>37.60.06.0018</v>
      </c>
      <c r="H244" s="80" t="str">
        <f t="shared" si="10"/>
        <v>Domino - U-Profile - 80x50x3 - L4920 - 4Ø13 - Galvanized</v>
      </c>
    </row>
    <row r="245" spans="1:8">
      <c r="A245" s="2" t="str">
        <f>IF(B245&lt;&gt;"",SUM($B$128:B245),"")</f>
        <v/>
      </c>
      <c r="B245" s="2" t="str">
        <f t="shared" si="4"/>
        <v/>
      </c>
      <c r="C245" s="18">
        <f>D34</f>
        <v>0</v>
      </c>
      <c r="D245" s="19"/>
      <c r="E245" s="19">
        <v>6.09</v>
      </c>
      <c r="F245" s="20">
        <f t="shared" si="9"/>
        <v>0</v>
      </c>
      <c r="G245" s="79" t="str" cm="1">
        <f t="array" ref="G245">INDEX($G$229:$G$238,_xlfn.XMATCH(E245&amp;F245,$E$229:$E$238&amp;$F$229:$F$238,0))</f>
        <v>37.60.06.0019</v>
      </c>
      <c r="H245" s="80" t="str">
        <f t="shared" si="10"/>
        <v>Domino - U-Profile - 80x50x3 - L5950 - 4Ø13 - Galvanized</v>
      </c>
    </row>
    <row r="246" spans="1:8">
      <c r="A246" s="2" t="str">
        <f>IF(B246&lt;&gt;"",SUM($B$128:B246),"")</f>
        <v/>
      </c>
      <c r="B246" s="2" t="str">
        <f t="shared" si="4"/>
        <v/>
      </c>
    </row>
    <row r="247" spans="1:8">
      <c r="A247" s="2" t="str">
        <f>IF(B247&lt;&gt;"",SUM($B$128:B247),"")</f>
        <v/>
      </c>
      <c r="B247" s="2" t="str">
        <f t="shared" si="4"/>
        <v/>
      </c>
    </row>
    <row r="248" spans="1:8">
      <c r="A248" s="2" t="str">
        <f>IF(B248&lt;&gt;"",SUM($B$128:B248),"")</f>
        <v/>
      </c>
      <c r="B248" s="2" t="str">
        <f t="shared" si="4"/>
        <v/>
      </c>
    </row>
    <row r="249" spans="1:8">
      <c r="A249" s="2" t="str">
        <f>IF(B249&lt;&gt;"",SUM($B$128:B249),"")</f>
        <v/>
      </c>
      <c r="B249" s="2" t="str">
        <f t="shared" si="4"/>
        <v/>
      </c>
      <c r="C249" s="13"/>
      <c r="D249" s="14" t="s">
        <v>193</v>
      </c>
      <c r="E249" s="14" t="s">
        <v>234</v>
      </c>
      <c r="F249" s="15" t="s">
        <v>26</v>
      </c>
    </row>
    <row r="250" spans="1:8">
      <c r="A250" s="2" t="str">
        <f>IF(B250&lt;&gt;"",SUM($B$128:B250),"")</f>
        <v/>
      </c>
      <c r="B250" s="2" t="str">
        <f t="shared" si="4"/>
        <v/>
      </c>
      <c r="C250" s="16"/>
      <c r="D250" s="2" t="s">
        <v>234</v>
      </c>
      <c r="E250" s="2">
        <v>2.0299999999999998</v>
      </c>
      <c r="F250" s="17">
        <v>0</v>
      </c>
      <c r="G250" s="79" t="s">
        <v>303</v>
      </c>
      <c r="H250" s="79" t="s">
        <v>304</v>
      </c>
    </row>
    <row r="251" spans="1:8">
      <c r="A251" s="2" t="str">
        <f>IF(B251&lt;&gt;"",SUM($B$128:B251),"")</f>
        <v/>
      </c>
      <c r="B251" s="2" t="str">
        <f t="shared" si="4"/>
        <v/>
      </c>
      <c r="C251" s="16"/>
      <c r="D251" s="2" t="s">
        <v>234</v>
      </c>
      <c r="E251" s="2">
        <v>2.0299999999999998</v>
      </c>
      <c r="F251" s="17">
        <v>1</v>
      </c>
      <c r="G251" s="79" t="s">
        <v>305</v>
      </c>
      <c r="H251" s="79" t="s">
        <v>306</v>
      </c>
    </row>
    <row r="252" spans="1:8">
      <c r="A252" s="2" t="str">
        <f>IF(B252&lt;&gt;"",SUM($B$128:B252),"")</f>
        <v/>
      </c>
      <c r="B252" s="2" t="str">
        <f t="shared" si="4"/>
        <v/>
      </c>
      <c r="C252" s="16"/>
      <c r="D252" s="2" t="s">
        <v>214</v>
      </c>
      <c r="E252" s="2">
        <v>2.0299999999999998</v>
      </c>
      <c r="F252" s="17">
        <v>0</v>
      </c>
      <c r="G252" s="79" t="s">
        <v>307</v>
      </c>
      <c r="H252" s="79" t="s">
        <v>308</v>
      </c>
    </row>
    <row r="253" spans="1:8">
      <c r="A253" s="2" t="str">
        <f>IF(B253&lt;&gt;"",SUM($B$128:B253),"")</f>
        <v/>
      </c>
      <c r="B253" s="2" t="str">
        <f t="shared" si="4"/>
        <v/>
      </c>
      <c r="C253" s="16"/>
      <c r="D253" s="2" t="s">
        <v>214</v>
      </c>
      <c r="E253" s="2">
        <v>2.0299999999999998</v>
      </c>
      <c r="F253" s="17">
        <v>1</v>
      </c>
      <c r="G253" s="79" t="s">
        <v>309</v>
      </c>
      <c r="H253" s="79" t="s">
        <v>310</v>
      </c>
    </row>
    <row r="254" spans="1:8">
      <c r="A254" s="2" t="str">
        <f>IF(B254&lt;&gt;"",SUM($B$128:B254),"")</f>
        <v/>
      </c>
      <c r="B254" s="2" t="str">
        <f t="shared" si="4"/>
        <v/>
      </c>
      <c r="C254" s="16"/>
      <c r="D254" s="2" t="s">
        <v>234</v>
      </c>
      <c r="E254" s="2">
        <v>2.5299999999999998</v>
      </c>
      <c r="F254" s="17">
        <v>0</v>
      </c>
      <c r="G254" s="79" t="s">
        <v>311</v>
      </c>
      <c r="H254" s="79" t="s">
        <v>312</v>
      </c>
    </row>
    <row r="255" spans="1:8">
      <c r="A255" s="2" t="str">
        <f>IF(B255&lt;&gt;"",SUM($B$128:B255),"")</f>
        <v/>
      </c>
      <c r="B255" s="2" t="str">
        <f t="shared" si="4"/>
        <v/>
      </c>
      <c r="C255" s="16"/>
      <c r="D255" s="2" t="s">
        <v>234</v>
      </c>
      <c r="E255" s="2">
        <v>2.5299999999999998</v>
      </c>
      <c r="F255" s="17">
        <v>1</v>
      </c>
      <c r="G255" s="79" t="s">
        <v>313</v>
      </c>
      <c r="H255" s="79" t="s">
        <v>314</v>
      </c>
    </row>
    <row r="256" spans="1:8">
      <c r="A256" s="2" t="str">
        <f>IF(B256&lt;&gt;"",SUM($B$128:B256),"")</f>
        <v/>
      </c>
      <c r="B256" s="2" t="str">
        <f t="shared" si="4"/>
        <v/>
      </c>
      <c r="C256" s="16"/>
      <c r="D256" s="2" t="s">
        <v>214</v>
      </c>
      <c r="E256" s="2">
        <v>2.5299999999999998</v>
      </c>
      <c r="F256" s="17">
        <v>0</v>
      </c>
      <c r="G256" s="79" t="s">
        <v>315</v>
      </c>
      <c r="H256" s="79" t="s">
        <v>316</v>
      </c>
    </row>
    <row r="257" spans="1:8">
      <c r="A257" s="2" t="str">
        <f>IF(B257&lt;&gt;"",SUM($B$128:B257),"")</f>
        <v/>
      </c>
      <c r="B257" s="2" t="str">
        <f t="shared" ref="B257:B320" si="11">IF(C257&gt;0,1,"")</f>
        <v/>
      </c>
      <c r="C257" s="16"/>
      <c r="D257" s="2" t="s">
        <v>214</v>
      </c>
      <c r="E257" s="2">
        <v>2.5299999999999998</v>
      </c>
      <c r="F257" s="17">
        <v>1</v>
      </c>
      <c r="G257" s="79" t="s">
        <v>317</v>
      </c>
      <c r="H257" s="79" t="s">
        <v>318</v>
      </c>
    </row>
    <row r="258" spans="1:8">
      <c r="A258" s="2" t="str">
        <f>IF(B258&lt;&gt;"",SUM($B$128:B258),"")</f>
        <v/>
      </c>
      <c r="B258" s="2" t="str">
        <f t="shared" si="11"/>
        <v/>
      </c>
      <c r="C258" s="16"/>
      <c r="D258" s="2" t="s">
        <v>234</v>
      </c>
      <c r="E258" s="2">
        <v>4.0599999999999996</v>
      </c>
      <c r="F258" s="17">
        <v>0</v>
      </c>
      <c r="G258" s="79" t="s">
        <v>319</v>
      </c>
      <c r="H258" s="79" t="s">
        <v>320</v>
      </c>
    </row>
    <row r="259" spans="1:8">
      <c r="A259" s="2" t="str">
        <f>IF(B259&lt;&gt;"",SUM($B$128:B259),"")</f>
        <v/>
      </c>
      <c r="B259" s="2" t="str">
        <f t="shared" si="11"/>
        <v/>
      </c>
      <c r="C259" s="16"/>
      <c r="D259" s="2" t="s">
        <v>234</v>
      </c>
      <c r="E259" s="2">
        <v>4.0599999999999996</v>
      </c>
      <c r="F259" s="17">
        <v>1</v>
      </c>
      <c r="G259" s="79" t="s">
        <v>321</v>
      </c>
      <c r="H259" s="79" t="s">
        <v>322</v>
      </c>
    </row>
    <row r="260" spans="1:8">
      <c r="A260" s="2" t="str">
        <f>IF(B260&lt;&gt;"",SUM($B$128:B260),"")</f>
        <v/>
      </c>
      <c r="B260" s="2" t="str">
        <f t="shared" si="11"/>
        <v/>
      </c>
      <c r="C260" s="16"/>
      <c r="D260" s="2" t="s">
        <v>234</v>
      </c>
      <c r="E260" s="2">
        <v>5.0599999999999996</v>
      </c>
      <c r="F260" s="17">
        <v>0</v>
      </c>
      <c r="G260" s="79" t="s">
        <v>323</v>
      </c>
      <c r="H260" s="79" t="s">
        <v>324</v>
      </c>
    </row>
    <row r="261" spans="1:8">
      <c r="A261" s="2" t="str">
        <f>IF(B261&lt;&gt;"",SUM($B$128:B261),"")</f>
        <v/>
      </c>
      <c r="B261" s="2" t="str">
        <f t="shared" si="11"/>
        <v/>
      </c>
      <c r="C261" s="16"/>
      <c r="D261" s="2" t="s">
        <v>234</v>
      </c>
      <c r="E261" s="2">
        <v>5.0599999999999996</v>
      </c>
      <c r="F261" s="17">
        <v>1</v>
      </c>
      <c r="G261" s="79" t="s">
        <v>325</v>
      </c>
      <c r="H261" s="79" t="s">
        <v>326</v>
      </c>
    </row>
    <row r="262" spans="1:8">
      <c r="A262" s="2" t="str">
        <f>IF(B262&lt;&gt;"",SUM($B$128:B262),"")</f>
        <v/>
      </c>
      <c r="B262" s="2" t="str">
        <f t="shared" si="11"/>
        <v/>
      </c>
      <c r="C262" s="16"/>
      <c r="D262" s="2" t="s">
        <v>234</v>
      </c>
      <c r="E262" s="2">
        <v>6.09</v>
      </c>
      <c r="F262" s="17">
        <v>0</v>
      </c>
      <c r="G262" s="79" t="s">
        <v>327</v>
      </c>
      <c r="H262" s="79" t="s">
        <v>328</v>
      </c>
    </row>
    <row r="263" spans="1:8">
      <c r="A263" s="2" t="str">
        <f>IF(B263&lt;&gt;"",SUM($B$128:B263),"")</f>
        <v/>
      </c>
      <c r="B263" s="2" t="str">
        <f t="shared" si="11"/>
        <v/>
      </c>
      <c r="C263" s="16"/>
      <c r="D263" s="2" t="s">
        <v>234</v>
      </c>
      <c r="E263" s="2">
        <v>6.09</v>
      </c>
      <c r="F263" s="17">
        <v>1</v>
      </c>
      <c r="G263" s="79" t="s">
        <v>329</v>
      </c>
      <c r="H263" s="79" t="s">
        <v>330</v>
      </c>
    </row>
    <row r="264" spans="1:8">
      <c r="A264" s="2" t="str">
        <f>IF(B264&lt;&gt;"",SUM($B$128:B264),"")</f>
        <v/>
      </c>
      <c r="B264" s="2" t="str">
        <f t="shared" si="11"/>
        <v/>
      </c>
      <c r="C264" s="16"/>
      <c r="F264" s="17"/>
    </row>
    <row r="265" spans="1:8">
      <c r="A265" s="2" t="str">
        <f>IF(B265&lt;&gt;"",SUM($B$128:B265),"")</f>
        <v/>
      </c>
      <c r="B265" s="2" t="str">
        <f t="shared" si="11"/>
        <v/>
      </c>
      <c r="C265" s="16"/>
      <c r="F265" s="17"/>
    </row>
    <row r="266" spans="1:8">
      <c r="A266" s="2" t="str">
        <f>IF(B266&lt;&gt;"",SUM($B$128:B266),"")</f>
        <v/>
      </c>
      <c r="B266" s="2" t="str">
        <f t="shared" si="11"/>
        <v/>
      </c>
      <c r="C266" s="16">
        <f>D27*($D$29-1)</f>
        <v>0</v>
      </c>
      <c r="D266" s="2" t="s">
        <v>214</v>
      </c>
      <c r="E266" s="2">
        <v>2.0299999999999998</v>
      </c>
      <c r="F266" s="17">
        <f>$D$17</f>
        <v>0</v>
      </c>
      <c r="G266" s="79" t="str" cm="1">
        <f t="array" ref="G266">INDEX($G$250:$G$263,_xlfn.XMATCH(D266&amp;E266&amp;F266,$D$250:$D$263&amp;$E$250:$E$263&amp;$F$250:$F$263,0))</f>
        <v>43.13.07.0004</v>
      </c>
      <c r="H266" s="80" t="str">
        <f>_xlfn.XLOOKUP(G266,$G$250:$G$263,$H$250:$H$263)</f>
        <v>Domino - Beam - 120x60x3 - L2098 - 2Ø13 - Galvanized</v>
      </c>
    </row>
    <row r="267" spans="1:8">
      <c r="A267" s="2" t="str">
        <f>IF(B267&lt;&gt;"",SUM($B$128:B267),"")</f>
        <v/>
      </c>
      <c r="B267" s="2" t="str">
        <f t="shared" si="11"/>
        <v/>
      </c>
      <c r="C267" s="16">
        <f>D28*($D$29-1)</f>
        <v>0</v>
      </c>
      <c r="D267" s="2" t="s">
        <v>214</v>
      </c>
      <c r="E267" s="2">
        <v>2.5299999999999998</v>
      </c>
      <c r="F267" s="17">
        <f t="shared" ref="F267:F272" si="12">$D$17</f>
        <v>0</v>
      </c>
      <c r="G267" s="79" t="str" cm="1">
        <f t="array" ref="G267">INDEX($G$250:$G$263,_xlfn.XMATCH(D267&amp;E267&amp;F267,$D$250:$D$263&amp;$E$250:$E$263&amp;$F$250:$F$263,0))</f>
        <v>43.13.07.0015</v>
      </c>
      <c r="H267" s="80" t="str">
        <f t="shared" ref="H267:H272" si="13">_xlfn.XLOOKUP(G267,$G$250:$G$263,$H$250:$H$263)</f>
        <v>Domino - Beam - 120x60x3 - L2598 - 2Ø13 - Galvanized</v>
      </c>
    </row>
    <row r="268" spans="1:8">
      <c r="A268" s="2">
        <f>IF(B268&lt;&gt;"",SUM($B$128:B268),"")</f>
        <v>8</v>
      </c>
      <c r="B268" s="2">
        <f t="shared" si="11"/>
        <v>1</v>
      </c>
      <c r="C268" s="16">
        <f>D30*$D$26*$D$20</f>
        <v>1</v>
      </c>
      <c r="D268" s="2" t="s">
        <v>234</v>
      </c>
      <c r="E268" s="2">
        <v>2.0299999999999998</v>
      </c>
      <c r="F268" s="17">
        <f t="shared" si="12"/>
        <v>0</v>
      </c>
      <c r="G268" s="79" t="str" cm="1">
        <f t="array" ref="G268">INDEX($G$250:$G$263,_xlfn.XMATCH(D268&amp;E268&amp;F268,$D$250:$D$263&amp;$E$250:$E$263&amp;$F$250:$F$263,0))</f>
        <v>43.13.07.0011</v>
      </c>
      <c r="H268" s="80" t="str">
        <f t="shared" si="13"/>
        <v>Domino - Beam - 120x60x3 - L1890 - 8Ø13 - Galvanized</v>
      </c>
    </row>
    <row r="269" spans="1:8">
      <c r="A269" s="2" t="str">
        <f>IF(B269&lt;&gt;"",SUM($B$128:B269),"")</f>
        <v/>
      </c>
      <c r="B269" s="2" t="str">
        <f t="shared" si="11"/>
        <v/>
      </c>
      <c r="C269" s="16">
        <f>D31*$D$26*$D$20</f>
        <v>0</v>
      </c>
      <c r="D269" s="2" t="s">
        <v>234</v>
      </c>
      <c r="E269" s="2">
        <v>2.5299999999999998</v>
      </c>
      <c r="F269" s="17">
        <f t="shared" si="12"/>
        <v>0</v>
      </c>
      <c r="G269" s="79" t="str" cm="1">
        <f t="array" ref="G269">INDEX($G$250:$G$263,_xlfn.XMATCH(D269&amp;E269&amp;F269,$D$250:$D$263&amp;$E$250:$E$263&amp;$F$250:$F$263,0))</f>
        <v>43.13.07.0012</v>
      </c>
      <c r="H269" s="80" t="str">
        <f t="shared" si="13"/>
        <v>Domino - Beam - 120x60x3 - L2390 - 8Ø13 - Galvanized</v>
      </c>
    </row>
    <row r="270" spans="1:8">
      <c r="A270" s="2" t="str">
        <f>IF(B270&lt;&gt;"",SUM($B$128:B270),"")</f>
        <v/>
      </c>
      <c r="B270" s="2" t="str">
        <f t="shared" si="11"/>
        <v/>
      </c>
      <c r="C270" s="16">
        <f>D32*$D$26*$D$20</f>
        <v>0</v>
      </c>
      <c r="D270" s="2" t="s">
        <v>234</v>
      </c>
      <c r="E270" s="2">
        <v>4.0599999999999996</v>
      </c>
      <c r="F270" s="17">
        <f t="shared" si="12"/>
        <v>0</v>
      </c>
      <c r="G270" s="79" t="str" cm="1">
        <f t="array" ref="G270">INDEX($G$250:$G$263,_xlfn.XMATCH(D270&amp;E270&amp;F270,$D$250:$D$263&amp;$E$250:$E$263&amp;$F$250:$F$263,0))</f>
        <v>43.13.07.0001</v>
      </c>
      <c r="H270" s="80" t="str">
        <f t="shared" si="13"/>
        <v>Domino - Beam - 120x60x3 - L3920 - 8Ø13 - Galvanized</v>
      </c>
    </row>
    <row r="271" spans="1:8">
      <c r="A271" s="2" t="str">
        <f>IF(B271&lt;&gt;"",SUM($B$128:B271),"")</f>
        <v/>
      </c>
      <c r="B271" s="2" t="str">
        <f t="shared" si="11"/>
        <v/>
      </c>
      <c r="C271" s="16">
        <f>D33*$D$26*$D$20</f>
        <v>0</v>
      </c>
      <c r="D271" s="2" t="s">
        <v>234</v>
      </c>
      <c r="E271" s="2">
        <v>5.0599999999999996</v>
      </c>
      <c r="F271" s="17">
        <f t="shared" si="12"/>
        <v>0</v>
      </c>
      <c r="G271" s="79" t="str" cm="1">
        <f t="array" ref="G271">INDEX($G$250:$G$263,_xlfn.XMATCH(D271&amp;E271&amp;F271,$D$250:$D$263&amp;$E$250:$E$263&amp;$F$250:$F$263,0))</f>
        <v>43.13.07.0002</v>
      </c>
      <c r="H271" s="80" t="str">
        <f t="shared" si="13"/>
        <v>Domino - Beam - 120x60x3 - L4920 - 8Ø13 - Galvanized</v>
      </c>
    </row>
    <row r="272" spans="1:8">
      <c r="A272" s="2" t="str">
        <f>IF(B272&lt;&gt;"",SUM($B$128:B272),"")</f>
        <v/>
      </c>
      <c r="B272" s="2" t="str">
        <f t="shared" si="11"/>
        <v/>
      </c>
      <c r="C272" s="18">
        <f>D34*$D$26*$D$20</f>
        <v>0</v>
      </c>
      <c r="D272" s="19" t="s">
        <v>234</v>
      </c>
      <c r="E272" s="19">
        <v>6.09</v>
      </c>
      <c r="F272" s="20">
        <f t="shared" si="12"/>
        <v>0</v>
      </c>
      <c r="G272" s="79" t="str" cm="1">
        <f t="array" ref="G272">INDEX($G$250:$G$263,_xlfn.XMATCH(D272&amp;E272&amp;F272,$D$250:$D$263&amp;$E$250:$E$263&amp;$F$250:$F$263,0))</f>
        <v>43.13.07.0003</v>
      </c>
      <c r="H272" s="80" t="str">
        <f t="shared" si="13"/>
        <v>Domino - Beam - 120x60x3 - L5950 - 8Ø13 - Galvanized</v>
      </c>
    </row>
    <row r="273" spans="1:8">
      <c r="A273" s="2" t="str">
        <f>IF(B273&lt;&gt;"",SUM($B$128:B273),"")</f>
        <v/>
      </c>
      <c r="B273" s="2" t="str">
        <f t="shared" si="11"/>
        <v/>
      </c>
    </row>
    <row r="274" spans="1:8">
      <c r="A274" s="2" t="str">
        <f>IF(B274&lt;&gt;"",SUM($B$128:B274),"")</f>
        <v/>
      </c>
      <c r="B274" s="2" t="str">
        <f t="shared" si="11"/>
        <v/>
      </c>
    </row>
    <row r="275" spans="1:8">
      <c r="A275" s="2" t="str">
        <f>IF(B275&lt;&gt;"",SUM($B$128:B275),"")</f>
        <v/>
      </c>
      <c r="B275" s="2" t="str">
        <f t="shared" si="11"/>
        <v/>
      </c>
    </row>
    <row r="276" spans="1:8">
      <c r="A276" s="2" t="str">
        <f>IF(B276&lt;&gt;"",SUM($B$128:B276),"")</f>
        <v/>
      </c>
      <c r="B276" s="2" t="str">
        <f t="shared" si="11"/>
        <v/>
      </c>
      <c r="C276" s="13"/>
      <c r="D276" s="14"/>
      <c r="E276" s="14" t="s">
        <v>193</v>
      </c>
      <c r="F276" s="15" t="s">
        <v>26</v>
      </c>
    </row>
    <row r="277" spans="1:8">
      <c r="A277" s="2" t="str">
        <f>IF(B277&lt;&gt;"",SUM($B$128:B277),"")</f>
        <v/>
      </c>
      <c r="B277" s="2" t="str">
        <f t="shared" si="11"/>
        <v/>
      </c>
      <c r="C277" s="16"/>
      <c r="E277" s="2" t="s">
        <v>199</v>
      </c>
      <c r="F277" s="17">
        <v>0</v>
      </c>
      <c r="G277" s="79" t="s">
        <v>331</v>
      </c>
      <c r="H277" s="79" t="s">
        <v>332</v>
      </c>
    </row>
    <row r="278" spans="1:8">
      <c r="A278" s="2" t="str">
        <f>IF(B278&lt;&gt;"",SUM($B$128:B278),"")</f>
        <v/>
      </c>
      <c r="B278" s="2" t="str">
        <f t="shared" si="11"/>
        <v/>
      </c>
      <c r="C278" s="16"/>
      <c r="E278" s="2" t="s">
        <v>199</v>
      </c>
      <c r="F278" s="17">
        <v>1</v>
      </c>
      <c r="G278" s="79" t="s">
        <v>333</v>
      </c>
      <c r="H278" s="79" t="s">
        <v>334</v>
      </c>
    </row>
    <row r="279" spans="1:8">
      <c r="A279" s="2" t="str">
        <f>IF(B279&lt;&gt;"",SUM($B$128:B279),"")</f>
        <v/>
      </c>
      <c r="B279" s="2" t="str">
        <f t="shared" si="11"/>
        <v/>
      </c>
      <c r="C279" s="16"/>
      <c r="E279" s="2" t="s">
        <v>234</v>
      </c>
      <c r="F279" s="17">
        <v>0</v>
      </c>
      <c r="G279" s="79" t="s">
        <v>335</v>
      </c>
      <c r="H279" s="79" t="s">
        <v>336</v>
      </c>
    </row>
    <row r="280" spans="1:8">
      <c r="A280" s="2" t="str">
        <f>IF(B280&lt;&gt;"",SUM($B$128:B280),"")</f>
        <v/>
      </c>
      <c r="B280" s="2" t="str">
        <f t="shared" si="11"/>
        <v/>
      </c>
      <c r="C280" s="16"/>
      <c r="E280" s="2" t="s">
        <v>234</v>
      </c>
      <c r="F280" s="17">
        <v>1</v>
      </c>
      <c r="G280" s="79" t="s">
        <v>337</v>
      </c>
      <c r="H280" s="79" t="s">
        <v>338</v>
      </c>
    </row>
    <row r="281" spans="1:8">
      <c r="A281" s="2" t="str">
        <f>IF(B281&lt;&gt;"",SUM($B$128:B281),"")</f>
        <v/>
      </c>
      <c r="B281" s="2" t="str">
        <f t="shared" si="11"/>
        <v/>
      </c>
      <c r="C281" s="16"/>
      <c r="F281" s="17"/>
    </row>
    <row r="282" spans="1:8">
      <c r="A282" s="2" t="str">
        <f>IF(B282&lt;&gt;"",SUM($B$128:B282),"")</f>
        <v/>
      </c>
      <c r="B282" s="2" t="str">
        <f t="shared" si="11"/>
        <v/>
      </c>
      <c r="C282" s="16"/>
      <c r="F282" s="17"/>
    </row>
    <row r="283" spans="1:8">
      <c r="A283" s="2">
        <f>IF(B283&lt;&gt;"",SUM($B$128:B283),"")</f>
        <v>9</v>
      </c>
      <c r="B283" s="2">
        <f t="shared" si="11"/>
        <v>1</v>
      </c>
      <c r="C283" s="16">
        <f>$D$20*2*$D$26</f>
        <v>2</v>
      </c>
      <c r="E283" s="2" t="s">
        <v>199</v>
      </c>
      <c r="F283" s="17">
        <f>$D$17</f>
        <v>0</v>
      </c>
      <c r="G283" s="79" t="str" cm="1">
        <f t="array" ref="G283">INDEX($G$277:$G$280,_xlfn.XMATCH(E283&amp;F283,$E$277:$E$280&amp;$F$277:$F$280,0))</f>
        <v>43.09.06.0015</v>
      </c>
      <c r="H283" s="80" t="str">
        <f>_xlfn.XLOOKUP(G283,$G$277:$G$280,$H$277:$H$280)</f>
        <v>Domino - Beam Connector - Bracket - Galvanized</v>
      </c>
    </row>
    <row r="284" spans="1:8">
      <c r="A284" s="2" t="str">
        <f>IF(B284&lt;&gt;"",SUM($B$128:B284),"")</f>
        <v/>
      </c>
      <c r="B284" s="2" t="str">
        <f t="shared" si="11"/>
        <v/>
      </c>
      <c r="C284" s="18">
        <f>$D$20*$D$26*($D$29-1)</f>
        <v>0</v>
      </c>
      <c r="D284" s="19"/>
      <c r="E284" s="19" t="s">
        <v>234</v>
      </c>
      <c r="F284" s="20">
        <f>$D$17</f>
        <v>0</v>
      </c>
      <c r="G284" s="79" t="str" cm="1">
        <f t="array" ref="G284">INDEX($G$277:$G$280,_xlfn.XMATCH(E284&amp;F284,$E$277:$E$280&amp;$F$277:$F$280,0))</f>
        <v>43.09.06.0011</v>
      </c>
      <c r="H284" s="80" t="str">
        <f>_xlfn.XLOOKUP(G284,$G$277:$G$280,$H$277:$H$280)</f>
        <v>Domino - Beam Connector - L-Profile - Galvanized</v>
      </c>
    </row>
    <row r="285" spans="1:8">
      <c r="A285" s="2" t="str">
        <f>IF(B285&lt;&gt;"",SUM($B$128:B285),"")</f>
        <v/>
      </c>
      <c r="B285" s="2" t="str">
        <f t="shared" si="11"/>
        <v/>
      </c>
    </row>
    <row r="286" spans="1:8">
      <c r="A286" s="2" t="str">
        <f>IF(B286&lt;&gt;"",SUM($B$128:B286),"")</f>
        <v/>
      </c>
      <c r="B286" s="2" t="str">
        <f t="shared" si="11"/>
        <v/>
      </c>
    </row>
    <row r="287" spans="1:8">
      <c r="A287" s="2" t="str">
        <f>IF(B287&lt;&gt;"",SUM($B$128:B287),"")</f>
        <v/>
      </c>
      <c r="B287" s="2" t="str">
        <f t="shared" si="11"/>
        <v/>
      </c>
      <c r="C287" s="13"/>
      <c r="D287" s="14" t="s">
        <v>339</v>
      </c>
      <c r="E287" s="14" t="s">
        <v>234</v>
      </c>
      <c r="F287" s="15" t="s">
        <v>26</v>
      </c>
    </row>
    <row r="288" spans="1:8">
      <c r="A288" s="2" t="str">
        <f>IF(B288&lt;&gt;"",SUM($B$128:B288),"")</f>
        <v/>
      </c>
      <c r="B288" s="2" t="str">
        <f t="shared" si="11"/>
        <v/>
      </c>
      <c r="C288" s="16"/>
      <c r="D288" s="2">
        <v>0</v>
      </c>
      <c r="E288" s="2">
        <v>2.0299999999999998</v>
      </c>
      <c r="F288" s="17">
        <v>0</v>
      </c>
      <c r="G288" s="79" t="s">
        <v>340</v>
      </c>
      <c r="H288" s="79" t="s">
        <v>341</v>
      </c>
    </row>
    <row r="289" spans="1:8">
      <c r="A289" s="2" t="str">
        <f>IF(B289&lt;&gt;"",SUM($B$128:B289),"")</f>
        <v/>
      </c>
      <c r="B289" s="2" t="str">
        <f t="shared" si="11"/>
        <v/>
      </c>
      <c r="C289" s="16"/>
      <c r="D289" s="2">
        <v>0</v>
      </c>
      <c r="E289" s="2">
        <v>2.0299999999999998</v>
      </c>
      <c r="F289" s="17">
        <v>1</v>
      </c>
      <c r="G289" s="79" t="s">
        <v>342</v>
      </c>
      <c r="H289" s="79" t="s">
        <v>343</v>
      </c>
    </row>
    <row r="290" spans="1:8">
      <c r="A290" s="2" t="str">
        <f>IF(B290&lt;&gt;"",SUM($B$128:B290),"")</f>
        <v/>
      </c>
      <c r="B290" s="2" t="str">
        <f t="shared" si="11"/>
        <v/>
      </c>
      <c r="C290" s="16"/>
      <c r="D290" s="2">
        <v>0</v>
      </c>
      <c r="E290" s="2">
        <v>2.5299999999999998</v>
      </c>
      <c r="F290" s="17">
        <v>0</v>
      </c>
      <c r="G290" s="79" t="s">
        <v>344</v>
      </c>
      <c r="H290" s="79" t="s">
        <v>345</v>
      </c>
    </row>
    <row r="291" spans="1:8">
      <c r="A291" s="2" t="str">
        <f>IF(B291&lt;&gt;"",SUM($B$128:B291),"")</f>
        <v/>
      </c>
      <c r="B291" s="2" t="str">
        <f t="shared" si="11"/>
        <v/>
      </c>
      <c r="C291" s="16"/>
      <c r="D291" s="2">
        <v>0</v>
      </c>
      <c r="E291" s="2">
        <v>2.5299999999999998</v>
      </c>
      <c r="F291" s="17">
        <v>1</v>
      </c>
      <c r="G291" s="79" t="s">
        <v>346</v>
      </c>
      <c r="H291" s="79" t="s">
        <v>347</v>
      </c>
    </row>
    <row r="292" spans="1:8">
      <c r="A292" s="2" t="str">
        <f>IF(B292&lt;&gt;"",SUM($B$128:B292),"")</f>
        <v/>
      </c>
      <c r="B292" s="2" t="str">
        <f t="shared" si="11"/>
        <v/>
      </c>
      <c r="C292" s="16"/>
      <c r="D292" s="2">
        <v>1</v>
      </c>
      <c r="E292" s="2">
        <v>2.0299999999999998</v>
      </c>
      <c r="F292" s="17">
        <v>0</v>
      </c>
      <c r="G292" s="79" t="s">
        <v>348</v>
      </c>
      <c r="H292" s="79" t="s">
        <v>349</v>
      </c>
    </row>
    <row r="293" spans="1:8">
      <c r="A293" s="2" t="str">
        <f>IF(B293&lt;&gt;"",SUM($B$128:B293),"")</f>
        <v/>
      </c>
      <c r="B293" s="2" t="str">
        <f t="shared" si="11"/>
        <v/>
      </c>
      <c r="C293" s="16"/>
      <c r="D293" s="2">
        <v>1</v>
      </c>
      <c r="E293" s="2">
        <v>2.5299999999999998</v>
      </c>
      <c r="F293" s="17">
        <v>0</v>
      </c>
      <c r="G293" s="79" t="s">
        <v>350</v>
      </c>
      <c r="H293" s="79" t="s">
        <v>351</v>
      </c>
    </row>
    <row r="294" spans="1:8">
      <c r="A294" s="2" t="str">
        <f>IF(B294&lt;&gt;"",SUM($B$128:B294),"")</f>
        <v/>
      </c>
      <c r="B294" s="2" t="str">
        <f t="shared" si="11"/>
        <v/>
      </c>
      <c r="C294" s="16"/>
      <c r="D294" s="2">
        <v>1</v>
      </c>
      <c r="E294" s="2">
        <v>2.0299999999999998</v>
      </c>
      <c r="F294" s="17">
        <v>1</v>
      </c>
      <c r="G294" s="79" t="s">
        <v>352</v>
      </c>
      <c r="H294" s="79" t="s">
        <v>353</v>
      </c>
    </row>
    <row r="295" spans="1:8">
      <c r="A295" s="2" t="str">
        <f>IF(B295&lt;&gt;"",SUM($B$128:B295),"")</f>
        <v/>
      </c>
      <c r="B295" s="2" t="str">
        <f t="shared" si="11"/>
        <v/>
      </c>
      <c r="C295" s="16"/>
      <c r="D295" s="2">
        <v>1</v>
      </c>
      <c r="E295" s="2">
        <v>2.5299999999999998</v>
      </c>
      <c r="F295" s="17">
        <v>1</v>
      </c>
      <c r="G295" s="79" t="s">
        <v>354</v>
      </c>
      <c r="H295" s="79" t="s">
        <v>355</v>
      </c>
    </row>
    <row r="296" spans="1:8">
      <c r="A296" s="2" t="str">
        <f>IF(B296&lt;&gt;"",SUM($B$128:B296),"")</f>
        <v/>
      </c>
      <c r="B296" s="2" t="str">
        <f t="shared" si="11"/>
        <v/>
      </c>
      <c r="C296" s="16"/>
      <c r="F296" s="17"/>
    </row>
    <row r="297" spans="1:8">
      <c r="A297" s="2" t="str">
        <f>IF(B297&lt;&gt;"",SUM($B$128:B297),"")</f>
        <v/>
      </c>
      <c r="B297" s="2" t="str">
        <f t="shared" si="11"/>
        <v/>
      </c>
      <c r="C297" s="16"/>
      <c r="F297" s="17"/>
    </row>
    <row r="298" spans="1:8">
      <c r="A298" s="2">
        <f>IF(B298&lt;&gt;"",SUM($B$128:B298),"")</f>
        <v>10</v>
      </c>
      <c r="B298" s="2">
        <f t="shared" si="11"/>
        <v>1</v>
      </c>
      <c r="C298" s="16">
        <f>IF(OR(D37=2,D37=3),(2+D18)*(D43+D45*2+D47*3-D48),0)</f>
        <v>4</v>
      </c>
      <c r="D298" s="2">
        <v>0</v>
      </c>
      <c r="E298" s="2">
        <v>2.0299999999999998</v>
      </c>
      <c r="F298" s="17">
        <f>$D$17</f>
        <v>0</v>
      </c>
      <c r="G298" s="79" t="str" cm="1">
        <f t="array" ref="G298">INDEX($G$288:$G$295,_xlfn.XMATCH(D298&amp;E298&amp;F298,$D$288:$D$295&amp;$E$288:$E$295&amp;$F$288:$F$295,0))</f>
        <v>44.02.06.0005</v>
      </c>
      <c r="H298" s="80" t="str">
        <f>_xlfn.XLOOKUP(G298,$G$288:$G$295,$H$288:$H$295)</f>
        <v>Domino - Girder - 50x2 - L1948 - 6Ø13 - 6M10 - Galvanized</v>
      </c>
    </row>
    <row r="299" spans="1:8">
      <c r="A299" s="2">
        <f>IF(B299&lt;&gt;"",SUM($B$128:B299),"")</f>
        <v>11</v>
      </c>
      <c r="B299" s="2">
        <f t="shared" si="11"/>
        <v>1</v>
      </c>
      <c r="C299" s="16">
        <f>IF(OR(D37=2,D37=3),(2+D18)*(D44+D46*2-D49),0)</f>
        <v>2</v>
      </c>
      <c r="D299" s="2">
        <v>0</v>
      </c>
      <c r="E299" s="2">
        <v>2.5299999999999998</v>
      </c>
      <c r="F299" s="17">
        <f t="shared" ref="F299:F301" si="14">$D$17</f>
        <v>0</v>
      </c>
      <c r="G299" s="79" t="str" cm="1">
        <f t="array" ref="G299">INDEX($G$288:$G$295,_xlfn.XMATCH(D299&amp;E299&amp;F299,$D$288:$D$295&amp;$E$288:$E$295&amp;$F$288:$F$295,0))</f>
        <v>44.02.06.0006</v>
      </c>
      <c r="H299" s="80" t="str">
        <f t="shared" ref="H299:H301" si="15">_xlfn.XLOOKUP(G299,$G$288:$G$295,$H$288:$H$295)</f>
        <v>Domino - Girder - 50x2 - L2448 - 6Ø13 - 6M10 - Galvanized</v>
      </c>
    </row>
    <row r="300" spans="1:8">
      <c r="A300" s="2" t="str">
        <f>IF(B300&lt;&gt;"",SUM($B$128:B300),"")</f>
        <v/>
      </c>
      <c r="B300" s="2" t="str">
        <f t="shared" si="11"/>
        <v/>
      </c>
      <c r="C300" s="16">
        <f>IF(OR(D37=2,D37=3),(2+D18)*D52*2,0)</f>
        <v>0</v>
      </c>
      <c r="D300" s="2">
        <v>1</v>
      </c>
      <c r="E300" s="2">
        <v>2.0299999999999998</v>
      </c>
      <c r="F300" s="17">
        <f t="shared" si="14"/>
        <v>0</v>
      </c>
      <c r="G300" s="79" t="str" cm="1">
        <f t="array" ref="G300">INDEX($G$288:$G$295,_xlfn.XMATCH(D300&amp;E300&amp;F300,$D$288:$D$295&amp;$E$288:$E$295&amp;$F$288:$F$295,0))</f>
        <v>44.02.06.0029</v>
      </c>
      <c r="H300" s="80" t="str">
        <f t="shared" si="15"/>
        <v xml:space="preserve">Domino - Girder - 50x2 - L293mm - 2Ø13 - 2M10 - Galvanized </v>
      </c>
    </row>
    <row r="301" spans="1:8">
      <c r="A301" s="2">
        <f>IF(B301&lt;&gt;"",SUM($B$128:B301),"")</f>
        <v>12</v>
      </c>
      <c r="B301" s="2">
        <f t="shared" si="11"/>
        <v>1</v>
      </c>
      <c r="C301" s="18">
        <f>IF(OR(D37=2,D37=3),(2+D18)*D53*2,0)</f>
        <v>4</v>
      </c>
      <c r="D301" s="19">
        <v>1</v>
      </c>
      <c r="E301" s="19">
        <v>2.5299999999999998</v>
      </c>
      <c r="F301" s="20">
        <f t="shared" si="14"/>
        <v>0</v>
      </c>
      <c r="G301" s="79" t="str" cm="1">
        <f t="array" ref="G301">INDEX($G$288:$G$295,_xlfn.XMATCH(D301&amp;E301&amp;F301,$D$288:$D$295&amp;$E$288:$E$295&amp;$F$288:$F$295,0))</f>
        <v>44.02.06.0030</v>
      </c>
      <c r="H301" s="80" t="str">
        <f t="shared" si="15"/>
        <v xml:space="preserve">Domino - Girder - 50x2 - L543mm - 2Ø13 - 2M10 - Galvanized </v>
      </c>
    </row>
    <row r="302" spans="1:8">
      <c r="A302" s="2" t="str">
        <f>IF(B302&lt;&gt;"",SUM($B$128:B302),"")</f>
        <v/>
      </c>
      <c r="B302" s="2" t="str">
        <f t="shared" si="11"/>
        <v/>
      </c>
    </row>
    <row r="303" spans="1:8">
      <c r="A303" s="2" t="str">
        <f>IF(B303&lt;&gt;"",SUM($B$128:B303),"")</f>
        <v/>
      </c>
      <c r="B303" s="2" t="str">
        <f t="shared" si="11"/>
        <v/>
      </c>
    </row>
    <row r="304" spans="1:8">
      <c r="A304" s="2" t="str">
        <f>IF(B304&lt;&gt;"",SUM($B$128:B304),"")</f>
        <v/>
      </c>
      <c r="B304" s="2" t="str">
        <f t="shared" si="11"/>
        <v/>
      </c>
    </row>
    <row r="305" spans="1:8">
      <c r="A305" s="2" t="str">
        <f>IF(B305&lt;&gt;"",SUM($B$128:B305),"")</f>
        <v/>
      </c>
      <c r="B305" s="2" t="str">
        <f t="shared" si="11"/>
        <v/>
      </c>
      <c r="C305" s="13"/>
      <c r="D305" s="14"/>
      <c r="E305" s="14"/>
      <c r="F305" s="15" t="s">
        <v>26</v>
      </c>
    </row>
    <row r="306" spans="1:8">
      <c r="A306" s="2" t="str">
        <f>IF(B306&lt;&gt;"",SUM($B$128:B306),"")</f>
        <v/>
      </c>
      <c r="B306" s="2" t="str">
        <f t="shared" si="11"/>
        <v/>
      </c>
      <c r="C306" s="16"/>
      <c r="F306" s="17">
        <v>0</v>
      </c>
      <c r="G306" s="79" t="s">
        <v>356</v>
      </c>
      <c r="H306" s="79" t="s">
        <v>357</v>
      </c>
    </row>
    <row r="307" spans="1:8">
      <c r="A307" s="2" t="str">
        <f>IF(B307&lt;&gt;"",SUM($B$128:B307),"")</f>
        <v/>
      </c>
      <c r="B307" s="2" t="str">
        <f t="shared" si="11"/>
        <v/>
      </c>
      <c r="C307" s="16"/>
      <c r="F307" s="17">
        <v>1</v>
      </c>
      <c r="G307" s="79" t="s">
        <v>358</v>
      </c>
      <c r="H307" s="79" t="s">
        <v>359</v>
      </c>
    </row>
    <row r="308" spans="1:8">
      <c r="A308" s="2" t="str">
        <f>IF(B308&lt;&gt;"",SUM($B$128:B308),"")</f>
        <v/>
      </c>
      <c r="B308" s="2" t="str">
        <f t="shared" si="11"/>
        <v/>
      </c>
      <c r="C308" s="16"/>
      <c r="F308" s="17"/>
      <c r="H308" s="79"/>
    </row>
    <row r="309" spans="1:8">
      <c r="A309" s="2" t="str">
        <f>IF(B309&lt;&gt;"",SUM($B$128:B309),"")</f>
        <v/>
      </c>
      <c r="B309" s="2" t="str">
        <f t="shared" si="11"/>
        <v/>
      </c>
      <c r="C309" s="16"/>
      <c r="F309" s="17"/>
    </row>
    <row r="310" spans="1:8">
      <c r="A310" s="2">
        <f>IF(B310&lt;&gt;"",SUM($B$128:B310),"")</f>
        <v>13</v>
      </c>
      <c r="B310" s="2">
        <f t="shared" si="11"/>
        <v>1</v>
      </c>
      <c r="C310" s="18">
        <f>IF(OR(D37=2,D37=3),2*(2+D18)*(D43+D44+D45*2+D46*2+D47*3-D48-D49+D52*2+D53*2),0)</f>
        <v>20</v>
      </c>
      <c r="D310" s="19"/>
      <c r="E310" s="19"/>
      <c r="F310" s="20">
        <f>$D$17</f>
        <v>0</v>
      </c>
      <c r="G310" s="79" t="str" cm="1">
        <f t="array" ref="G310">INDEX(G306:$G$307,_xlfn.XMATCH(F310,$F$306:$F$307,0))</f>
        <v>43.07.18.0001</v>
      </c>
      <c r="H310" s="80" t="str">
        <f>_xlfn.XLOOKUP(G310,$G$306:$G$307,$H$306:$H$307)</f>
        <v>Domino - Wall Connector - Galvanized</v>
      </c>
    </row>
    <row r="311" spans="1:8">
      <c r="A311" s="2" t="str">
        <f>IF(B311&lt;&gt;"",SUM($B$128:B311),"")</f>
        <v/>
      </c>
      <c r="B311" s="2" t="str">
        <f t="shared" si="11"/>
        <v/>
      </c>
    </row>
    <row r="312" spans="1:8">
      <c r="A312" s="2" t="str">
        <f>IF(B312&lt;&gt;"",SUM($B$128:B312),"")</f>
        <v/>
      </c>
      <c r="B312" s="2" t="str">
        <f t="shared" si="11"/>
        <v/>
      </c>
    </row>
    <row r="313" spans="1:8">
      <c r="A313" s="2" t="str">
        <f>IF(B313&lt;&gt;"",SUM($B$128:B313),"")</f>
        <v/>
      </c>
      <c r="B313" s="2" t="str">
        <f t="shared" si="11"/>
        <v/>
      </c>
    </row>
    <row r="314" spans="1:8">
      <c r="A314" s="2" t="str">
        <f>IF(B314&lt;&gt;"",SUM($B$128:B314),"")</f>
        <v/>
      </c>
      <c r="B314" s="2" t="str">
        <f t="shared" si="11"/>
        <v/>
      </c>
      <c r="C314" s="13"/>
      <c r="D314" s="14"/>
      <c r="E314" s="14"/>
      <c r="F314" s="15" t="s">
        <v>26</v>
      </c>
    </row>
    <row r="315" spans="1:8">
      <c r="A315" s="2" t="str">
        <f>IF(B315&lt;&gt;"",SUM($B$128:B315),"")</f>
        <v/>
      </c>
      <c r="B315" s="2" t="str">
        <f t="shared" si="11"/>
        <v/>
      </c>
      <c r="C315" s="16"/>
      <c r="F315" s="17">
        <v>0</v>
      </c>
      <c r="G315" s="79" t="s">
        <v>360</v>
      </c>
      <c r="H315" s="79" t="s">
        <v>361</v>
      </c>
    </row>
    <row r="316" spans="1:8">
      <c r="A316" s="2" t="str">
        <f>IF(B316&lt;&gt;"",SUM($B$128:B316),"")</f>
        <v/>
      </c>
      <c r="B316" s="2" t="str">
        <f t="shared" si="11"/>
        <v/>
      </c>
      <c r="C316" s="16"/>
      <c r="F316" s="17">
        <v>1</v>
      </c>
      <c r="G316" s="79" t="s">
        <v>362</v>
      </c>
      <c r="H316" s="79" t="s">
        <v>363</v>
      </c>
    </row>
    <row r="317" spans="1:8">
      <c r="A317" s="2" t="str">
        <f>IF(B317&lt;&gt;"",SUM($B$128:B317),"")</f>
        <v/>
      </c>
      <c r="B317" s="2" t="str">
        <f t="shared" si="11"/>
        <v/>
      </c>
      <c r="C317" s="16"/>
      <c r="F317" s="17"/>
      <c r="H317" s="79"/>
    </row>
    <row r="318" spans="1:8">
      <c r="A318" s="2" t="str">
        <f>IF(B318&lt;&gt;"",SUM($B$128:B318),"")</f>
        <v/>
      </c>
      <c r="B318" s="2" t="str">
        <f t="shared" si="11"/>
        <v/>
      </c>
      <c r="C318" s="16"/>
      <c r="F318" s="17"/>
    </row>
    <row r="319" spans="1:8">
      <c r="A319" s="2" t="str">
        <f>IF(B319&lt;&gt;"",SUM($B$128:B319),"")</f>
        <v/>
      </c>
      <c r="B319" s="2" t="str">
        <f t="shared" si="11"/>
        <v/>
      </c>
      <c r="C319" s="18">
        <f>IF(OR(D37=2,D37=3),D18*2*(D26-1)*D29,0)</f>
        <v>0</v>
      </c>
      <c r="D319" s="19"/>
      <c r="E319" s="19"/>
      <c r="F319" s="20">
        <f>$D$17</f>
        <v>0</v>
      </c>
      <c r="G319" s="79" t="str" cm="1">
        <f t="array" ref="G319">INDEX(G$315:$G316,_xlfn.XMATCH(F319,$F$315:$F$316,0))</f>
        <v>43.07.18.0013</v>
      </c>
      <c r="H319" s="80" t="str">
        <f>_xlfn.XLOOKUP(G319,$G$315:$G$316,$H$315:$H$316)</f>
        <v>Domino - Strut - 50x2 - Galvanized</v>
      </c>
    </row>
    <row r="320" spans="1:8">
      <c r="A320" s="2" t="str">
        <f>IF(B320&lt;&gt;"",SUM($B$128:B320),"")</f>
        <v/>
      </c>
      <c r="B320" s="2" t="str">
        <f t="shared" si="11"/>
        <v/>
      </c>
    </row>
    <row r="321" spans="1:14">
      <c r="A321" s="2" t="str">
        <f>IF(B321&lt;&gt;"",SUM($B$128:B321),"")</f>
        <v/>
      </c>
      <c r="B321" s="2" t="str">
        <f t="shared" ref="B321:B384" si="16">IF(C321&gt;0,1,"")</f>
        <v/>
      </c>
    </row>
    <row r="322" spans="1:14">
      <c r="A322" s="2" t="str">
        <f>IF(B322&lt;&gt;"",SUM($B$128:B322),"")</f>
        <v/>
      </c>
      <c r="B322" s="2" t="str">
        <f t="shared" si="16"/>
        <v/>
      </c>
    </row>
    <row r="323" spans="1:14">
      <c r="A323" s="2" t="str">
        <f>IF(B323&lt;&gt;"",SUM($B$128:B323),"")</f>
        <v/>
      </c>
      <c r="B323" s="2" t="str">
        <f t="shared" si="16"/>
        <v/>
      </c>
      <c r="C323" s="13"/>
      <c r="D323" s="14"/>
      <c r="E323" s="14" t="s">
        <v>234</v>
      </c>
      <c r="F323" s="15" t="s">
        <v>26</v>
      </c>
    </row>
    <row r="324" spans="1:14">
      <c r="A324" s="2" t="str">
        <f>IF(B324&lt;&gt;"",SUM($B$128:B324),"")</f>
        <v/>
      </c>
      <c r="B324" s="2" t="str">
        <f t="shared" si="16"/>
        <v/>
      </c>
      <c r="C324" s="16"/>
      <c r="E324" s="2">
        <v>2.0299999999999998</v>
      </c>
      <c r="F324" s="17">
        <v>0</v>
      </c>
      <c r="G324" s="79" t="s">
        <v>364</v>
      </c>
      <c r="H324" s="79" t="s">
        <v>365</v>
      </c>
      <c r="M324"/>
      <c r="N324"/>
    </row>
    <row r="325" spans="1:14">
      <c r="A325" s="2" t="str">
        <f>IF(B325&lt;&gt;"",SUM($B$128:B325),"")</f>
        <v/>
      </c>
      <c r="B325" s="2" t="str">
        <f t="shared" si="16"/>
        <v/>
      </c>
      <c r="C325" s="16"/>
      <c r="E325" s="2">
        <v>2.0299999999999998</v>
      </c>
      <c r="F325" s="17">
        <v>1</v>
      </c>
      <c r="G325" s="79" t="s">
        <v>366</v>
      </c>
      <c r="H325" s="79" t="s">
        <v>367</v>
      </c>
      <c r="M325"/>
      <c r="N325"/>
    </row>
    <row r="326" spans="1:14">
      <c r="A326" s="2" t="str">
        <f>IF(B326&lt;&gt;"",SUM($B$128:B326),"")</f>
        <v/>
      </c>
      <c r="B326" s="2" t="str">
        <f t="shared" si="16"/>
        <v/>
      </c>
      <c r="C326" s="16"/>
      <c r="E326" s="2">
        <v>2.5299999999999998</v>
      </c>
      <c r="F326" s="17">
        <v>0</v>
      </c>
      <c r="G326" s="79" t="s">
        <v>368</v>
      </c>
      <c r="H326" s="79" t="s">
        <v>369</v>
      </c>
      <c r="M326"/>
      <c r="N326"/>
    </row>
    <row r="327" spans="1:14">
      <c r="A327" s="2" t="str">
        <f>IF(B327&lt;&gt;"",SUM($B$128:B327),"")</f>
        <v/>
      </c>
      <c r="B327" s="2" t="str">
        <f t="shared" si="16"/>
        <v/>
      </c>
      <c r="C327" s="16"/>
      <c r="E327" s="2">
        <v>2.5299999999999998</v>
      </c>
      <c r="F327" s="17">
        <v>1</v>
      </c>
      <c r="G327" s="79" t="s">
        <v>370</v>
      </c>
      <c r="H327" s="79" t="s">
        <v>371</v>
      </c>
      <c r="M327"/>
      <c r="N327"/>
    </row>
    <row r="328" spans="1:14">
      <c r="A328" s="2" t="str">
        <f>IF(B328&lt;&gt;"",SUM($B$128:B328),"")</f>
        <v/>
      </c>
      <c r="B328" s="2" t="str">
        <f t="shared" si="16"/>
        <v/>
      </c>
      <c r="C328" s="16"/>
      <c r="F328" s="17"/>
    </row>
    <row r="329" spans="1:14">
      <c r="A329" s="2" t="str">
        <f>IF(B329&lt;&gt;"",SUM($B$128:B329),"")</f>
        <v/>
      </c>
      <c r="B329" s="2" t="str">
        <f t="shared" si="16"/>
        <v/>
      </c>
      <c r="C329" s="16"/>
      <c r="F329" s="17"/>
    </row>
    <row r="330" spans="1:14">
      <c r="A330" s="2" t="str">
        <f>IF(B330&lt;&gt;"",SUM($B$128:B330),"")</f>
        <v/>
      </c>
      <c r="B330" s="2" t="str">
        <f t="shared" si="16"/>
        <v/>
      </c>
      <c r="C330" s="16">
        <f>D62</f>
        <v>0</v>
      </c>
      <c r="E330" s="2">
        <v>2.0299999999999998</v>
      </c>
      <c r="F330" s="17">
        <f>$D$17</f>
        <v>0</v>
      </c>
      <c r="G330" s="79" t="str" cm="1">
        <f t="array" ref="G330">INDEX(G$324:$G327,_xlfn.XMATCH(E330&amp;F330,$E$324:$E$327&amp;$F$324:$F$327,0))</f>
        <v>43.07.18.0009</v>
      </c>
      <c r="H330" s="80" t="str">
        <f>_xlfn.XLOOKUP(G330,$G$324:$G$327,$H$324:$H$327)</f>
        <v>Domino - Brace - 50x2 - L3065 - Galvanized</v>
      </c>
    </row>
    <row r="331" spans="1:14">
      <c r="A331" s="2" t="str">
        <f>IF(B331&lt;&gt;"",SUM($B$128:B331),"")</f>
        <v/>
      </c>
      <c r="B331" s="2" t="str">
        <f t="shared" si="16"/>
        <v/>
      </c>
      <c r="C331" s="18">
        <f>D63</f>
        <v>0</v>
      </c>
      <c r="D331" s="19"/>
      <c r="E331" s="19">
        <v>2.5299999999999998</v>
      </c>
      <c r="F331" s="20">
        <f>$D$17</f>
        <v>0</v>
      </c>
      <c r="G331" s="79" t="str" cm="1">
        <f t="array" ref="G331">INDEX(G$324:$G327,_xlfn.XMATCH(E331&amp;F331,$E$324:$E$327&amp;$F$324:$F$327,0))</f>
        <v>43.07.18.0010</v>
      </c>
      <c r="H331" s="80" t="str">
        <f>_xlfn.XLOOKUP(G331,$G$324:$G$327,$H$324:$H$327)</f>
        <v>Domino - Brace - 50x2 - L3399 - Galvanized</v>
      </c>
    </row>
    <row r="332" spans="1:14">
      <c r="A332" s="2" t="str">
        <f>IF(B332&lt;&gt;"",SUM($B$128:B332),"")</f>
        <v/>
      </c>
      <c r="B332" s="2" t="str">
        <f t="shared" si="16"/>
        <v/>
      </c>
    </row>
    <row r="333" spans="1:14">
      <c r="A333" s="2" t="str">
        <f>IF(B333&lt;&gt;"",SUM($B$128:B333),"")</f>
        <v/>
      </c>
      <c r="B333" s="2" t="str">
        <f t="shared" si="16"/>
        <v/>
      </c>
    </row>
    <row r="334" spans="1:14">
      <c r="A334" s="2" t="str">
        <f>IF(B334&lt;&gt;"",SUM($B$128:B334),"")</f>
        <v/>
      </c>
      <c r="B334" s="2" t="str">
        <f t="shared" si="16"/>
        <v/>
      </c>
    </row>
    <row r="335" spans="1:14">
      <c r="A335" s="2" t="str">
        <f>IF(B335&lt;&gt;"",SUM($B$128:B335),"")</f>
        <v/>
      </c>
      <c r="B335" s="2" t="str">
        <f t="shared" si="16"/>
        <v/>
      </c>
      <c r="C335" s="13"/>
      <c r="D335" s="14"/>
      <c r="E335" s="14" t="s">
        <v>234</v>
      </c>
      <c r="F335" s="15" t="s">
        <v>26</v>
      </c>
    </row>
    <row r="336" spans="1:14">
      <c r="A336" s="2" t="str">
        <f>IF(B336&lt;&gt;"",SUM($B$128:B336),"")</f>
        <v/>
      </c>
      <c r="B336" s="2" t="str">
        <f t="shared" si="16"/>
        <v/>
      </c>
      <c r="C336" s="16"/>
      <c r="E336" s="2">
        <v>2.0299999999999998</v>
      </c>
      <c r="F336" s="17">
        <v>0</v>
      </c>
      <c r="G336" s="79" t="s">
        <v>372</v>
      </c>
      <c r="H336" s="79" t="s">
        <v>373</v>
      </c>
    </row>
    <row r="337" spans="1:8">
      <c r="A337" s="2" t="str">
        <f>IF(B337&lt;&gt;"",SUM($B$128:B337),"")</f>
        <v/>
      </c>
      <c r="B337" s="2" t="str">
        <f t="shared" si="16"/>
        <v/>
      </c>
      <c r="C337" s="16"/>
      <c r="E337" s="2">
        <v>2.5299999999999998</v>
      </c>
      <c r="F337" s="17">
        <v>0</v>
      </c>
      <c r="G337" s="79" t="s">
        <v>374</v>
      </c>
      <c r="H337" s="79" t="s">
        <v>375</v>
      </c>
    </row>
    <row r="338" spans="1:8">
      <c r="A338" s="2" t="str">
        <f>IF(B338&lt;&gt;"",SUM($B$128:B338),"")</f>
        <v/>
      </c>
      <c r="B338" s="2" t="str">
        <f t="shared" si="16"/>
        <v/>
      </c>
      <c r="C338" s="16"/>
      <c r="E338" s="2">
        <v>2.0299999999999998</v>
      </c>
      <c r="F338" s="17">
        <v>1</v>
      </c>
      <c r="G338" s="79" t="s">
        <v>376</v>
      </c>
      <c r="H338" s="79" t="s">
        <v>377</v>
      </c>
    </row>
    <row r="339" spans="1:8">
      <c r="A339" s="2" t="str">
        <f>IF(B339&lt;&gt;"",SUM($B$128:B339),"")</f>
        <v/>
      </c>
      <c r="B339" s="2" t="str">
        <f t="shared" si="16"/>
        <v/>
      </c>
      <c r="C339" s="16"/>
      <c r="E339" s="2">
        <v>2.5299999999999998</v>
      </c>
      <c r="F339" s="17">
        <v>1</v>
      </c>
      <c r="G339" s="79" t="s">
        <v>378</v>
      </c>
      <c r="H339" s="79" t="s">
        <v>379</v>
      </c>
    </row>
    <row r="340" spans="1:8">
      <c r="A340" s="2" t="str">
        <f>IF(B340&lt;&gt;"",SUM($B$128:B340),"")</f>
        <v/>
      </c>
      <c r="B340" s="2" t="str">
        <f t="shared" si="16"/>
        <v/>
      </c>
      <c r="C340" s="16"/>
      <c r="F340" s="17"/>
    </row>
    <row r="341" spans="1:8">
      <c r="A341" s="2" t="str">
        <f>IF(B341&lt;&gt;"",SUM($B$128:B341),"")</f>
        <v/>
      </c>
      <c r="B341" s="2" t="str">
        <f t="shared" si="16"/>
        <v/>
      </c>
      <c r="C341" s="16"/>
      <c r="F341" s="17"/>
    </row>
    <row r="342" spans="1:8">
      <c r="A342" s="2" t="str">
        <f>IF(B342&lt;&gt;"",SUM($B$128:B342),"")</f>
        <v/>
      </c>
      <c r="B342" s="2" t="str">
        <f t="shared" si="16"/>
        <v/>
      </c>
      <c r="C342" s="16">
        <f>D64</f>
        <v>0</v>
      </c>
      <c r="E342" s="2">
        <v>2.0299999999999998</v>
      </c>
      <c r="F342" s="17">
        <f>$D$17</f>
        <v>0</v>
      </c>
      <c r="G342" s="79" t="str" cm="1">
        <f t="array" ref="G342">INDEX($G$336:$G$339,_xlfn.XMATCH(E342&amp;F342,$E$336:$E$339&amp;$F$336:$F$339,0))</f>
        <v>43.07.18.0015</v>
      </c>
      <c r="H342" s="80" t="str">
        <f>_xlfn.XLOOKUP(G342,$G$336:$G$339,$H$336:$H$339)</f>
        <v>Domino - Brace - Flat 50x5 - L2262 - Galvanized</v>
      </c>
    </row>
    <row r="343" spans="1:8">
      <c r="A343" s="2" t="str">
        <f>IF(B343&lt;&gt;"",SUM($B$128:B343),"")</f>
        <v/>
      </c>
      <c r="B343" s="2" t="str">
        <f t="shared" si="16"/>
        <v/>
      </c>
      <c r="C343" s="18">
        <f>D65</f>
        <v>0</v>
      </c>
      <c r="D343" s="19"/>
      <c r="E343" s="19">
        <v>2.5299999999999998</v>
      </c>
      <c r="F343" s="20">
        <f>$D$17</f>
        <v>0</v>
      </c>
      <c r="G343" s="79" t="str" cm="1">
        <f t="array" ref="G343">INDEX($G$336:$G$339,_xlfn.XMATCH(E343&amp;F343,$E$336:$E$339&amp;$F$336:$F$339,0))</f>
        <v>43.07.18.0016</v>
      </c>
      <c r="H343" s="80" t="str">
        <f>_xlfn.XLOOKUP(G343,$G$336:$G$339,$H$336:$H$339)</f>
        <v>Domino - Brace - Flat 50x5 - L2699 - Galvanized</v>
      </c>
    </row>
    <row r="344" spans="1:8">
      <c r="A344" s="2" t="str">
        <f>IF(B344&lt;&gt;"",SUM($B$128:B344),"")</f>
        <v/>
      </c>
      <c r="B344" s="2" t="str">
        <f t="shared" si="16"/>
        <v/>
      </c>
    </row>
    <row r="345" spans="1:8">
      <c r="A345" s="2" t="str">
        <f>IF(B345&lt;&gt;"",SUM($B$128:B345),"")</f>
        <v/>
      </c>
      <c r="B345" s="2" t="str">
        <f t="shared" si="16"/>
        <v/>
      </c>
    </row>
    <row r="346" spans="1:8">
      <c r="A346" s="2" t="str">
        <f>IF(B346&lt;&gt;"",SUM($B$128:B346),"")</f>
        <v/>
      </c>
      <c r="B346" s="2" t="str">
        <f t="shared" si="16"/>
        <v/>
      </c>
    </row>
    <row r="347" spans="1:8">
      <c r="A347" s="2" t="str">
        <f>IF(B347&lt;&gt;"",SUM($B$128:B347),"")</f>
        <v/>
      </c>
      <c r="B347" s="2" t="str">
        <f t="shared" si="16"/>
        <v/>
      </c>
      <c r="C347" s="13"/>
      <c r="D347" s="14"/>
      <c r="E347" s="14"/>
      <c r="F347" s="15" t="s">
        <v>26</v>
      </c>
    </row>
    <row r="348" spans="1:8">
      <c r="A348" s="2" t="str">
        <f>IF(B348&lt;&gt;"",SUM($B$128:B348),"")</f>
        <v/>
      </c>
      <c r="B348" s="2" t="str">
        <f t="shared" si="16"/>
        <v/>
      </c>
      <c r="C348" s="16"/>
      <c r="F348" s="17">
        <v>0</v>
      </c>
      <c r="G348" s="79" t="s">
        <v>380</v>
      </c>
      <c r="H348" s="79" t="s">
        <v>381</v>
      </c>
    </row>
    <row r="349" spans="1:8">
      <c r="A349" s="2" t="str">
        <f>IF(B349&lt;&gt;"",SUM($B$128:B349),"")</f>
        <v/>
      </c>
      <c r="B349" s="2" t="str">
        <f t="shared" si="16"/>
        <v/>
      </c>
      <c r="C349" s="16"/>
      <c r="F349" s="17">
        <v>1</v>
      </c>
      <c r="G349" s="79" t="s">
        <v>382</v>
      </c>
      <c r="H349" s="79" t="s">
        <v>383</v>
      </c>
    </row>
    <row r="350" spans="1:8">
      <c r="A350" s="2" t="str">
        <f>IF(B350&lt;&gt;"",SUM($B$128:B350),"")</f>
        <v/>
      </c>
      <c r="B350" s="2" t="str">
        <f t="shared" si="16"/>
        <v/>
      </c>
      <c r="C350" s="16"/>
      <c r="F350" s="17"/>
    </row>
    <row r="351" spans="1:8">
      <c r="A351" s="2" t="str">
        <f>IF(B351&lt;&gt;"",SUM($B$128:B351),"")</f>
        <v/>
      </c>
      <c r="B351" s="2" t="str">
        <f t="shared" si="16"/>
        <v/>
      </c>
      <c r="C351" s="16"/>
      <c r="F351" s="17"/>
    </row>
    <row r="352" spans="1:8">
      <c r="A352" s="2" t="str">
        <f>IF(B352&lt;&gt;"",SUM($B$128:B352),"")</f>
        <v/>
      </c>
      <c r="B352" s="2" t="str">
        <f t="shared" si="16"/>
        <v/>
      </c>
      <c r="C352" s="18">
        <f>IF(OR(D37=2,D37=3),(D63+D62)*2+D18*2*(D26-1)*D29,0)</f>
        <v>0</v>
      </c>
      <c r="D352" s="19"/>
      <c r="E352" s="19"/>
      <c r="F352" s="20">
        <f>$D$17</f>
        <v>0</v>
      </c>
      <c r="G352" s="79" t="str" cm="1">
        <f t="array" ref="G352">INDEX($G$348:$G$349,_xlfn.XMATCH(F352,$F$348:$F$349,0))</f>
        <v>43.09.06.0017</v>
      </c>
      <c r="H352" s="80" t="str">
        <f>_xlfn.XLOOKUP(G352,$G$348:$G$349,$H$348:$H$349)</f>
        <v>Domino - Brace Connector - Galvanized</v>
      </c>
    </row>
    <row r="353" spans="1:8">
      <c r="A353" s="2" t="str">
        <f>IF(B353&lt;&gt;"",SUM($B$128:B353),"")</f>
        <v/>
      </c>
      <c r="B353" s="2" t="str">
        <f t="shared" si="16"/>
        <v/>
      </c>
    </row>
    <row r="354" spans="1:8">
      <c r="A354" s="2" t="str">
        <f>IF(B354&lt;&gt;"",SUM($B$128:B354),"")</f>
        <v/>
      </c>
      <c r="B354" s="2" t="str">
        <f t="shared" si="16"/>
        <v/>
      </c>
    </row>
    <row r="355" spans="1:8">
      <c r="A355" s="2" t="str">
        <f>IF(B355&lt;&gt;"",SUM($B$128:B355),"")</f>
        <v/>
      </c>
      <c r="B355" s="2" t="str">
        <f t="shared" si="16"/>
        <v/>
      </c>
    </row>
    <row r="356" spans="1:8">
      <c r="A356" s="2" t="str">
        <f>IF(B356&lt;&gt;"",SUM($B$128:B356),"")</f>
        <v/>
      </c>
      <c r="B356" s="2" t="str">
        <f t="shared" si="16"/>
        <v/>
      </c>
      <c r="C356" s="13"/>
      <c r="D356" s="14"/>
      <c r="E356" s="14" t="s">
        <v>29</v>
      </c>
      <c r="F356" s="15" t="s">
        <v>26</v>
      </c>
    </row>
    <row r="357" spans="1:8">
      <c r="A357" s="2" t="str">
        <f>IF(B357&lt;&gt;"",SUM($B$128:B357),"")</f>
        <v/>
      </c>
      <c r="B357" s="2" t="str">
        <f t="shared" si="16"/>
        <v/>
      </c>
      <c r="C357" s="16"/>
      <c r="E357" s="2">
        <v>0</v>
      </c>
      <c r="F357" s="17">
        <v>0</v>
      </c>
      <c r="G357" s="79" t="s">
        <v>384</v>
      </c>
      <c r="H357" s="79" t="s">
        <v>385</v>
      </c>
    </row>
    <row r="358" spans="1:8">
      <c r="A358" s="2" t="str">
        <f>IF(B358&lt;&gt;"",SUM($B$128:B358),"")</f>
        <v/>
      </c>
      <c r="B358" s="2" t="str">
        <f t="shared" si="16"/>
        <v/>
      </c>
      <c r="C358" s="16"/>
      <c r="E358" s="2">
        <v>1</v>
      </c>
      <c r="F358" s="17">
        <v>0</v>
      </c>
      <c r="G358" s="79" t="s">
        <v>386</v>
      </c>
      <c r="H358" s="79" t="s">
        <v>387</v>
      </c>
    </row>
    <row r="359" spans="1:8">
      <c r="A359" s="2" t="str">
        <f>IF(B359&lt;&gt;"",SUM($B$128:B359),"")</f>
        <v/>
      </c>
      <c r="B359" s="2" t="str">
        <f t="shared" si="16"/>
        <v/>
      </c>
      <c r="C359" s="16"/>
      <c r="E359" s="2">
        <v>0</v>
      </c>
      <c r="F359" s="17">
        <v>1</v>
      </c>
      <c r="G359" s="79" t="s">
        <v>388</v>
      </c>
      <c r="H359" s="79" t="s">
        <v>389</v>
      </c>
    </row>
    <row r="360" spans="1:8">
      <c r="A360" s="2" t="str">
        <f>IF(B360&lt;&gt;"",SUM($B$128:B360),"")</f>
        <v/>
      </c>
      <c r="B360" s="2" t="str">
        <f t="shared" si="16"/>
        <v/>
      </c>
      <c r="C360" s="16"/>
      <c r="E360" s="2">
        <v>1</v>
      </c>
      <c r="F360" s="17">
        <v>1</v>
      </c>
      <c r="G360" s="79" t="s">
        <v>390</v>
      </c>
      <c r="H360" s="79" t="s">
        <v>391</v>
      </c>
    </row>
    <row r="361" spans="1:8">
      <c r="A361" s="2" t="str">
        <f>IF(B361&lt;&gt;"",SUM($B$128:B361),"")</f>
        <v/>
      </c>
      <c r="B361" s="2" t="str">
        <f t="shared" si="16"/>
        <v/>
      </c>
      <c r="C361" s="16"/>
      <c r="F361" s="17"/>
    </row>
    <row r="362" spans="1:8">
      <c r="A362" s="2" t="str">
        <f>IF(B362&lt;&gt;"",SUM($B$128:B362),"")</f>
        <v/>
      </c>
      <c r="B362" s="2" t="str">
        <f t="shared" si="16"/>
        <v/>
      </c>
      <c r="C362" s="16"/>
      <c r="F362" s="17"/>
    </row>
    <row r="363" spans="1:8">
      <c r="A363" s="2">
        <f>IF(B363&lt;&gt;"",SUM($B$128:B363),"")</f>
        <v>14</v>
      </c>
      <c r="B363" s="2">
        <f t="shared" si="16"/>
        <v>1</v>
      </c>
      <c r="C363" s="18">
        <f>(D52+D53)*2</f>
        <v>2</v>
      </c>
      <c r="D363" s="19"/>
      <c r="E363" s="19">
        <f>$D$18</f>
        <v>0</v>
      </c>
      <c r="F363" s="20">
        <f>$D$17</f>
        <v>0</v>
      </c>
      <c r="G363" s="79" t="str" cm="1">
        <f t="array" ref="G363">INDEX($G$357:$G$360,MATCH(E363&amp;F363,$E$357:$E$360&amp;$F$357:$F$360,0))</f>
        <v>43.06.14.0049</v>
      </c>
      <c r="H363" s="80" t="str">
        <f>_xlfn.XLOOKUP(G363,$G$357:$G$360,$H$357:$H$360)</f>
        <v>Domino - Gate Column - 80x60x3 - L2260 - Galvanized</v>
      </c>
    </row>
    <row r="364" spans="1:8">
      <c r="A364" s="2" t="str">
        <f>IF(B364&lt;&gt;"",SUM($B$128:B364),"")</f>
        <v/>
      </c>
      <c r="B364" s="2" t="str">
        <f t="shared" si="16"/>
        <v/>
      </c>
    </row>
    <row r="365" spans="1:8">
      <c r="A365" s="2" t="str">
        <f>IF(B365&lt;&gt;"",SUM($B$128:B365),"")</f>
        <v/>
      </c>
      <c r="B365" s="2" t="str">
        <f t="shared" si="16"/>
        <v/>
      </c>
    </row>
    <row r="366" spans="1:8">
      <c r="A366" s="2" t="str">
        <f>IF(B366&lt;&gt;"",SUM($B$128:B366),"")</f>
        <v/>
      </c>
      <c r="B366" s="2" t="str">
        <f t="shared" si="16"/>
        <v/>
      </c>
    </row>
    <row r="367" spans="1:8">
      <c r="A367" s="2" t="str">
        <f>IF(B367&lt;&gt;"",SUM($B$128:B367),"")</f>
        <v/>
      </c>
      <c r="B367" s="2" t="str">
        <f t="shared" si="16"/>
        <v/>
      </c>
      <c r="C367" s="13"/>
      <c r="D367" s="14" t="s">
        <v>214</v>
      </c>
      <c r="E367" s="14" t="s">
        <v>29</v>
      </c>
      <c r="F367" s="15" t="s">
        <v>26</v>
      </c>
    </row>
    <row r="368" spans="1:8">
      <c r="A368" s="2" t="str">
        <f>IF(B368&lt;&gt;"",SUM($B$128:B368),"")</f>
        <v/>
      </c>
      <c r="B368" s="2" t="str">
        <f t="shared" si="16"/>
        <v/>
      </c>
      <c r="C368" s="16"/>
      <c r="D368" s="2">
        <v>930</v>
      </c>
      <c r="E368" s="2">
        <v>0</v>
      </c>
      <c r="F368" s="17">
        <v>0</v>
      </c>
      <c r="G368" s="79" t="s">
        <v>392</v>
      </c>
      <c r="H368" s="79" t="s">
        <v>393</v>
      </c>
    </row>
    <row r="369" spans="1:8">
      <c r="A369" s="2" t="str">
        <f>IF(B369&lt;&gt;"",SUM($B$128:B369),"")</f>
        <v/>
      </c>
      <c r="B369" s="2" t="str">
        <f t="shared" si="16"/>
        <v/>
      </c>
      <c r="C369" s="16"/>
      <c r="D369" s="2">
        <v>930</v>
      </c>
      <c r="E369" s="2">
        <v>1</v>
      </c>
      <c r="F369" s="17">
        <v>0</v>
      </c>
      <c r="G369" s="79" t="s">
        <v>394</v>
      </c>
      <c r="H369" s="79" t="s">
        <v>395</v>
      </c>
    </row>
    <row r="370" spans="1:8">
      <c r="A370" s="2" t="str">
        <f>IF(B370&lt;&gt;"",SUM($B$128:B370),"")</f>
        <v/>
      </c>
      <c r="B370" s="2" t="str">
        <f t="shared" si="16"/>
        <v/>
      </c>
      <c r="C370" s="16"/>
      <c r="D370" s="2">
        <v>1180</v>
      </c>
      <c r="E370" s="2">
        <v>0</v>
      </c>
      <c r="F370" s="17">
        <v>0</v>
      </c>
      <c r="G370" s="79" t="s">
        <v>396</v>
      </c>
      <c r="H370" s="79" t="s">
        <v>397</v>
      </c>
    </row>
    <row r="371" spans="1:8">
      <c r="A371" s="2" t="str">
        <f>IF(B371&lt;&gt;"",SUM($B$128:B371),"")</f>
        <v/>
      </c>
      <c r="B371" s="2" t="str">
        <f t="shared" si="16"/>
        <v/>
      </c>
      <c r="C371" s="16"/>
      <c r="D371" s="2">
        <v>1180</v>
      </c>
      <c r="E371" s="2">
        <v>1</v>
      </c>
      <c r="F371" s="17">
        <v>0</v>
      </c>
      <c r="G371" s="79" t="s">
        <v>398</v>
      </c>
      <c r="H371" s="79" t="s">
        <v>399</v>
      </c>
    </row>
    <row r="372" spans="1:8">
      <c r="A372" s="2" t="str">
        <f>IF(B372&lt;&gt;"",SUM($B$128:B372),"")</f>
        <v/>
      </c>
      <c r="B372" s="2" t="str">
        <f t="shared" si="16"/>
        <v/>
      </c>
      <c r="C372" s="16"/>
      <c r="D372" s="2">
        <v>930</v>
      </c>
      <c r="E372" s="2">
        <v>0</v>
      </c>
      <c r="F372" s="17">
        <v>1</v>
      </c>
      <c r="G372" s="79" t="s">
        <v>400</v>
      </c>
      <c r="H372" s="79" t="s">
        <v>401</v>
      </c>
    </row>
    <row r="373" spans="1:8">
      <c r="A373" s="2" t="str">
        <f>IF(B373&lt;&gt;"",SUM($B$128:B373),"")</f>
        <v/>
      </c>
      <c r="B373" s="2" t="str">
        <f t="shared" si="16"/>
        <v/>
      </c>
      <c r="C373" s="16"/>
      <c r="D373" s="2">
        <v>930</v>
      </c>
      <c r="E373" s="2">
        <v>1</v>
      </c>
      <c r="F373" s="17">
        <v>1</v>
      </c>
      <c r="G373" s="79" t="s">
        <v>402</v>
      </c>
      <c r="H373" s="79" t="s">
        <v>403</v>
      </c>
    </row>
    <row r="374" spans="1:8">
      <c r="A374" s="2" t="str">
        <f>IF(B374&lt;&gt;"",SUM($B$128:B374),"")</f>
        <v/>
      </c>
      <c r="B374" s="2" t="str">
        <f t="shared" si="16"/>
        <v/>
      </c>
      <c r="C374" s="16"/>
      <c r="D374" s="2">
        <v>1180</v>
      </c>
      <c r="E374" s="2">
        <v>0</v>
      </c>
      <c r="F374" s="17">
        <v>1</v>
      </c>
      <c r="G374" s="79" t="s">
        <v>404</v>
      </c>
      <c r="H374" s="79" t="s">
        <v>405</v>
      </c>
    </row>
    <row r="375" spans="1:8">
      <c r="A375" s="2" t="str">
        <f>IF(B375&lt;&gt;"",SUM($B$128:B375),"")</f>
        <v/>
      </c>
      <c r="B375" s="2" t="str">
        <f t="shared" si="16"/>
        <v/>
      </c>
      <c r="C375" s="16"/>
      <c r="D375" s="2">
        <v>1180</v>
      </c>
      <c r="E375" s="2">
        <v>1</v>
      </c>
      <c r="F375" s="17">
        <v>1</v>
      </c>
      <c r="G375" s="79" t="s">
        <v>406</v>
      </c>
      <c r="H375" s="79" t="s">
        <v>407</v>
      </c>
    </row>
    <row r="376" spans="1:8">
      <c r="A376" s="2" t="str">
        <f>IF(B376&lt;&gt;"",SUM($B$128:B376),"")</f>
        <v/>
      </c>
      <c r="B376" s="2" t="str">
        <f t="shared" si="16"/>
        <v/>
      </c>
      <c r="C376" s="16"/>
      <c r="F376" s="17"/>
      <c r="H376" s="79"/>
    </row>
    <row r="377" spans="1:8">
      <c r="A377" s="2" t="str">
        <f>IF(B377&lt;&gt;"",SUM($B$128:B377),"")</f>
        <v/>
      </c>
      <c r="B377" s="2" t="str">
        <f t="shared" si="16"/>
        <v/>
      </c>
      <c r="C377" s="16"/>
      <c r="F377" s="17"/>
      <c r="H377" s="79"/>
    </row>
    <row r="378" spans="1:8">
      <c r="A378" s="2" t="str">
        <f>IF(B378&lt;&gt;"",SUM($B$128:B378),"")</f>
        <v/>
      </c>
      <c r="B378" s="2" t="str">
        <f t="shared" si="16"/>
        <v/>
      </c>
      <c r="C378" s="16">
        <f>D54*2</f>
        <v>0</v>
      </c>
      <c r="D378" s="2">
        <v>930</v>
      </c>
      <c r="E378" s="2">
        <f>$D$18</f>
        <v>0</v>
      </c>
      <c r="F378" s="17">
        <f>$D$17</f>
        <v>0</v>
      </c>
      <c r="G378" s="79" t="str" cm="1">
        <f t="array" ref="G378">INDEX($G$368:$G$375,MATCH(D378&amp;E378&amp;F378,$D$368:$D$375&amp;$E$368:$E$375&amp;$F$368:$F$375,0))</f>
        <v>43.32.03.0052</v>
      </c>
      <c r="H378" s="79" t="str">
        <f>_xlfn.XLOOKUP(G378,$G$368:$G$375,$H$368:$H$375)</f>
        <v>Domino - Gate Frame - W930 - H2030 - Galvanized</v>
      </c>
    </row>
    <row r="379" spans="1:8">
      <c r="A379" s="2">
        <f>IF(B379&lt;&gt;"",SUM($B$128:B379),"")</f>
        <v>15</v>
      </c>
      <c r="B379" s="2">
        <f t="shared" si="16"/>
        <v>1</v>
      </c>
      <c r="C379" s="18">
        <f>D52+D53+2*D55</f>
        <v>1</v>
      </c>
      <c r="D379" s="19">
        <v>1180</v>
      </c>
      <c r="E379" s="19">
        <f>$D$18</f>
        <v>0</v>
      </c>
      <c r="F379" s="20">
        <f>$D$17</f>
        <v>0</v>
      </c>
      <c r="G379" s="79" t="str" cm="1">
        <f t="array" ref="G379">INDEX($G$368:$G$375,MATCH(D379&amp;E379&amp;F379,$D$368:$D$375&amp;$E$368:$E$375&amp;$F$368:$F$375,0))</f>
        <v>43.32.03.0054</v>
      </c>
      <c r="H379" s="79" t="str">
        <f>_xlfn.XLOOKUP(G379,$G$368:$G$375,$H$368:$H$375)</f>
        <v>Domino - Gate Frame - W1180 - H2030 - Galvanized</v>
      </c>
    </row>
    <row r="380" spans="1:8">
      <c r="A380" s="2" t="str">
        <f>IF(B380&lt;&gt;"",SUM($B$128:B380),"")</f>
        <v/>
      </c>
      <c r="B380" s="2" t="str">
        <f t="shared" si="16"/>
        <v/>
      </c>
    </row>
    <row r="381" spans="1:8">
      <c r="A381" s="2" t="str">
        <f>IF(B381&lt;&gt;"",SUM($B$128:B381),"")</f>
        <v/>
      </c>
      <c r="B381" s="2" t="str">
        <f t="shared" si="16"/>
        <v/>
      </c>
    </row>
    <row r="382" spans="1:8">
      <c r="A382" s="2" t="str">
        <f>IF(B382&lt;&gt;"",SUM($B$128:B382),"")</f>
        <v/>
      </c>
      <c r="B382" s="2" t="str">
        <f t="shared" si="16"/>
        <v/>
      </c>
    </row>
    <row r="383" spans="1:8">
      <c r="A383" s="2" t="str">
        <f>IF(B383&lt;&gt;"",SUM($B$128:B383),"")</f>
        <v/>
      </c>
      <c r="B383" s="2" t="str">
        <f t="shared" si="16"/>
        <v/>
      </c>
      <c r="C383" s="13"/>
      <c r="D383" s="14"/>
      <c r="E383" s="14"/>
      <c r="F383" s="15" t="s">
        <v>26</v>
      </c>
    </row>
    <row r="384" spans="1:8">
      <c r="A384" s="2" t="str">
        <f>IF(B384&lt;&gt;"",SUM($B$128:B384),"")</f>
        <v/>
      </c>
      <c r="B384" s="2" t="str">
        <f t="shared" si="16"/>
        <v/>
      </c>
      <c r="C384" s="16"/>
      <c r="F384" s="17">
        <v>0</v>
      </c>
      <c r="G384" s="79" t="s">
        <v>408</v>
      </c>
      <c r="H384" s="79" t="s">
        <v>409</v>
      </c>
    </row>
    <row r="385" spans="1:8">
      <c r="A385" s="2" t="str">
        <f>IF(B385&lt;&gt;"",SUM($B$128:B385),"")</f>
        <v/>
      </c>
      <c r="B385" s="2" t="str">
        <f t="shared" ref="B385:B455" si="17">IF(C385&gt;0,1,"")</f>
        <v/>
      </c>
      <c r="C385" s="16"/>
      <c r="F385" s="17">
        <v>1</v>
      </c>
      <c r="G385" s="79" t="s">
        <v>410</v>
      </c>
      <c r="H385" s="79" t="s">
        <v>411</v>
      </c>
    </row>
    <row r="386" spans="1:8">
      <c r="A386" s="2" t="str">
        <f>IF(B386&lt;&gt;"",SUM($B$128:B386),"")</f>
        <v/>
      </c>
      <c r="B386" s="2" t="str">
        <f t="shared" si="17"/>
        <v/>
      </c>
      <c r="C386" s="16"/>
      <c r="F386" s="17"/>
      <c r="H386" s="79"/>
    </row>
    <row r="387" spans="1:8">
      <c r="A387" s="2" t="str">
        <f>IF(B387&lt;&gt;"",SUM($B$128:B387),"")</f>
        <v/>
      </c>
      <c r="B387" s="2" t="str">
        <f t="shared" si="17"/>
        <v/>
      </c>
      <c r="C387" s="16"/>
      <c r="F387" s="17"/>
      <c r="H387" s="79"/>
    </row>
    <row r="388" spans="1:8">
      <c r="A388" s="2">
        <f>IF(B388&lt;&gt;"",SUM($B$128:B388),"")</f>
        <v>16</v>
      </c>
      <c r="B388" s="2">
        <f t="shared" si="17"/>
        <v>1</v>
      </c>
      <c r="C388" s="18">
        <f>(D52+D53)*2+(D54+D55)*4</f>
        <v>2</v>
      </c>
      <c r="D388" s="19"/>
      <c r="E388" s="19"/>
      <c r="F388" s="20">
        <f>$D$17</f>
        <v>0</v>
      </c>
      <c r="G388" s="79" t="str" cm="1">
        <f t="array" ref="G388">INDEX($G$384:$G$385,_xlfn.XMATCH(F388,$F$384:$F$385,0))</f>
        <v>43.32.03.0048</v>
      </c>
      <c r="H388" s="79" t="str">
        <f>_xlfn.XLOOKUP(G388,$G$384:$G$385,$H$384:$H$385)</f>
        <v xml:space="preserve">Domino - Hinge Bracket - Galvanized  </v>
      </c>
    </row>
    <row r="389" spans="1:8">
      <c r="A389" s="2" t="str">
        <f>IF(B389&lt;&gt;"",SUM($B$128:B389),"")</f>
        <v/>
      </c>
      <c r="B389" s="2" t="str">
        <f t="shared" si="17"/>
        <v/>
      </c>
      <c r="H389" s="79"/>
    </row>
    <row r="390" spans="1:8">
      <c r="A390" s="2" t="str">
        <f>IF(B390&lt;&gt;"",SUM($B$128:B390),"")</f>
        <v/>
      </c>
      <c r="B390" s="2" t="str">
        <f t="shared" si="17"/>
        <v/>
      </c>
      <c r="H390" s="79"/>
    </row>
    <row r="391" spans="1:8">
      <c r="A391" s="2" t="str">
        <f>IF(B391&lt;&gt;"",SUM($B$128:B391),"")</f>
        <v/>
      </c>
      <c r="B391" s="2" t="str">
        <f t="shared" si="17"/>
        <v/>
      </c>
      <c r="H391" s="79"/>
    </row>
    <row r="392" spans="1:8">
      <c r="A392" s="2" t="str">
        <f>IF(B392&lt;&gt;"",SUM($B$128:B392),"")</f>
        <v/>
      </c>
      <c r="B392" s="2" t="str">
        <f t="shared" si="17"/>
        <v/>
      </c>
      <c r="C392" s="13"/>
      <c r="D392" s="14"/>
      <c r="E392" s="14"/>
      <c r="F392" s="15" t="s">
        <v>26</v>
      </c>
      <c r="H392" s="79"/>
    </row>
    <row r="393" spans="1:8">
      <c r="A393" s="2" t="str">
        <f>IF(B393&lt;&gt;"",SUM($B$128:B393),"")</f>
        <v/>
      </c>
      <c r="B393" s="2" t="str">
        <f t="shared" si="17"/>
        <v/>
      </c>
      <c r="C393" s="16"/>
      <c r="F393" s="17">
        <v>0</v>
      </c>
      <c r="G393" s="79" t="s">
        <v>412</v>
      </c>
      <c r="H393" s="79" t="s">
        <v>413</v>
      </c>
    </row>
    <row r="394" spans="1:8">
      <c r="A394" s="2" t="str">
        <f>IF(B394&lt;&gt;"",SUM($B$128:B394),"")</f>
        <v/>
      </c>
      <c r="B394" s="2" t="str">
        <f t="shared" si="17"/>
        <v/>
      </c>
      <c r="C394" s="16"/>
      <c r="F394" s="17">
        <v>1</v>
      </c>
      <c r="G394" s="79" t="s">
        <v>414</v>
      </c>
      <c r="H394" s="79" t="s">
        <v>415</v>
      </c>
    </row>
    <row r="395" spans="1:8">
      <c r="A395" s="2" t="str">
        <f>IF(B395&lt;&gt;"",SUM($B$128:B395),"")</f>
        <v/>
      </c>
      <c r="B395" s="2" t="str">
        <f t="shared" si="17"/>
        <v/>
      </c>
      <c r="C395" s="16"/>
      <c r="F395" s="17"/>
      <c r="H395" s="79"/>
    </row>
    <row r="396" spans="1:8">
      <c r="A396" s="2" t="str">
        <f>IF(B396&lt;&gt;"",SUM($B$128:B396),"")</f>
        <v/>
      </c>
      <c r="B396" s="2" t="str">
        <f t="shared" si="17"/>
        <v/>
      </c>
      <c r="C396" s="16"/>
      <c r="F396" s="17"/>
      <c r="H396" s="79"/>
    </row>
    <row r="397" spans="1:8">
      <c r="A397" s="2">
        <f>IF(B397&lt;&gt;"",SUM($B$128:B397),"")</f>
        <v>17</v>
      </c>
      <c r="B397" s="2">
        <f t="shared" si="17"/>
        <v>1</v>
      </c>
      <c r="C397" s="18">
        <f>(D52+D53)*2+(D54+D55)*4</f>
        <v>2</v>
      </c>
      <c r="D397" s="19"/>
      <c r="E397" s="19"/>
      <c r="F397" s="20">
        <f>$D$17</f>
        <v>0</v>
      </c>
      <c r="G397" s="79" t="str" cm="1">
        <f t="array" ref="G397">INDEX($G$393:$G$394,_xlfn.XMATCH(F397,$F$393:$F$394,0))</f>
        <v>43.32.03.0050</v>
      </c>
      <c r="H397" s="79" t="str">
        <f>_xlfn.XLOOKUP(G397,$G$393:$G$394,$H$393:$H$394)</f>
        <v xml:space="preserve">Domino - Hinge L-Profile - Galvanized </v>
      </c>
    </row>
    <row r="398" spans="1:8">
      <c r="A398" s="2" t="str">
        <f>IF(B398&lt;&gt;"",SUM($B$128:B398),"")</f>
        <v/>
      </c>
      <c r="B398" s="2" t="str">
        <f t="shared" si="17"/>
        <v/>
      </c>
      <c r="H398" s="79"/>
    </row>
    <row r="399" spans="1:8">
      <c r="A399" s="2" t="str">
        <f>IF(B399&lt;&gt;"",SUM($B$128:B399),"")</f>
        <v/>
      </c>
      <c r="B399" s="2" t="str">
        <f t="shared" si="17"/>
        <v/>
      </c>
      <c r="H399" s="79"/>
    </row>
    <row r="400" spans="1:8">
      <c r="A400" s="2" t="str">
        <f>IF(B400&lt;&gt;"",SUM($B$128:B400),"")</f>
        <v/>
      </c>
      <c r="B400" s="2" t="str">
        <f t="shared" si="17"/>
        <v/>
      </c>
      <c r="H400" s="79"/>
    </row>
    <row r="401" spans="1:14">
      <c r="A401" s="2" t="str">
        <f>IF(B401&lt;&gt;"",SUM($B$128:B401),"")</f>
        <v/>
      </c>
      <c r="B401" s="2" t="str">
        <f t="shared" si="17"/>
        <v/>
      </c>
      <c r="C401" s="13"/>
      <c r="D401" s="14"/>
      <c r="E401" s="14"/>
      <c r="F401" s="15"/>
      <c r="H401" s="79"/>
    </row>
    <row r="402" spans="1:14">
      <c r="A402" s="2">
        <f>IF(B402&lt;&gt;"",SUM($B$128:B402),"")</f>
        <v>18</v>
      </c>
      <c r="B402" s="2">
        <f t="shared" si="17"/>
        <v>1</v>
      </c>
      <c r="C402" s="16">
        <f>(D52+D53+D54+D55)*IF(D57=1,1,0)</f>
        <v>1</v>
      </c>
      <c r="F402" s="17"/>
      <c r="G402" s="79" t="s">
        <v>416</v>
      </c>
      <c r="H402" s="79" t="s">
        <v>417</v>
      </c>
      <c r="M402" s="79"/>
      <c r="N402" s="79"/>
    </row>
    <row r="403" spans="1:14">
      <c r="A403" s="2">
        <f>IF(B403&lt;&gt;"",SUM($B$128:B403),"")</f>
        <v>19</v>
      </c>
      <c r="B403" s="2">
        <f t="shared" si="17"/>
        <v>1</v>
      </c>
      <c r="C403" s="16">
        <f>(D52+D53)*2+(D54+D55)*4</f>
        <v>2</v>
      </c>
      <c r="F403" s="17"/>
      <c r="G403" s="79" t="s">
        <v>418</v>
      </c>
      <c r="H403" s="79" t="s">
        <v>419</v>
      </c>
      <c r="M403" s="79"/>
      <c r="N403" s="79"/>
    </row>
    <row r="404" spans="1:14">
      <c r="A404" s="2" t="str">
        <f>IF(B404&lt;&gt;"",SUM($B$128:B404),"")</f>
        <v/>
      </c>
      <c r="B404" s="2" t="str">
        <f t="shared" si="17"/>
        <v/>
      </c>
      <c r="C404" s="16">
        <f>(D54+D55)*IF(OR(D57=1,D57=2,D57=3),1,0)</f>
        <v>0</v>
      </c>
      <c r="F404" s="17"/>
      <c r="G404" s="79" t="s">
        <v>420</v>
      </c>
      <c r="H404" s="79" t="s">
        <v>421</v>
      </c>
      <c r="M404" s="79"/>
      <c r="N404" s="79"/>
    </row>
    <row r="405" spans="1:14">
      <c r="A405" s="2">
        <f>IF(B405&lt;&gt;"",SUM($B$128:B405),"")</f>
        <v>20</v>
      </c>
      <c r="B405" s="2">
        <f t="shared" si="17"/>
        <v>1</v>
      </c>
      <c r="C405" s="16">
        <f>(D52+D53+D54+D55)*IF(D57=1,1,0)</f>
        <v>1</v>
      </c>
      <c r="F405" s="17"/>
      <c r="G405" s="79" t="s">
        <v>422</v>
      </c>
      <c r="H405" s="79" t="s">
        <v>423</v>
      </c>
      <c r="M405" s="79"/>
      <c r="N405" s="79"/>
    </row>
    <row r="406" spans="1:14">
      <c r="A406" s="2" t="str">
        <f>IF(B406&lt;&gt;"",SUM($B$128:B406),"")</f>
        <v/>
      </c>
      <c r="B406" s="2" t="str">
        <f t="shared" si="17"/>
        <v/>
      </c>
      <c r="C406" s="16">
        <f>(D54+D55)*IF(OR(D57=1,D57=2,D57=3),1,0)</f>
        <v>0</v>
      </c>
      <c r="F406" s="17"/>
      <c r="G406" s="79" t="s">
        <v>424</v>
      </c>
      <c r="H406" s="79" t="s">
        <v>425</v>
      </c>
    </row>
    <row r="407" spans="1:14">
      <c r="A407" s="2">
        <f>IF(B407&lt;&gt;"",SUM($B$128:B407),"")</f>
        <v>21</v>
      </c>
      <c r="B407" s="2">
        <f t="shared" si="17"/>
        <v>1</v>
      </c>
      <c r="C407" s="16">
        <f>(D52+D53+D54+D55)*IF(OR(D57=1,D57=2,D57=3),1,0)</f>
        <v>1</v>
      </c>
      <c r="F407" s="17"/>
      <c r="G407" s="79" t="s">
        <v>426</v>
      </c>
      <c r="H407" s="79" t="s">
        <v>427</v>
      </c>
    </row>
    <row r="408" spans="1:14">
      <c r="A408" s="2">
        <f>IF(B408&lt;&gt;"",SUM($B$128:B408),"")</f>
        <v>22</v>
      </c>
      <c r="B408" s="2">
        <f t="shared" si="17"/>
        <v>1</v>
      </c>
      <c r="C408" s="16">
        <f>(D52+D53+D54+D55)*IF(OR(D57=1,D57=2,D57=3),1,0)</f>
        <v>1</v>
      </c>
      <c r="F408" s="17"/>
      <c r="G408" s="79" t="s">
        <v>428</v>
      </c>
      <c r="H408" s="79" t="s">
        <v>429</v>
      </c>
    </row>
    <row r="409" spans="1:14">
      <c r="A409" s="2" t="str">
        <f>IF(B409&lt;&gt;"",SUM($B$128:B409),"")</f>
        <v/>
      </c>
      <c r="B409" s="2" t="str">
        <f t="shared" si="17"/>
        <v/>
      </c>
      <c r="C409" s="16">
        <f>(D52+D53+D54+D55)*IF(OR(D37=1,D56=0),1,0)*IF(D57=2,1,0)</f>
        <v>0</v>
      </c>
      <c r="F409" s="17"/>
      <c r="G409" s="79" t="s">
        <v>430</v>
      </c>
      <c r="H409" s="79" t="s">
        <v>431</v>
      </c>
    </row>
    <row r="410" spans="1:14">
      <c r="A410" s="2" t="str">
        <f>IF(B410&lt;&gt;"",SUM($B$128:B410),"")</f>
        <v/>
      </c>
      <c r="B410" s="2" t="str">
        <f t="shared" si="17"/>
        <v/>
      </c>
      <c r="C410" s="16">
        <f>(D52+D53+D54+D55)*IF(D37=2,1,0)*IF(D57=2,1,0)*IF(D56=1,1,0)</f>
        <v>0</v>
      </c>
      <c r="F410" s="17"/>
      <c r="G410" s="79" t="s">
        <v>432</v>
      </c>
      <c r="H410" s="79" t="s">
        <v>433</v>
      </c>
    </row>
    <row r="411" spans="1:14">
      <c r="A411" s="2" t="str">
        <f>IF(B411&lt;&gt;"",SUM($B$128:B411),"")</f>
        <v/>
      </c>
      <c r="B411" s="2" t="str">
        <f t="shared" si="17"/>
        <v/>
      </c>
      <c r="C411" s="16">
        <f>(D52+D53+D54+D55)*IF(OR(D37=1,D56=0),1,0)*IF(D57=3,1,0)</f>
        <v>0</v>
      </c>
      <c r="F411" s="17"/>
      <c r="G411" s="79" t="s">
        <v>434</v>
      </c>
      <c r="H411" s="79" t="s">
        <v>435</v>
      </c>
    </row>
    <row r="412" spans="1:14">
      <c r="A412" s="2" t="str">
        <f>IF(B412&lt;&gt;"",SUM($B$128:B412),"")</f>
        <v/>
      </c>
      <c r="B412" s="2" t="str">
        <f t="shared" si="17"/>
        <v/>
      </c>
      <c r="C412" s="16">
        <f>(D52+D53+D54+D55)*IF(D37=2,1,0)*IF(D57=3,1,0)*IF(D56=1,1,0)</f>
        <v>0</v>
      </c>
      <c r="F412" s="17"/>
      <c r="G412" s="79" t="s">
        <v>436</v>
      </c>
      <c r="H412" s="79" t="s">
        <v>437</v>
      </c>
    </row>
    <row r="413" spans="1:14">
      <c r="A413" s="2" t="str">
        <f>IF(B413&lt;&gt;"",SUM($B$128:B413),"")</f>
        <v/>
      </c>
      <c r="B413" s="2" t="str">
        <f t="shared" si="17"/>
        <v/>
      </c>
      <c r="C413" s="16">
        <f>(D52+D53+D54+D55)*IF(OR(D57=2,D57=3),1,0)</f>
        <v>0</v>
      </c>
      <c r="F413" s="17"/>
      <c r="G413" s="79" t="s">
        <v>438</v>
      </c>
      <c r="H413" s="79" t="s">
        <v>439</v>
      </c>
    </row>
    <row r="414" spans="1:14">
      <c r="A414" s="2" t="str">
        <f>IF(B414&lt;&gt;"",SUM($B$128:B414),"")</f>
        <v/>
      </c>
      <c r="B414" s="2" t="str">
        <f t="shared" si="17"/>
        <v/>
      </c>
      <c r="C414" s="16">
        <f>(D52+D53+D54+D55)*IF(OR(D37=1,D56=0),1,0)*IF(D57=1,1,0)</f>
        <v>0</v>
      </c>
      <c r="F414" s="17"/>
      <c r="G414" s="79" t="s">
        <v>440</v>
      </c>
      <c r="H414" s="79" t="s">
        <v>441</v>
      </c>
    </row>
    <row r="415" spans="1:14">
      <c r="A415" s="2">
        <f>IF(B415&lt;&gt;"",SUM($B$128:B415),"")</f>
        <v>23</v>
      </c>
      <c r="B415" s="2">
        <f t="shared" si="17"/>
        <v>1</v>
      </c>
      <c r="C415" s="16">
        <f>(D52+D53+D54+D55)*IF(D37=2,1,0)*IF(D57=1,1,0)*IF(D56=1,1,0)</f>
        <v>1</v>
      </c>
      <c r="F415" s="17"/>
      <c r="G415" s="79" t="s">
        <v>442</v>
      </c>
      <c r="H415" s="79" t="s">
        <v>443</v>
      </c>
    </row>
    <row r="416" spans="1:14">
      <c r="A416" s="2" t="str">
        <f>IF(B416&lt;&gt;"",SUM($B$128:B416),"")</f>
        <v/>
      </c>
      <c r="B416" s="2" t="str">
        <f t="shared" si="17"/>
        <v/>
      </c>
      <c r="C416" s="16">
        <f>(D52+D53+D54+D55)*IF(D37=2,1,0)*IF(D57=3,1,0)*IF(D56=1,1,0)</f>
        <v>0</v>
      </c>
      <c r="F416" s="17"/>
      <c r="G416" s="79" t="s">
        <v>444</v>
      </c>
      <c r="H416" s="79" t="s">
        <v>445</v>
      </c>
    </row>
    <row r="417" spans="1:8">
      <c r="A417" s="2" t="str">
        <f>IF(B417&lt;&gt;"",SUM($B$128:B417),"")</f>
        <v/>
      </c>
      <c r="B417" s="2" t="str">
        <f t="shared" si="17"/>
        <v/>
      </c>
      <c r="C417" s="18">
        <f>(D52+D53+D54+D55)*IF(D37=2,1,0)*IF(D57=2,1,0)*IF(D56=1,1,0)</f>
        <v>0</v>
      </c>
      <c r="D417" s="19"/>
      <c r="E417" s="19"/>
      <c r="F417" s="20"/>
      <c r="G417" s="79" t="s">
        <v>446</v>
      </c>
      <c r="H417" s="79" t="s">
        <v>447</v>
      </c>
    </row>
    <row r="418" spans="1:8">
      <c r="A418" s="2" t="str">
        <f>IF(B418&lt;&gt;"",SUM($B$128:B418),"")</f>
        <v/>
      </c>
      <c r="B418" s="2" t="str">
        <f t="shared" si="17"/>
        <v/>
      </c>
      <c r="H418" s="79"/>
    </row>
    <row r="419" spans="1:8">
      <c r="A419" s="2" t="str">
        <f>IF(B419&lt;&gt;"",SUM($B$128:B419),"")</f>
        <v/>
      </c>
      <c r="B419" s="2" t="str">
        <f t="shared" si="17"/>
        <v/>
      </c>
    </row>
    <row r="420" spans="1:8">
      <c r="A420" s="2" t="str">
        <f>IF(B420&lt;&gt;"",SUM($B$128:B420),"")</f>
        <v/>
      </c>
      <c r="B420" s="2" t="str">
        <f t="shared" si="17"/>
        <v/>
      </c>
    </row>
    <row r="421" spans="1:8">
      <c r="A421" s="2" t="str">
        <f>IF(B421&lt;&gt;"",SUM($B$128:B421),"")</f>
        <v/>
      </c>
      <c r="B421" s="2" t="str">
        <f t="shared" si="17"/>
        <v/>
      </c>
      <c r="C421" s="13"/>
      <c r="D421" s="14"/>
      <c r="E421" s="14" t="s">
        <v>153</v>
      </c>
      <c r="F421" s="15" t="s">
        <v>234</v>
      </c>
    </row>
    <row r="422" spans="1:8">
      <c r="A422" s="2" t="str">
        <f>IF(B422&lt;&gt;"",SUM($B$128:B422),"")</f>
        <v/>
      </c>
      <c r="B422" s="2" t="str">
        <f t="shared" si="17"/>
        <v/>
      </c>
      <c r="C422" s="16"/>
      <c r="E422" s="2">
        <v>0</v>
      </c>
      <c r="F422" s="17">
        <v>2.0299999999999998</v>
      </c>
      <c r="G422" s="79" t="s">
        <v>448</v>
      </c>
      <c r="H422" s="79" t="s">
        <v>449</v>
      </c>
    </row>
    <row r="423" spans="1:8">
      <c r="A423" s="2" t="str">
        <f>IF(B423&lt;&gt;"",SUM($B$128:B423),"")</f>
        <v/>
      </c>
      <c r="B423" s="2" t="str">
        <f t="shared" si="17"/>
        <v/>
      </c>
      <c r="C423" s="16"/>
      <c r="E423" s="2">
        <v>1</v>
      </c>
      <c r="F423" s="17">
        <v>2.0299999999999998</v>
      </c>
      <c r="G423" s="79" t="s">
        <v>450</v>
      </c>
      <c r="H423" s="79" t="s">
        <v>451</v>
      </c>
    </row>
    <row r="424" spans="1:8">
      <c r="A424" s="2" t="str">
        <f>IF(B424&lt;&gt;"",SUM($B$128:B424),"")</f>
        <v/>
      </c>
      <c r="B424" s="2" t="str">
        <f t="shared" si="17"/>
        <v/>
      </c>
      <c r="C424" s="16"/>
      <c r="E424" s="2">
        <v>0</v>
      </c>
      <c r="F424" s="17">
        <v>2.5299999999999998</v>
      </c>
      <c r="G424" s="79" t="s">
        <v>452</v>
      </c>
      <c r="H424" s="79" t="s">
        <v>453</v>
      </c>
    </row>
    <row r="425" spans="1:8">
      <c r="A425" s="2" t="str">
        <f>IF(B425&lt;&gt;"",SUM($B$128:B425),"")</f>
        <v/>
      </c>
      <c r="B425" s="2" t="str">
        <f t="shared" si="17"/>
        <v/>
      </c>
      <c r="C425" s="16"/>
      <c r="E425" s="2">
        <v>1</v>
      </c>
      <c r="F425" s="17">
        <v>2.5299999999999998</v>
      </c>
      <c r="G425" s="79" t="s">
        <v>454</v>
      </c>
      <c r="H425" s="79" t="s">
        <v>455</v>
      </c>
    </row>
    <row r="426" spans="1:8">
      <c r="A426" s="2" t="str">
        <f>IF(B426&lt;&gt;"",SUM($B$128:B426),"")</f>
        <v/>
      </c>
      <c r="B426" s="2" t="str">
        <f t="shared" si="17"/>
        <v/>
      </c>
      <c r="C426" s="16"/>
      <c r="F426" s="17"/>
    </row>
    <row r="427" spans="1:8">
      <c r="A427" s="2" t="str">
        <f>IF(B427&lt;&gt;"",SUM($B$128:B427),"")</f>
        <v/>
      </c>
      <c r="B427" s="2" t="str">
        <f t="shared" si="17"/>
        <v/>
      </c>
      <c r="C427" s="16"/>
      <c r="F427" s="17"/>
    </row>
    <row r="428" spans="1:8">
      <c r="A428" s="2">
        <f>IF(B428&lt;&gt;"",SUM($B$128:B428),"")</f>
        <v>24</v>
      </c>
      <c r="B428" s="2">
        <f t="shared" si="17"/>
        <v>1</v>
      </c>
      <c r="C428" s="16">
        <f>IF(D37=2,2*D43+4*D45+6*D47-2*D48,0)*D56</f>
        <v>4</v>
      </c>
      <c r="E428" s="2">
        <f>$D$18</f>
        <v>0</v>
      </c>
      <c r="F428" s="17">
        <v>2.0299999999999998</v>
      </c>
      <c r="G428" s="79" t="str" cm="1">
        <f t="array" ref="G428">INDEX($G$422:$G$425,_xlfn.XMATCH(E428&amp;F428,$E$422:$E$425&amp;$F$422:$F$425,0))</f>
        <v>40.01.01.0014</v>
      </c>
      <c r="H428" s="80" t="str">
        <f>_xlfn.XLOOKUP(G428,$G$422:$G$425,$H$422:$H$425)</f>
        <v>Wooden panel - Type A1 - Thermowood - WxH=950x2150mm</v>
      </c>
    </row>
    <row r="429" spans="1:8">
      <c r="A429" s="2">
        <f>IF(B429&lt;&gt;"",SUM($B$128:B429),"")</f>
        <v>25</v>
      </c>
      <c r="B429" s="2">
        <f t="shared" si="17"/>
        <v>1</v>
      </c>
      <c r="C429" s="18">
        <f>IF(D37=2,2*D44+4*D46-2*D49,0)*D56</f>
        <v>2</v>
      </c>
      <c r="D429" s="19"/>
      <c r="E429" s="19">
        <f>$D$18</f>
        <v>0</v>
      </c>
      <c r="F429" s="20">
        <v>2.5299999999999998</v>
      </c>
      <c r="G429" s="79" t="str" cm="1">
        <f t="array" ref="G429">INDEX($G$422:$G$425,_xlfn.XMATCH(E429&amp;F429,$E$422:$E$425&amp;$F$422:$F$425,0))</f>
        <v>40.01.01.0016</v>
      </c>
      <c r="H429" s="80" t="str">
        <f>_xlfn.XLOOKUP(G429,$G$422:$G$425,$H$422:$H$425)</f>
        <v>Wooden panel - Type B1 - Thermowood - WxH=1195x2150mm</v>
      </c>
    </row>
    <row r="430" spans="1:8">
      <c r="A430" s="2" t="str">
        <f>IF(B430&lt;&gt;"",SUM($B$128:B430),"")</f>
        <v/>
      </c>
      <c r="B430" s="2" t="str">
        <f t="shared" si="17"/>
        <v/>
      </c>
    </row>
    <row r="431" spans="1:8">
      <c r="A431" s="2" t="str">
        <f>IF(B431&lt;&gt;"",SUM($B$128:B431),"")</f>
        <v/>
      </c>
      <c r="B431" s="2" t="str">
        <f t="shared" si="17"/>
        <v/>
      </c>
    </row>
    <row r="432" spans="1:8">
      <c r="A432" s="2" t="str">
        <f>IF(B432&lt;&gt;"",SUM($B$128:B432),"")</f>
        <v/>
      </c>
      <c r="B432" s="2" t="str">
        <f t="shared" si="17"/>
        <v/>
      </c>
    </row>
    <row r="433" spans="1:8">
      <c r="A433" s="2" t="str">
        <f>IF(B433&lt;&gt;"",SUM($B$128:B433),"")</f>
        <v/>
      </c>
      <c r="B433" s="2" t="str">
        <f t="shared" si="17"/>
        <v/>
      </c>
      <c r="C433" s="13"/>
      <c r="D433" s="14"/>
      <c r="E433" s="14"/>
      <c r="F433" s="15"/>
    </row>
    <row r="434" spans="1:8">
      <c r="A434" s="2">
        <f>IF(B434&lt;&gt;"",SUM($B$128:B434),"")</f>
        <v>26</v>
      </c>
      <c r="B434" s="2">
        <f t="shared" si="17"/>
        <v>1</v>
      </c>
      <c r="C434" s="16">
        <f>(CEILING((C428+C429)/3,3)+(D52+D54)*20+(D53+D55)*25)*IF((D18=0)*(D37=2)*(D56=1),1,0)</f>
        <v>28</v>
      </c>
      <c r="F434" s="17"/>
      <c r="G434" s="79" t="s">
        <v>456</v>
      </c>
      <c r="H434" s="80" t="s">
        <v>457</v>
      </c>
    </row>
    <row r="435" spans="1:8">
      <c r="A435" s="2" t="str">
        <f>IF(B435&lt;&gt;"",SUM($B$128:B435),"")</f>
        <v/>
      </c>
      <c r="B435" s="2" t="str">
        <f t="shared" si="17"/>
        <v/>
      </c>
      <c r="C435" s="16">
        <f>(CEILING((C428+C429)/3,3)+(D52+D54)*20+(D53+D55)*25)*IF((D18=1)*(D37=2)*(D56=1),1,0)</f>
        <v>0</v>
      </c>
      <c r="F435" s="17"/>
      <c r="G435" s="79" t="s">
        <v>458</v>
      </c>
      <c r="H435" s="80" t="s">
        <v>459</v>
      </c>
    </row>
    <row r="436" spans="1:8">
      <c r="A436" s="2">
        <f>IF(B436&lt;&gt;"",SUM($B$128:B436),"")</f>
        <v>27</v>
      </c>
      <c r="B436" s="2">
        <f t="shared" si="17"/>
        <v>1</v>
      </c>
      <c r="C436" s="16">
        <f>ROUNDUP(C428/9,0)*IF((D37=2)*(D56=1),1,0)</f>
        <v>1</v>
      </c>
      <c r="F436" s="17"/>
      <c r="G436" s="79" t="s">
        <v>460</v>
      </c>
      <c r="H436" s="80" t="s">
        <v>461</v>
      </c>
    </row>
    <row r="437" spans="1:8">
      <c r="A437" s="2">
        <f>IF(B437&lt;&gt;"",SUM($B$128:B437),"")</f>
        <v>28</v>
      </c>
      <c r="B437" s="2">
        <f t="shared" si="17"/>
        <v>1</v>
      </c>
      <c r="C437" s="16">
        <f>(ROUNDUP(C429/9,0)+ROUNDUP((D52+D53*2)*(1+D18)*1.1,0))*IF((D37=2)*(D56=1),1,0)</f>
        <v>4</v>
      </c>
      <c r="F437" s="17"/>
      <c r="G437" s="79" t="s">
        <v>462</v>
      </c>
      <c r="H437" s="80" t="s">
        <v>463</v>
      </c>
    </row>
    <row r="438" spans="1:8">
      <c r="A438" s="2" t="str">
        <f>IF(B438&lt;&gt;"",SUM($B$128:B438),"")</f>
        <v/>
      </c>
      <c r="B438" s="2" t="str">
        <f t="shared" si="17"/>
        <v/>
      </c>
      <c r="C438" s="16">
        <f>ROUNDUP(D52*2*1.1,0)*IF((D18=0)*(D37=2)*(D56=1),1,0)</f>
        <v>0</v>
      </c>
      <c r="F438" s="17"/>
      <c r="G438" s="79" t="s">
        <v>464</v>
      </c>
      <c r="H438" s="80" t="s">
        <v>465</v>
      </c>
    </row>
    <row r="439" spans="1:8">
      <c r="A439" s="2" t="str">
        <f>IF(B439&lt;&gt;"",SUM($B$128:B439),"")</f>
        <v/>
      </c>
      <c r="B439" s="2" t="str">
        <f t="shared" si="17"/>
        <v/>
      </c>
      <c r="C439" s="18">
        <f>ROUNDUP(D52*2*1.1,0)*IF((D18=1)*(D37=2)*(D56=1),1,0)</f>
        <v>0</v>
      </c>
      <c r="D439" s="19"/>
      <c r="E439" s="19"/>
      <c r="F439" s="20"/>
      <c r="G439" s="79" t="s">
        <v>466</v>
      </c>
      <c r="H439" s="80" t="s">
        <v>467</v>
      </c>
    </row>
    <row r="440" spans="1:8">
      <c r="A440" s="2" t="str">
        <f>IF(B440&lt;&gt;"",SUM($B$128:B440),"")</f>
        <v/>
      </c>
      <c r="B440" s="2" t="str">
        <f t="shared" si="17"/>
        <v/>
      </c>
    </row>
    <row r="441" spans="1:8">
      <c r="A441" s="2" t="str">
        <f>IF(B441&lt;&gt;"",SUM($B$128:B441),"")</f>
        <v/>
      </c>
      <c r="B441" s="2" t="str">
        <f t="shared" si="17"/>
        <v/>
      </c>
    </row>
    <row r="442" spans="1:8">
      <c r="A442" s="2" t="str">
        <f>IF(B442&lt;&gt;"",SUM($B$128:B442),"")</f>
        <v/>
      </c>
      <c r="B442" s="2" t="str">
        <f t="shared" si="17"/>
        <v/>
      </c>
    </row>
    <row r="443" spans="1:8">
      <c r="A443" s="2" t="str">
        <f>IF(B443&lt;&gt;"",SUM($B$128:B443),"")</f>
        <v/>
      </c>
      <c r="B443" s="2" t="str">
        <f t="shared" si="17"/>
        <v/>
      </c>
      <c r="C443" s="13"/>
      <c r="D443" s="14" t="s">
        <v>214</v>
      </c>
      <c r="E443" s="14" t="s">
        <v>468</v>
      </c>
      <c r="F443" s="15" t="s">
        <v>155</v>
      </c>
    </row>
    <row r="444" spans="1:8">
      <c r="A444" s="2" t="str">
        <f>IF(B444&lt;&gt;"",SUM($B$128:B444),"")</f>
        <v/>
      </c>
      <c r="B444" s="2" t="str">
        <f t="shared" si="17"/>
        <v/>
      </c>
      <c r="C444" s="16"/>
      <c r="D444" s="2">
        <v>2000</v>
      </c>
      <c r="E444" s="2">
        <v>2030</v>
      </c>
      <c r="F444" s="17">
        <v>1</v>
      </c>
      <c r="G444" s="79" t="s">
        <v>469</v>
      </c>
      <c r="H444" s="80" t="s">
        <v>470</v>
      </c>
    </row>
    <row r="445" spans="1:8">
      <c r="A445" s="2" t="str">
        <f>IF(B445&lt;&gt;"",SUM($B$128:B445),"")</f>
        <v/>
      </c>
      <c r="B445" s="2" t="str">
        <f t="shared" si="17"/>
        <v/>
      </c>
      <c r="C445" s="16"/>
      <c r="D445" s="2">
        <v>2000</v>
      </c>
      <c r="E445" s="2">
        <v>2030</v>
      </c>
      <c r="F445" s="17">
        <v>2</v>
      </c>
      <c r="G445" s="79" t="s">
        <v>471</v>
      </c>
      <c r="H445" s="80" t="s">
        <v>472</v>
      </c>
    </row>
    <row r="446" spans="1:8">
      <c r="A446" s="2" t="str">
        <f>IF(B446&lt;&gt;"",SUM($B$128:B446),"")</f>
        <v/>
      </c>
      <c r="B446" s="2" t="str">
        <f t="shared" si="17"/>
        <v/>
      </c>
      <c r="C446" s="16"/>
      <c r="D446" s="2">
        <v>2000</v>
      </c>
      <c r="E446" s="2">
        <v>2030</v>
      </c>
      <c r="F446" s="17">
        <v>3</v>
      </c>
      <c r="G446" s="79" t="s">
        <v>473</v>
      </c>
      <c r="H446" s="80" t="s">
        <v>474</v>
      </c>
    </row>
    <row r="447" spans="1:8">
      <c r="A447" s="2" t="str">
        <f>IF(B447&lt;&gt;"",SUM($B$128:B447),"")</f>
        <v/>
      </c>
      <c r="B447" s="2" t="str">
        <f t="shared" si="17"/>
        <v/>
      </c>
      <c r="C447" s="16"/>
      <c r="D447" s="2">
        <v>2000</v>
      </c>
      <c r="E447" s="2">
        <v>2030</v>
      </c>
      <c r="F447" s="17">
        <v>4</v>
      </c>
      <c r="G447" s="79" t="s">
        <v>475</v>
      </c>
      <c r="H447" s="80" t="s">
        <v>476</v>
      </c>
    </row>
    <row r="448" spans="1:8">
      <c r="A448" s="2" t="str">
        <f>IF(B448&lt;&gt;"",SUM($B$128:B448),"")</f>
        <v/>
      </c>
      <c r="B448" s="2" t="str">
        <f t="shared" si="17"/>
        <v/>
      </c>
      <c r="C448" s="16"/>
      <c r="D448" s="2">
        <v>2000</v>
      </c>
      <c r="E448" s="2">
        <v>630</v>
      </c>
      <c r="F448" s="17">
        <v>1</v>
      </c>
      <c r="G448" s="79" t="s">
        <v>477</v>
      </c>
      <c r="H448" s="80" t="s">
        <v>478</v>
      </c>
    </row>
    <row r="449" spans="1:8">
      <c r="A449" s="2" t="str">
        <f>IF(B449&lt;&gt;"",SUM($B$128:B449),"")</f>
        <v/>
      </c>
      <c r="B449" s="2" t="str">
        <f t="shared" si="17"/>
        <v/>
      </c>
      <c r="C449" s="16"/>
      <c r="D449" s="2">
        <v>2000</v>
      </c>
      <c r="E449" s="2">
        <v>630</v>
      </c>
      <c r="F449" s="17">
        <v>2</v>
      </c>
      <c r="G449" s="79" t="s">
        <v>479</v>
      </c>
      <c r="H449" s="80" t="s">
        <v>480</v>
      </c>
    </row>
    <row r="450" spans="1:8">
      <c r="A450" s="2" t="str">
        <f>IF(B450&lt;&gt;"",SUM($B$128:B450),"")</f>
        <v/>
      </c>
      <c r="B450" s="2" t="str">
        <f t="shared" si="17"/>
        <v/>
      </c>
      <c r="C450" s="16"/>
      <c r="D450" s="2">
        <v>2000</v>
      </c>
      <c r="E450" s="2">
        <v>630</v>
      </c>
      <c r="F450" s="17">
        <v>3</v>
      </c>
      <c r="G450" s="79" t="s">
        <v>481</v>
      </c>
      <c r="H450" s="80" t="s">
        <v>482</v>
      </c>
    </row>
    <row r="451" spans="1:8">
      <c r="A451" s="2" t="str">
        <f>IF(B451&lt;&gt;"",SUM($B$128:B451),"")</f>
        <v/>
      </c>
      <c r="B451" s="2" t="str">
        <f t="shared" si="17"/>
        <v/>
      </c>
      <c r="C451" s="16"/>
      <c r="D451" s="2">
        <v>2000</v>
      </c>
      <c r="E451" s="2">
        <v>630</v>
      </c>
      <c r="F451" s="17">
        <v>4</v>
      </c>
      <c r="G451" s="79" t="s">
        <v>483</v>
      </c>
      <c r="H451" s="80" t="s">
        <v>484</v>
      </c>
    </row>
    <row r="452" spans="1:8">
      <c r="A452" s="2" t="str">
        <f>IF(B452&lt;&gt;"",SUM($B$128:B452),"")</f>
        <v/>
      </c>
      <c r="B452" s="2" t="str">
        <f t="shared" si="17"/>
        <v/>
      </c>
      <c r="C452" s="16"/>
      <c r="D452" s="2">
        <v>1150</v>
      </c>
      <c r="E452" s="2">
        <v>2030</v>
      </c>
      <c r="F452" s="17">
        <v>1</v>
      </c>
      <c r="G452" s="79" t="s">
        <v>485</v>
      </c>
      <c r="H452" s="80" t="s">
        <v>486</v>
      </c>
    </row>
    <row r="453" spans="1:8">
      <c r="A453" s="2" t="str">
        <f>IF(B453&lt;&gt;"",SUM($B$128:B453),"")</f>
        <v/>
      </c>
      <c r="B453" s="2" t="str">
        <f t="shared" si="17"/>
        <v/>
      </c>
      <c r="C453" s="16"/>
      <c r="D453" s="2">
        <v>1150</v>
      </c>
      <c r="E453" s="2">
        <v>2030</v>
      </c>
      <c r="F453" s="17">
        <v>2</v>
      </c>
      <c r="G453" s="79" t="s">
        <v>487</v>
      </c>
      <c r="H453" s="80" t="s">
        <v>488</v>
      </c>
    </row>
    <row r="454" spans="1:8">
      <c r="A454" s="2" t="str">
        <f>IF(B454&lt;&gt;"",SUM($B$128:B454),"")</f>
        <v/>
      </c>
      <c r="B454" s="2" t="str">
        <f t="shared" si="17"/>
        <v/>
      </c>
      <c r="C454" s="16"/>
      <c r="D454" s="2">
        <v>1150</v>
      </c>
      <c r="E454" s="2">
        <v>2030</v>
      </c>
      <c r="F454" s="17">
        <v>3</v>
      </c>
      <c r="G454" s="79" t="s">
        <v>489</v>
      </c>
      <c r="H454" s="80" t="s">
        <v>490</v>
      </c>
    </row>
    <row r="455" spans="1:8">
      <c r="A455" s="2" t="str">
        <f>IF(B455&lt;&gt;"",SUM($B$128:B455),"")</f>
        <v/>
      </c>
      <c r="B455" s="2" t="str">
        <f t="shared" si="17"/>
        <v/>
      </c>
      <c r="C455" s="16"/>
      <c r="D455" s="2">
        <v>1150</v>
      </c>
      <c r="E455" s="2">
        <v>2030</v>
      </c>
      <c r="F455" s="17">
        <v>4</v>
      </c>
      <c r="G455" s="79" t="s">
        <v>491</v>
      </c>
      <c r="H455" s="80" t="s">
        <v>492</v>
      </c>
    </row>
    <row r="456" spans="1:8">
      <c r="A456" s="2" t="str">
        <f>IF(B456&lt;&gt;"",SUM($B$128:B456),"")</f>
        <v/>
      </c>
      <c r="B456" s="2" t="str">
        <f t="shared" ref="B456:B518" si="18">IF(C456&gt;0,1,"")</f>
        <v/>
      </c>
      <c r="C456" s="16"/>
      <c r="D456" s="2">
        <v>1150</v>
      </c>
      <c r="E456" s="2">
        <v>630</v>
      </c>
      <c r="F456" s="17">
        <v>1</v>
      </c>
      <c r="G456" s="79" t="s">
        <v>493</v>
      </c>
      <c r="H456" s="80" t="s">
        <v>494</v>
      </c>
    </row>
    <row r="457" spans="1:8">
      <c r="A457" s="2" t="str">
        <f>IF(B457&lt;&gt;"",SUM($B$128:B457),"")</f>
        <v/>
      </c>
      <c r="B457" s="2" t="str">
        <f t="shared" si="18"/>
        <v/>
      </c>
      <c r="C457" s="16"/>
      <c r="D457" s="2">
        <v>1150</v>
      </c>
      <c r="E457" s="2">
        <v>630</v>
      </c>
      <c r="F457" s="17">
        <v>2</v>
      </c>
      <c r="G457" s="79" t="s">
        <v>495</v>
      </c>
      <c r="H457" s="80" t="s">
        <v>496</v>
      </c>
    </row>
    <row r="458" spans="1:8">
      <c r="A458" s="2" t="str">
        <f>IF(B458&lt;&gt;"",SUM($B$128:B458),"")</f>
        <v/>
      </c>
      <c r="B458" s="2" t="str">
        <f t="shared" si="18"/>
        <v/>
      </c>
      <c r="C458" s="16"/>
      <c r="D458" s="2">
        <v>1150</v>
      </c>
      <c r="E458" s="2">
        <v>630</v>
      </c>
      <c r="F458" s="17">
        <v>3</v>
      </c>
      <c r="G458" s="79" t="s">
        <v>497</v>
      </c>
      <c r="H458" s="80" t="s">
        <v>498</v>
      </c>
    </row>
    <row r="459" spans="1:8">
      <c r="A459" s="2" t="str">
        <f>IF(B459&lt;&gt;"",SUM($B$128:B459),"")</f>
        <v/>
      </c>
      <c r="B459" s="2" t="str">
        <f t="shared" si="18"/>
        <v/>
      </c>
      <c r="C459" s="16"/>
      <c r="D459" s="2">
        <v>1150</v>
      </c>
      <c r="E459" s="2">
        <v>630</v>
      </c>
      <c r="F459" s="17">
        <v>4</v>
      </c>
      <c r="G459" s="79" t="s">
        <v>499</v>
      </c>
      <c r="H459" s="80" t="s">
        <v>500</v>
      </c>
    </row>
    <row r="460" spans="1:8">
      <c r="A460" s="2" t="str">
        <f>IF(B460&lt;&gt;"",SUM($B$128:B460),"")</f>
        <v/>
      </c>
      <c r="B460" s="2" t="str">
        <f t="shared" si="18"/>
        <v/>
      </c>
      <c r="C460" s="16"/>
      <c r="D460" s="2">
        <v>900</v>
      </c>
      <c r="E460" s="2">
        <v>2030</v>
      </c>
      <c r="F460" s="17">
        <v>1</v>
      </c>
      <c r="G460" s="79" t="s">
        <v>501</v>
      </c>
      <c r="H460" s="80" t="s">
        <v>502</v>
      </c>
    </row>
    <row r="461" spans="1:8">
      <c r="A461" s="2" t="str">
        <f>IF(B461&lt;&gt;"",SUM($B$128:B461),"")</f>
        <v/>
      </c>
      <c r="B461" s="2" t="str">
        <f t="shared" si="18"/>
        <v/>
      </c>
      <c r="C461" s="16"/>
      <c r="D461" s="2">
        <v>900</v>
      </c>
      <c r="E461" s="2">
        <v>2030</v>
      </c>
      <c r="F461" s="17">
        <v>2</v>
      </c>
      <c r="G461" s="79" t="s">
        <v>503</v>
      </c>
      <c r="H461" s="80" t="s">
        <v>504</v>
      </c>
    </row>
    <row r="462" spans="1:8">
      <c r="A462" s="2" t="str">
        <f>IF(B462&lt;&gt;"",SUM($B$128:B462),"")</f>
        <v/>
      </c>
      <c r="B462" s="2" t="str">
        <f t="shared" si="18"/>
        <v/>
      </c>
      <c r="C462" s="16"/>
      <c r="D462" s="2">
        <v>900</v>
      </c>
      <c r="E462" s="2">
        <v>2030</v>
      </c>
      <c r="F462" s="17">
        <v>3</v>
      </c>
      <c r="G462" s="79" t="s">
        <v>505</v>
      </c>
      <c r="H462" s="80" t="s">
        <v>506</v>
      </c>
    </row>
    <row r="463" spans="1:8">
      <c r="A463" s="2" t="str">
        <f>IF(B463&lt;&gt;"",SUM($B$128:B463),"")</f>
        <v/>
      </c>
      <c r="B463" s="2" t="str">
        <f t="shared" si="18"/>
        <v/>
      </c>
      <c r="C463" s="16"/>
      <c r="D463" s="2">
        <v>900</v>
      </c>
      <c r="E463" s="2">
        <v>2030</v>
      </c>
      <c r="F463" s="17">
        <v>4</v>
      </c>
      <c r="G463" s="79" t="s">
        <v>507</v>
      </c>
      <c r="H463" s="80" t="s">
        <v>508</v>
      </c>
    </row>
    <row r="464" spans="1:8">
      <c r="A464" s="2" t="str">
        <f>IF(B464&lt;&gt;"",SUM($B$128:B464),"")</f>
        <v/>
      </c>
      <c r="B464" s="2" t="str">
        <f t="shared" si="18"/>
        <v/>
      </c>
      <c r="C464" s="16"/>
      <c r="D464" s="2">
        <v>900</v>
      </c>
      <c r="E464" s="2">
        <v>630</v>
      </c>
      <c r="F464" s="17">
        <v>1</v>
      </c>
      <c r="G464" s="79" t="s">
        <v>509</v>
      </c>
      <c r="H464" s="80" t="s">
        <v>510</v>
      </c>
    </row>
    <row r="465" spans="1:8">
      <c r="A465" s="2" t="str">
        <f>IF(B465&lt;&gt;"",SUM($B$128:B465),"")</f>
        <v/>
      </c>
      <c r="B465" s="2" t="str">
        <f t="shared" si="18"/>
        <v/>
      </c>
      <c r="C465" s="16"/>
      <c r="D465" s="2">
        <v>900</v>
      </c>
      <c r="E465" s="2">
        <v>630</v>
      </c>
      <c r="F465" s="17">
        <v>2</v>
      </c>
      <c r="G465" s="79" t="s">
        <v>511</v>
      </c>
      <c r="H465" s="80" t="s">
        <v>512</v>
      </c>
    </row>
    <row r="466" spans="1:8">
      <c r="A466" s="2" t="str">
        <f>IF(B466&lt;&gt;"",SUM($B$128:B466),"")</f>
        <v/>
      </c>
      <c r="B466" s="2" t="str">
        <f t="shared" si="18"/>
        <v/>
      </c>
      <c r="C466" s="16"/>
      <c r="D466" s="2">
        <v>900</v>
      </c>
      <c r="E466" s="2">
        <v>630</v>
      </c>
      <c r="F466" s="17">
        <v>3</v>
      </c>
      <c r="G466" s="79" t="s">
        <v>513</v>
      </c>
      <c r="H466" s="80" t="s">
        <v>514</v>
      </c>
    </row>
    <row r="467" spans="1:8">
      <c r="A467" s="2" t="str">
        <f>IF(B467&lt;&gt;"",SUM($B$128:B467),"")</f>
        <v/>
      </c>
      <c r="B467" s="2" t="str">
        <f t="shared" si="18"/>
        <v/>
      </c>
      <c r="C467" s="16"/>
      <c r="D467" s="2">
        <v>900</v>
      </c>
      <c r="E467" s="2">
        <v>630</v>
      </c>
      <c r="F467" s="17">
        <v>4</v>
      </c>
      <c r="G467" s="79" t="s">
        <v>515</v>
      </c>
      <c r="H467" s="80" t="s">
        <v>516</v>
      </c>
    </row>
    <row r="468" spans="1:8">
      <c r="A468" s="2" t="str">
        <f>IF(B468&lt;&gt;"",SUM($B$128:B468),"")</f>
        <v/>
      </c>
      <c r="B468" s="2" t="str">
        <f t="shared" si="18"/>
        <v/>
      </c>
      <c r="C468" s="16"/>
      <c r="D468" s="2">
        <v>600</v>
      </c>
      <c r="E468" s="2">
        <v>2030</v>
      </c>
      <c r="F468" s="17">
        <v>1</v>
      </c>
      <c r="G468" s="79" t="s">
        <v>517</v>
      </c>
      <c r="H468" s="80" t="s">
        <v>518</v>
      </c>
    </row>
    <row r="469" spans="1:8">
      <c r="A469" s="2" t="str">
        <f>IF(B469&lt;&gt;"",SUM($B$128:B469),"")</f>
        <v/>
      </c>
      <c r="B469" s="2" t="str">
        <f t="shared" si="18"/>
        <v/>
      </c>
      <c r="C469" s="16"/>
      <c r="D469" s="2">
        <v>600</v>
      </c>
      <c r="E469" s="2">
        <v>2030</v>
      </c>
      <c r="F469" s="17">
        <v>2</v>
      </c>
      <c r="G469" s="79" t="s">
        <v>519</v>
      </c>
      <c r="H469" s="80" t="s">
        <v>520</v>
      </c>
    </row>
    <row r="470" spans="1:8">
      <c r="A470" s="2" t="str">
        <f>IF(B470&lt;&gt;"",SUM($B$128:B470),"")</f>
        <v/>
      </c>
      <c r="B470" s="2" t="str">
        <f t="shared" si="18"/>
        <v/>
      </c>
      <c r="C470" s="16"/>
      <c r="D470" s="2">
        <v>600</v>
      </c>
      <c r="E470" s="2">
        <v>2030</v>
      </c>
      <c r="F470" s="17">
        <v>3</v>
      </c>
      <c r="G470" s="79" t="s">
        <v>521</v>
      </c>
      <c r="H470" s="80" t="s">
        <v>522</v>
      </c>
    </row>
    <row r="471" spans="1:8">
      <c r="A471" s="2" t="str">
        <f>IF(B471&lt;&gt;"",SUM($B$128:B471),"")</f>
        <v/>
      </c>
      <c r="B471" s="2" t="str">
        <f t="shared" si="18"/>
        <v/>
      </c>
      <c r="C471" s="16"/>
      <c r="D471" s="2">
        <v>600</v>
      </c>
      <c r="E471" s="2">
        <v>2030</v>
      </c>
      <c r="F471" s="17">
        <v>4</v>
      </c>
      <c r="G471" s="79" t="s">
        <v>523</v>
      </c>
      <c r="H471" s="80" t="s">
        <v>524</v>
      </c>
    </row>
    <row r="472" spans="1:8">
      <c r="A472" s="2" t="str">
        <f>IF(B472&lt;&gt;"",SUM($B$128:B472),"")</f>
        <v/>
      </c>
      <c r="B472" s="2" t="str">
        <f t="shared" si="18"/>
        <v/>
      </c>
      <c r="C472" s="16"/>
      <c r="D472" s="2">
        <v>600</v>
      </c>
      <c r="E472" s="2">
        <v>630</v>
      </c>
      <c r="F472" s="17">
        <v>1</v>
      </c>
      <c r="G472" s="79" t="s">
        <v>525</v>
      </c>
      <c r="H472" s="80" t="s">
        <v>526</v>
      </c>
    </row>
    <row r="473" spans="1:8">
      <c r="A473" s="2" t="str">
        <f>IF(B473&lt;&gt;"",SUM($B$128:B473),"")</f>
        <v/>
      </c>
      <c r="B473" s="2" t="str">
        <f t="shared" si="18"/>
        <v/>
      </c>
      <c r="C473" s="16"/>
      <c r="D473" s="2">
        <v>600</v>
      </c>
      <c r="E473" s="2">
        <v>630</v>
      </c>
      <c r="F473" s="17">
        <v>2</v>
      </c>
      <c r="G473" s="79" t="s">
        <v>527</v>
      </c>
      <c r="H473" s="80" t="s">
        <v>528</v>
      </c>
    </row>
    <row r="474" spans="1:8">
      <c r="A474" s="2" t="str">
        <f>IF(B474&lt;&gt;"",SUM($B$128:B474),"")</f>
        <v/>
      </c>
      <c r="B474" s="2" t="str">
        <f t="shared" si="18"/>
        <v/>
      </c>
      <c r="C474" s="16"/>
      <c r="D474" s="2">
        <v>600</v>
      </c>
      <c r="E474" s="2">
        <v>630</v>
      </c>
      <c r="F474" s="17">
        <v>3</v>
      </c>
      <c r="G474" s="79" t="s">
        <v>529</v>
      </c>
      <c r="H474" s="80" t="s">
        <v>530</v>
      </c>
    </row>
    <row r="475" spans="1:8">
      <c r="A475" s="2" t="str">
        <f>IF(B475&lt;&gt;"",SUM($B$128:B475),"")</f>
        <v/>
      </c>
      <c r="B475" s="2" t="str">
        <f t="shared" si="18"/>
        <v/>
      </c>
      <c r="C475" s="16"/>
      <c r="D475" s="2">
        <v>600</v>
      </c>
      <c r="E475" s="2">
        <v>630</v>
      </c>
      <c r="F475" s="17">
        <v>4</v>
      </c>
      <c r="G475" s="79" t="s">
        <v>531</v>
      </c>
      <c r="H475" s="80" t="s">
        <v>532</v>
      </c>
    </row>
    <row r="476" spans="1:8">
      <c r="A476" s="2" t="str">
        <f>IF(B476&lt;&gt;"",SUM($B$128:B476),"")</f>
        <v/>
      </c>
      <c r="B476" s="2" t="str">
        <f t="shared" si="18"/>
        <v/>
      </c>
      <c r="C476" s="16"/>
      <c r="D476" s="2">
        <v>350</v>
      </c>
      <c r="E476" s="2">
        <v>2030</v>
      </c>
      <c r="F476" s="17">
        <v>1</v>
      </c>
      <c r="G476" s="79" t="s">
        <v>533</v>
      </c>
      <c r="H476" s="80" t="s">
        <v>534</v>
      </c>
    </row>
    <row r="477" spans="1:8">
      <c r="A477" s="2" t="str">
        <f>IF(B477&lt;&gt;"",SUM($B$128:B477),"")</f>
        <v/>
      </c>
      <c r="B477" s="2" t="str">
        <f t="shared" si="18"/>
        <v/>
      </c>
      <c r="C477" s="16"/>
      <c r="D477" s="2">
        <v>350</v>
      </c>
      <c r="E477" s="2">
        <v>2030</v>
      </c>
      <c r="F477" s="17">
        <v>2</v>
      </c>
      <c r="G477" s="79" t="s">
        <v>535</v>
      </c>
      <c r="H477" s="80" t="s">
        <v>536</v>
      </c>
    </row>
    <row r="478" spans="1:8">
      <c r="A478" s="2" t="str">
        <f>IF(B478&lt;&gt;"",SUM($B$128:B478),"")</f>
        <v/>
      </c>
      <c r="B478" s="2" t="str">
        <f t="shared" si="18"/>
        <v/>
      </c>
      <c r="C478" s="16"/>
      <c r="D478" s="2">
        <v>350</v>
      </c>
      <c r="E478" s="2">
        <v>2030</v>
      </c>
      <c r="F478" s="17">
        <v>3</v>
      </c>
      <c r="G478" s="79" t="s">
        <v>537</v>
      </c>
      <c r="H478" s="80" t="s">
        <v>538</v>
      </c>
    </row>
    <row r="479" spans="1:8">
      <c r="A479" s="2" t="str">
        <f>IF(B479&lt;&gt;"",SUM($B$128:B479),"")</f>
        <v/>
      </c>
      <c r="B479" s="2" t="str">
        <f t="shared" si="18"/>
        <v/>
      </c>
      <c r="C479" s="16"/>
      <c r="D479" s="2">
        <v>350</v>
      </c>
      <c r="E479" s="2">
        <v>2030</v>
      </c>
      <c r="F479" s="17">
        <v>4</v>
      </c>
      <c r="G479" s="79" t="s">
        <v>539</v>
      </c>
      <c r="H479" s="80" t="s">
        <v>540</v>
      </c>
    </row>
    <row r="480" spans="1:8">
      <c r="A480" s="2" t="str">
        <f>IF(B480&lt;&gt;"",SUM($B$128:B480),"")</f>
        <v/>
      </c>
      <c r="B480" s="2" t="str">
        <f t="shared" si="18"/>
        <v/>
      </c>
      <c r="C480" s="16"/>
      <c r="D480" s="2">
        <v>350</v>
      </c>
      <c r="E480" s="2">
        <v>630</v>
      </c>
      <c r="F480" s="17">
        <v>1</v>
      </c>
      <c r="G480" s="79" t="s">
        <v>541</v>
      </c>
      <c r="H480" s="80" t="s">
        <v>542</v>
      </c>
    </row>
    <row r="481" spans="1:8">
      <c r="A481" s="2" t="str">
        <f>IF(B481&lt;&gt;"",SUM($B$128:B481),"")</f>
        <v/>
      </c>
      <c r="B481" s="2" t="str">
        <f t="shared" si="18"/>
        <v/>
      </c>
      <c r="C481" s="16"/>
      <c r="D481" s="2">
        <v>350</v>
      </c>
      <c r="E481" s="2">
        <v>630</v>
      </c>
      <c r="F481" s="17">
        <v>2</v>
      </c>
      <c r="G481" s="79" t="s">
        <v>543</v>
      </c>
      <c r="H481" s="80" t="s">
        <v>544</v>
      </c>
    </row>
    <row r="482" spans="1:8">
      <c r="A482" s="2" t="str">
        <f>IF(B482&lt;&gt;"",SUM($B$128:B482),"")</f>
        <v/>
      </c>
      <c r="B482" s="2" t="str">
        <f t="shared" si="18"/>
        <v/>
      </c>
      <c r="C482" s="16"/>
      <c r="D482" s="2">
        <v>350</v>
      </c>
      <c r="E482" s="2">
        <v>630</v>
      </c>
      <c r="F482" s="17">
        <v>3</v>
      </c>
      <c r="G482" s="79" t="s">
        <v>545</v>
      </c>
      <c r="H482" s="80" t="s">
        <v>546</v>
      </c>
    </row>
    <row r="483" spans="1:8">
      <c r="A483" s="2" t="str">
        <f>IF(B483&lt;&gt;"",SUM($B$128:B483),"")</f>
        <v/>
      </c>
      <c r="B483" s="2" t="str">
        <f t="shared" si="18"/>
        <v/>
      </c>
      <c r="C483" s="16"/>
      <c r="D483" s="2">
        <v>350</v>
      </c>
      <c r="E483" s="2">
        <v>630</v>
      </c>
      <c r="F483" s="17">
        <v>4</v>
      </c>
      <c r="G483" s="79" t="s">
        <v>547</v>
      </c>
      <c r="H483" s="80" t="s">
        <v>548</v>
      </c>
    </row>
    <row r="484" spans="1:8">
      <c r="A484" s="2" t="str">
        <f>IF(B484&lt;&gt;"",SUM($B$128:B484),"")</f>
        <v/>
      </c>
      <c r="B484" s="2" t="str">
        <f t="shared" si="18"/>
        <v/>
      </c>
      <c r="C484" s="16"/>
      <c r="D484" s="2">
        <v>2500</v>
      </c>
      <c r="E484" s="2">
        <v>2030</v>
      </c>
      <c r="F484" s="17">
        <v>1</v>
      </c>
      <c r="G484" s="79" t="s">
        <v>549</v>
      </c>
      <c r="H484" s="80" t="s">
        <v>550</v>
      </c>
    </row>
    <row r="485" spans="1:8">
      <c r="A485" s="2" t="str">
        <f>IF(B485&lt;&gt;"",SUM($B$128:B485),"")</f>
        <v/>
      </c>
      <c r="B485" s="2" t="str">
        <f t="shared" si="18"/>
        <v/>
      </c>
      <c r="C485" s="16"/>
      <c r="D485" s="2">
        <v>2500</v>
      </c>
      <c r="E485" s="2">
        <v>2030</v>
      </c>
      <c r="F485" s="17">
        <v>2</v>
      </c>
      <c r="G485" s="79" t="s">
        <v>551</v>
      </c>
      <c r="H485" s="80" t="s">
        <v>552</v>
      </c>
    </row>
    <row r="486" spans="1:8">
      <c r="A486" s="2" t="str">
        <f>IF(B486&lt;&gt;"",SUM($B$128:B486),"")</f>
        <v/>
      </c>
      <c r="B486" s="2" t="str">
        <f t="shared" si="18"/>
        <v/>
      </c>
      <c r="C486" s="16"/>
      <c r="D486" s="2">
        <v>2500</v>
      </c>
      <c r="E486" s="2">
        <v>2030</v>
      </c>
      <c r="F486" s="17">
        <v>3</v>
      </c>
      <c r="G486" s="79" t="s">
        <v>553</v>
      </c>
      <c r="H486" s="80" t="s">
        <v>554</v>
      </c>
    </row>
    <row r="487" spans="1:8">
      <c r="A487" s="2" t="str">
        <f>IF(B487&lt;&gt;"",SUM($B$128:B487),"")</f>
        <v/>
      </c>
      <c r="B487" s="2" t="str">
        <f t="shared" si="18"/>
        <v/>
      </c>
      <c r="C487" s="16"/>
      <c r="D487" s="2">
        <v>2500</v>
      </c>
      <c r="E487" s="2">
        <v>2030</v>
      </c>
      <c r="F487" s="17">
        <v>4</v>
      </c>
      <c r="G487" s="79" t="s">
        <v>555</v>
      </c>
      <c r="H487" s="80" t="s">
        <v>556</v>
      </c>
    </row>
    <row r="488" spans="1:8">
      <c r="A488" s="2" t="str">
        <f>IF(B488&lt;&gt;"",SUM($B$128:B488),"")</f>
        <v/>
      </c>
      <c r="B488" s="2" t="str">
        <f t="shared" si="18"/>
        <v/>
      </c>
      <c r="C488" s="16"/>
      <c r="D488" s="2">
        <v>2500</v>
      </c>
      <c r="E488" s="2">
        <v>630</v>
      </c>
      <c r="F488" s="17">
        <v>1</v>
      </c>
      <c r="G488" s="79" t="s">
        <v>557</v>
      </c>
      <c r="H488" s="80" t="s">
        <v>558</v>
      </c>
    </row>
    <row r="489" spans="1:8">
      <c r="A489" s="2" t="str">
        <f>IF(B489&lt;&gt;"",SUM($B$128:B489),"")</f>
        <v/>
      </c>
      <c r="B489" s="2" t="str">
        <f t="shared" si="18"/>
        <v/>
      </c>
      <c r="C489" s="16"/>
      <c r="D489" s="2">
        <v>2500</v>
      </c>
      <c r="E489" s="2">
        <v>630</v>
      </c>
      <c r="F489" s="17">
        <v>2</v>
      </c>
      <c r="G489" s="79" t="s">
        <v>559</v>
      </c>
      <c r="H489" s="80" t="s">
        <v>560</v>
      </c>
    </row>
    <row r="490" spans="1:8">
      <c r="A490" s="2" t="str">
        <f>IF(B490&lt;&gt;"",SUM($B$128:B490),"")</f>
        <v/>
      </c>
      <c r="B490" s="2" t="str">
        <f t="shared" si="18"/>
        <v/>
      </c>
      <c r="C490" s="16"/>
      <c r="D490" s="2">
        <v>2500</v>
      </c>
      <c r="E490" s="2">
        <v>630</v>
      </c>
      <c r="F490" s="17">
        <v>3</v>
      </c>
      <c r="G490" s="79" t="s">
        <v>561</v>
      </c>
      <c r="H490" s="80" t="s">
        <v>562</v>
      </c>
    </row>
    <row r="491" spans="1:8">
      <c r="A491" s="2" t="str">
        <f>IF(B491&lt;&gt;"",SUM($B$128:B491),"")</f>
        <v/>
      </c>
      <c r="B491" s="2" t="str">
        <f t="shared" si="18"/>
        <v/>
      </c>
      <c r="C491" s="16"/>
      <c r="D491" s="2">
        <v>2500</v>
      </c>
      <c r="E491" s="2">
        <v>630</v>
      </c>
      <c r="F491" s="17">
        <v>4</v>
      </c>
      <c r="G491" s="79" t="s">
        <v>563</v>
      </c>
      <c r="H491" s="80" t="s">
        <v>564</v>
      </c>
    </row>
    <row r="492" spans="1:8">
      <c r="A492" s="2" t="str">
        <f>IF(B492&lt;&gt;"",SUM($B$128:B492),"")</f>
        <v/>
      </c>
      <c r="B492" s="2" t="str">
        <f t="shared" si="18"/>
        <v/>
      </c>
      <c r="C492" s="16"/>
      <c r="F492" s="17"/>
    </row>
    <row r="493" spans="1:8">
      <c r="A493" s="2" t="str">
        <f>IF(B493&lt;&gt;"",SUM($B$128:B493),"")</f>
        <v/>
      </c>
      <c r="B493" s="2" t="str">
        <f t="shared" si="18"/>
        <v/>
      </c>
      <c r="C493" s="16"/>
      <c r="F493" s="17"/>
    </row>
    <row r="494" spans="1:8">
      <c r="A494" s="2" t="str">
        <f>IF(B494&lt;&gt;"",SUM($B$128:B494),"")</f>
        <v/>
      </c>
      <c r="B494" s="2" t="str">
        <f t="shared" si="18"/>
        <v/>
      </c>
      <c r="C494" s="16">
        <f>IF(D37*D56=1,D44+2*D46-D49,0)</f>
        <v>0</v>
      </c>
      <c r="D494" s="2">
        <v>2500</v>
      </c>
      <c r="E494" s="2">
        <v>2030</v>
      </c>
      <c r="F494" s="17">
        <f>$D$38</f>
        <v>0</v>
      </c>
      <c r="G494" s="79" t="e" cm="1">
        <f t="array" ref="G494">INDEX($G$444:$G$491,_xlfn.XMATCH(D494&amp;E494&amp;F494,$D$444:$D$491&amp;$E$444:$E$491&amp;$F$444:$F$491,0))</f>
        <v>#N/A</v>
      </c>
      <c r="H494" s="80" t="e">
        <f>_xlfn.XLOOKUP(G494,$G$444:$G$491,$H$444:$H$491)</f>
        <v>#N/A</v>
      </c>
    </row>
    <row r="495" spans="1:8">
      <c r="A495" s="2" t="str">
        <f>IF(B495&lt;&gt;"",SUM($B$128:B495),"")</f>
        <v/>
      </c>
      <c r="B495" s="2" t="str">
        <f t="shared" si="18"/>
        <v/>
      </c>
      <c r="C495" s="16">
        <f>IF(D37*D18*D56=1,D44+2*D46-D49,0)</f>
        <v>0</v>
      </c>
      <c r="D495" s="2">
        <v>2500</v>
      </c>
      <c r="E495" s="2">
        <v>630</v>
      </c>
      <c r="F495" s="17">
        <f t="shared" ref="F495:F505" si="19">$D$38</f>
        <v>0</v>
      </c>
      <c r="G495" s="79" t="e" cm="1">
        <f t="array" ref="G495">INDEX($G$444:$G$491,_xlfn.XMATCH(D495&amp;E495&amp;F495,$D$444:$D$491&amp;$E$444:$E$491&amp;$F$444:$F$491,0))</f>
        <v>#N/A</v>
      </c>
      <c r="H495" s="80" t="e">
        <f t="shared" ref="H495:H505" si="20">_xlfn.XLOOKUP(G495,$G$444:$G$491,$H$444:$H$491)</f>
        <v>#N/A</v>
      </c>
    </row>
    <row r="496" spans="1:8">
      <c r="A496" s="2" t="str">
        <f>IF(B496&lt;&gt;"",SUM($B$128:B496),"")</f>
        <v/>
      </c>
      <c r="B496" s="2" t="str">
        <f t="shared" si="18"/>
        <v/>
      </c>
      <c r="C496" s="16">
        <f>IF(D37*D56=1,D43+2*D45+3*D47-D48,0)</f>
        <v>0</v>
      </c>
      <c r="D496" s="2">
        <v>2000</v>
      </c>
      <c r="E496" s="2">
        <v>2030</v>
      </c>
      <c r="F496" s="17">
        <f t="shared" si="19"/>
        <v>0</v>
      </c>
      <c r="G496" s="79" t="e" cm="1">
        <f t="array" ref="G496">INDEX($G$444:$G$491,_xlfn.XMATCH(D496&amp;E496&amp;F496,$D$444:$D$491&amp;$E$444:$E$491&amp;$F$444:$F$491,0))</f>
        <v>#N/A</v>
      </c>
      <c r="H496" s="80" t="e">
        <f t="shared" si="20"/>
        <v>#N/A</v>
      </c>
    </row>
    <row r="497" spans="1:8">
      <c r="A497" s="2" t="str">
        <f>IF(B497&lt;&gt;"",SUM($B$128:B497),"")</f>
        <v/>
      </c>
      <c r="B497" s="2" t="str">
        <f t="shared" si="18"/>
        <v/>
      </c>
      <c r="C497" s="16">
        <f>IF(D37*D18*D56=1,D43+2*D45+3*D47-D48,0)</f>
        <v>0</v>
      </c>
      <c r="D497" s="2">
        <v>2000</v>
      </c>
      <c r="E497" s="2">
        <v>630</v>
      </c>
      <c r="F497" s="17">
        <f t="shared" si="19"/>
        <v>0</v>
      </c>
      <c r="G497" s="79" t="e" cm="1">
        <f t="array" ref="G497">INDEX($G$444:$G$491,_xlfn.XMATCH(D497&amp;E497&amp;F497,$D$444:$D$491&amp;$E$444:$E$491&amp;$F$444:$F$491,0))</f>
        <v>#N/A</v>
      </c>
      <c r="H497" s="80" t="e">
        <f t="shared" si="20"/>
        <v>#N/A</v>
      </c>
    </row>
    <row r="498" spans="1:8">
      <c r="A498" s="2" t="str">
        <f>IF(B498&lt;&gt;"",SUM($B$128:B498),"")</f>
        <v/>
      </c>
      <c r="B498" s="2" t="str">
        <f t="shared" si="18"/>
        <v/>
      </c>
      <c r="C498" s="16">
        <f>IF(D37*D56=1,D52+D53+D55*2,0)</f>
        <v>0</v>
      </c>
      <c r="D498" s="2">
        <v>1150</v>
      </c>
      <c r="E498" s="2">
        <v>2030</v>
      </c>
      <c r="F498" s="17">
        <f t="shared" si="19"/>
        <v>0</v>
      </c>
      <c r="G498" s="79" t="e" cm="1">
        <f t="array" ref="G498">INDEX($G$444:$G$491,_xlfn.XMATCH(D498&amp;E498&amp;F498,$D$444:$D$491&amp;$E$444:$E$491&amp;$F$444:$F$491,0))</f>
        <v>#N/A</v>
      </c>
      <c r="H498" s="80" t="e">
        <f t="shared" si="20"/>
        <v>#N/A</v>
      </c>
    </row>
    <row r="499" spans="1:8">
      <c r="A499" s="2" t="str">
        <f>IF(B499&lt;&gt;"",SUM($B$128:B499),"")</f>
        <v/>
      </c>
      <c r="B499" s="2" t="str">
        <f t="shared" si="18"/>
        <v/>
      </c>
      <c r="C499" s="16">
        <f>IF(D37*D18*D56=1,D52+D53+D55*2,0)</f>
        <v>0</v>
      </c>
      <c r="D499" s="2">
        <v>1150</v>
      </c>
      <c r="E499" s="2">
        <v>630</v>
      </c>
      <c r="F499" s="17">
        <f t="shared" si="19"/>
        <v>0</v>
      </c>
      <c r="G499" s="79" t="e" cm="1">
        <f t="array" ref="G499">INDEX($G$444:$G$491,_xlfn.XMATCH(D499&amp;E499&amp;F499,$D$444:$D$491&amp;$E$444:$E$491&amp;$F$444:$F$491,0))</f>
        <v>#N/A</v>
      </c>
      <c r="H499" s="80" t="e">
        <f t="shared" si="20"/>
        <v>#N/A</v>
      </c>
    </row>
    <row r="500" spans="1:8">
      <c r="A500" s="2" t="str">
        <f>IF(B500&lt;&gt;"",SUM($B$128:B500),"")</f>
        <v/>
      </c>
      <c r="B500" s="2" t="str">
        <f t="shared" si="18"/>
        <v/>
      </c>
      <c r="C500" s="16">
        <f>IF(D37*D56=1,D54*2,0)</f>
        <v>0</v>
      </c>
      <c r="D500" s="2">
        <v>900</v>
      </c>
      <c r="E500" s="2">
        <v>2030</v>
      </c>
      <c r="F500" s="17">
        <f t="shared" si="19"/>
        <v>0</v>
      </c>
      <c r="G500" s="79" t="e" cm="1">
        <f t="array" ref="G500">INDEX($G$444:$G$491,_xlfn.XMATCH(D500&amp;E500&amp;F500,$D$444:$D$491&amp;$E$444:$E$491&amp;$F$444:$F$491,0))</f>
        <v>#N/A</v>
      </c>
      <c r="H500" s="80" t="e">
        <f t="shared" si="20"/>
        <v>#N/A</v>
      </c>
    </row>
    <row r="501" spans="1:8">
      <c r="A501" s="2" t="str">
        <f>IF(B501&lt;&gt;"",SUM($B$128:B501),"")</f>
        <v/>
      </c>
      <c r="B501" s="2" t="str">
        <f t="shared" si="18"/>
        <v/>
      </c>
      <c r="C501" s="16">
        <f>IF(D37*D18*D56=1,D54*2,0)</f>
        <v>0</v>
      </c>
      <c r="D501" s="2">
        <v>900</v>
      </c>
      <c r="E501" s="2">
        <v>630</v>
      </c>
      <c r="F501" s="17">
        <f t="shared" si="19"/>
        <v>0</v>
      </c>
      <c r="G501" s="79" t="e" cm="1">
        <f t="array" ref="G501">INDEX($G$444:$G$491,_xlfn.XMATCH(D501&amp;E501&amp;F501,$D$444:$D$491&amp;$E$444:$E$491&amp;$F$444:$F$491,0))</f>
        <v>#N/A</v>
      </c>
      <c r="H501" s="80" t="e">
        <f t="shared" si="20"/>
        <v>#N/A</v>
      </c>
    </row>
    <row r="502" spans="1:8">
      <c r="A502" s="2" t="str">
        <f>IF(B502&lt;&gt;"",SUM($B$128:B502),"")</f>
        <v/>
      </c>
      <c r="B502" s="2" t="str">
        <f t="shared" si="18"/>
        <v/>
      </c>
      <c r="C502" s="16">
        <f>IF(D37*D56=1,D53*2,0)</f>
        <v>0</v>
      </c>
      <c r="D502" s="2">
        <v>600</v>
      </c>
      <c r="E502" s="2">
        <v>2030</v>
      </c>
      <c r="F502" s="17">
        <f t="shared" si="19"/>
        <v>0</v>
      </c>
      <c r="G502" s="79" t="e" cm="1">
        <f t="array" ref="G502">INDEX($G$444:$G$491,_xlfn.XMATCH(D502&amp;E502&amp;F502,$D$444:$D$491&amp;$E$444:$E$491&amp;$F$444:$F$491,0))</f>
        <v>#N/A</v>
      </c>
      <c r="H502" s="80" t="e">
        <f t="shared" si="20"/>
        <v>#N/A</v>
      </c>
    </row>
    <row r="503" spans="1:8">
      <c r="A503" s="2" t="str">
        <f>IF(B503&lt;&gt;"",SUM($B$128:B503),"")</f>
        <v/>
      </c>
      <c r="B503" s="2" t="str">
        <f t="shared" si="18"/>
        <v/>
      </c>
      <c r="C503" s="16">
        <f>IF(D37*D18*D56=1,D53*2,0)</f>
        <v>0</v>
      </c>
      <c r="D503" s="2">
        <v>600</v>
      </c>
      <c r="E503" s="2">
        <v>630</v>
      </c>
      <c r="F503" s="17">
        <f t="shared" si="19"/>
        <v>0</v>
      </c>
      <c r="G503" s="79" t="e" cm="1">
        <f t="array" ref="G503">INDEX($G$444:$G$491,_xlfn.XMATCH(D503&amp;E503&amp;F503,$D$444:$D$491&amp;$E$444:$E$491&amp;$F$444:$F$491,0))</f>
        <v>#N/A</v>
      </c>
      <c r="H503" s="80" t="e">
        <f t="shared" si="20"/>
        <v>#N/A</v>
      </c>
    </row>
    <row r="504" spans="1:8">
      <c r="A504" s="2" t="str">
        <f>IF(B504&lt;&gt;"",SUM($B$128:B504),"")</f>
        <v/>
      </c>
      <c r="B504" s="2" t="str">
        <f t="shared" si="18"/>
        <v/>
      </c>
      <c r="C504" s="16">
        <f>IF(D37*D56=1,D52*2,0)</f>
        <v>0</v>
      </c>
      <c r="D504" s="2">
        <v>350</v>
      </c>
      <c r="E504" s="2">
        <v>2030</v>
      </c>
      <c r="F504" s="17">
        <f t="shared" si="19"/>
        <v>0</v>
      </c>
      <c r="G504" s="79" t="e" cm="1">
        <f t="array" ref="G504">INDEX($G$444:$G$491,_xlfn.XMATCH(D504&amp;E504&amp;F504,$D$444:$D$491&amp;$E$444:$E$491&amp;$F$444:$F$491,0))</f>
        <v>#N/A</v>
      </c>
      <c r="H504" s="80" t="e">
        <f t="shared" si="20"/>
        <v>#N/A</v>
      </c>
    </row>
    <row r="505" spans="1:8">
      <c r="A505" s="2" t="str">
        <f>IF(B505&lt;&gt;"",SUM($B$128:B505),"")</f>
        <v/>
      </c>
      <c r="B505" s="2" t="str">
        <f t="shared" si="18"/>
        <v/>
      </c>
      <c r="C505" s="18">
        <f>IF(D37*D18*D56=1,D52*2,0)</f>
        <v>0</v>
      </c>
      <c r="D505" s="19">
        <v>350</v>
      </c>
      <c r="E505" s="19">
        <v>630</v>
      </c>
      <c r="F505" s="20">
        <f t="shared" si="19"/>
        <v>0</v>
      </c>
      <c r="G505" s="79" t="e" cm="1">
        <f t="array" ref="G505">INDEX($G$444:$G$491,_xlfn.XMATCH(D505&amp;E505&amp;F505,$D$444:$D$491&amp;$E$444:$E$491&amp;$F$444:$F$491,0))</f>
        <v>#N/A</v>
      </c>
      <c r="H505" s="80" t="e">
        <f t="shared" si="20"/>
        <v>#N/A</v>
      </c>
    </row>
    <row r="506" spans="1:8">
      <c r="A506" s="2" t="str">
        <f>IF(B506&lt;&gt;"",SUM($B$128:B506),"")</f>
        <v/>
      </c>
      <c r="B506" s="2" t="str">
        <f t="shared" si="18"/>
        <v/>
      </c>
    </row>
    <row r="507" spans="1:8">
      <c r="A507" s="2" t="str">
        <f>IF(B507&lt;&gt;"",SUM($B$128:B507),"")</f>
        <v/>
      </c>
      <c r="B507" s="2" t="str">
        <f t="shared" si="18"/>
        <v/>
      </c>
    </row>
    <row r="508" spans="1:8">
      <c r="A508" s="2" t="str">
        <f>IF(B508&lt;&gt;"",SUM($B$128:B508),"")</f>
        <v/>
      </c>
      <c r="B508" s="2" t="str">
        <f t="shared" si="18"/>
        <v/>
      </c>
    </row>
    <row r="509" spans="1:8">
      <c r="A509" s="2" t="str">
        <f>IF(B509&lt;&gt;"",SUM($B$128:B509),"")</f>
        <v/>
      </c>
      <c r="B509" s="2" t="str">
        <f t="shared" si="18"/>
        <v/>
      </c>
      <c r="C509" s="13"/>
      <c r="D509" s="14"/>
      <c r="E509" s="14"/>
      <c r="F509" s="15"/>
    </row>
    <row r="510" spans="1:8">
      <c r="A510" s="2" t="str">
        <f>IF(B510&lt;&gt;"",SUM($B$128:B510),"")</f>
        <v/>
      </c>
      <c r="B510" s="2" t="str">
        <f t="shared" si="18"/>
        <v/>
      </c>
      <c r="C510" s="16">
        <f>IF(D37=3,2*D43+4*D45+6*D47-2*D48,0)*D56</f>
        <v>0</v>
      </c>
      <c r="F510" s="17"/>
      <c r="G510" s="79" t="s">
        <v>565</v>
      </c>
      <c r="H510" s="80" t="s">
        <v>566</v>
      </c>
    </row>
    <row r="511" spans="1:8">
      <c r="A511" s="2" t="str">
        <f>IF(B511&lt;&gt;"",SUM($B$128:B511),"")</f>
        <v/>
      </c>
      <c r="B511" s="2" t="str">
        <f t="shared" si="18"/>
        <v/>
      </c>
      <c r="C511" s="18">
        <f>IF(D37=3,2*D44+4*D46-2*D49,0)*D56</f>
        <v>0</v>
      </c>
      <c r="D511" s="19"/>
      <c r="E511" s="19"/>
      <c r="F511" s="20"/>
      <c r="G511" s="79" t="s">
        <v>567</v>
      </c>
      <c r="H511" s="80" t="s">
        <v>568</v>
      </c>
    </row>
    <row r="512" spans="1:8">
      <c r="A512" s="2" t="str">
        <f>IF(B512&lt;&gt;"",SUM($B$128:B512),"")</f>
        <v/>
      </c>
      <c r="B512" s="2" t="str">
        <f t="shared" si="18"/>
        <v/>
      </c>
    </row>
    <row r="513" spans="1:8">
      <c r="A513" s="2" t="str">
        <f>IF(B513&lt;&gt;"",SUM($B$128:B513),"")</f>
        <v/>
      </c>
      <c r="B513" s="2" t="str">
        <f t="shared" si="18"/>
        <v/>
      </c>
    </row>
    <row r="514" spans="1:8">
      <c r="A514" s="2" t="str">
        <f>IF(B514&lt;&gt;"",SUM($B$128:B514),"")</f>
        <v/>
      </c>
      <c r="B514" s="2" t="str">
        <f t="shared" si="18"/>
        <v/>
      </c>
    </row>
    <row r="515" spans="1:8">
      <c r="A515" s="2" t="str">
        <f>IF(B515&lt;&gt;"",SUM($B$128:B515),"")</f>
        <v/>
      </c>
      <c r="B515" s="2" t="str">
        <f t="shared" si="18"/>
        <v/>
      </c>
      <c r="C515" s="13"/>
      <c r="D515" s="14" t="s">
        <v>569</v>
      </c>
      <c r="E515" s="14" t="s">
        <v>83</v>
      </c>
      <c r="F515" s="15" t="s">
        <v>234</v>
      </c>
    </row>
    <row r="516" spans="1:8">
      <c r="A516" s="2" t="str">
        <f>IF(B516&lt;&gt;"",SUM($B$128:B516),"")</f>
        <v/>
      </c>
      <c r="B516" s="2" t="str">
        <f t="shared" si="18"/>
        <v/>
      </c>
      <c r="C516" s="16"/>
      <c r="D516" s="2">
        <v>960</v>
      </c>
      <c r="E516" s="2">
        <v>0</v>
      </c>
      <c r="F516" s="17">
        <v>2.0299999999999998</v>
      </c>
      <c r="G516" s="79" t="s">
        <v>570</v>
      </c>
      <c r="H516" s="79" t="s">
        <v>571</v>
      </c>
    </row>
    <row r="517" spans="1:8">
      <c r="A517" s="2" t="str">
        <f>IF(B517&lt;&gt;"",SUM($B$128:B517),"")</f>
        <v/>
      </c>
      <c r="B517" s="2" t="str">
        <f t="shared" si="18"/>
        <v/>
      </c>
      <c r="C517" s="16"/>
      <c r="D517" s="2">
        <v>960</v>
      </c>
      <c r="E517" s="2">
        <v>0</v>
      </c>
      <c r="F517" s="17">
        <v>2.5299999999999998</v>
      </c>
      <c r="G517" s="79" t="s">
        <v>572</v>
      </c>
      <c r="H517" s="79" t="s">
        <v>573</v>
      </c>
    </row>
    <row r="518" spans="1:8">
      <c r="A518" s="2" t="str">
        <f>IF(B518&lt;&gt;"",SUM($B$128:B518),"")</f>
        <v/>
      </c>
      <c r="B518" s="2" t="str">
        <f t="shared" si="18"/>
        <v/>
      </c>
      <c r="C518" s="16"/>
      <c r="D518" s="2">
        <v>1000</v>
      </c>
      <c r="E518" s="2">
        <v>1</v>
      </c>
      <c r="F518" s="17">
        <v>2.0299999999999998</v>
      </c>
      <c r="G518" s="79" t="s">
        <v>574</v>
      </c>
      <c r="H518" s="79" t="s">
        <v>575</v>
      </c>
    </row>
    <row r="519" spans="1:8">
      <c r="A519" s="2" t="str">
        <f>IF(B519&lt;&gt;"",SUM($B$128:B519),"")</f>
        <v/>
      </c>
      <c r="B519" s="2" t="str">
        <f t="shared" ref="B519:B545" si="21">IF(C519&gt;0,1,"")</f>
        <v/>
      </c>
      <c r="C519" s="16"/>
      <c r="D519" s="2">
        <v>1000</v>
      </c>
      <c r="E519" s="2">
        <v>1</v>
      </c>
      <c r="F519" s="17">
        <v>2.5299999999999998</v>
      </c>
      <c r="G519" s="79" t="s">
        <v>576</v>
      </c>
      <c r="H519" s="79" t="s">
        <v>577</v>
      </c>
    </row>
    <row r="520" spans="1:8">
      <c r="A520" s="2" t="str">
        <f>IF(B520&lt;&gt;"",SUM($B$128:B520),"")</f>
        <v/>
      </c>
      <c r="B520" s="2" t="str">
        <f t="shared" si="21"/>
        <v/>
      </c>
      <c r="C520" s="16"/>
      <c r="F520" s="17"/>
    </row>
    <row r="521" spans="1:8">
      <c r="A521" s="2" t="str">
        <f>IF(B521&lt;&gt;"",SUM($B$128:B521),"")</f>
        <v/>
      </c>
      <c r="B521" s="2" t="str">
        <f t="shared" si="21"/>
        <v/>
      </c>
      <c r="C521" s="16"/>
      <c r="F521" s="17"/>
    </row>
    <row r="522" spans="1:8">
      <c r="A522" s="2" t="str">
        <f>IF(B522&lt;&gt;"",SUM($B$128:B522),"")</f>
        <v/>
      </c>
      <c r="B522" s="2" t="str">
        <f t="shared" si="21"/>
        <v/>
      </c>
      <c r="C522" s="16">
        <f>D27*ROUNDUP($D$10*1000/D522,0)</f>
        <v>0</v>
      </c>
      <c r="D522" s="2">
        <f>_xlfn.XLOOKUP(G522,$G$516:$G$519,$D$516:$D$519)</f>
        <v>960</v>
      </c>
      <c r="E522" s="2">
        <f>$D$14</f>
        <v>0</v>
      </c>
      <c r="F522" s="17">
        <v>2.0299999999999998</v>
      </c>
      <c r="G522" s="79" t="str" cm="1">
        <f t="array" ref="G522">INDEX($G$516:$G$519,_xlfn.XMATCH(E522&amp;F522,$E$516:$E$519&amp;$F$516:$F$519,0))</f>
        <v>01.06.11.0011</v>
      </c>
      <c r="H522" s="80" t="str">
        <f>_xlfn.XLOOKUP(G522,$G$516:$G$519,$H$516:$H$519)</f>
        <v>Steel Roof Sheet - RAL7016 - L=2020mm</v>
      </c>
    </row>
    <row r="523" spans="1:8">
      <c r="A523" s="2">
        <f>IF(B523&lt;&gt;"",SUM($B$128:B523),"")</f>
        <v>29</v>
      </c>
      <c r="B523" s="2">
        <f t="shared" si="21"/>
        <v>1</v>
      </c>
      <c r="C523" s="18">
        <f>D28*ROUNDUP($D$10*1000/D523,0)</f>
        <v>3</v>
      </c>
      <c r="D523" s="19">
        <f>_xlfn.XLOOKUP(G523,$G$516:$G$519,$D$516:$D$519)</f>
        <v>960</v>
      </c>
      <c r="E523" s="19">
        <f>$D$14</f>
        <v>0</v>
      </c>
      <c r="F523" s="20">
        <v>2.5299999999999998</v>
      </c>
      <c r="G523" s="79" t="str" cm="1">
        <f t="array" ref="G523">INDEX($G$516:$G$519,_xlfn.XMATCH(E523&amp;F523,$E$516:$E$519&amp;$F$516:$F$519,0))</f>
        <v>01.06.11.0012</v>
      </c>
      <c r="H523" s="80" t="str">
        <f>_xlfn.XLOOKUP(G523,$G$516:$G$519,$H$516:$H$519)</f>
        <v>Steel Roof Sheet - RAL7016 - L=2520mm</v>
      </c>
    </row>
    <row r="524" spans="1:8">
      <c r="A524" s="2" t="str">
        <f>IF(B524&lt;&gt;"",SUM($B$128:B524),"")</f>
        <v/>
      </c>
      <c r="B524" s="2" t="str">
        <f t="shared" si="21"/>
        <v/>
      </c>
    </row>
    <row r="525" spans="1:8">
      <c r="A525" s="2" t="str">
        <f>IF(B525&lt;&gt;"",SUM($B$128:B525),"")</f>
        <v/>
      </c>
      <c r="B525" s="2" t="str">
        <f t="shared" si="21"/>
        <v/>
      </c>
    </row>
    <row r="526" spans="1:8">
      <c r="A526" s="2" t="str">
        <f>IF(B526&lt;&gt;"",SUM($B$128:B526),"")</f>
        <v/>
      </c>
      <c r="B526" s="2" t="str">
        <f t="shared" si="21"/>
        <v/>
      </c>
    </row>
    <row r="527" spans="1:8">
      <c r="A527" s="2" t="str">
        <f>IF(B527&lt;&gt;"",SUM($B$128:B527),"")</f>
        <v/>
      </c>
      <c r="B527" s="2" t="str">
        <f t="shared" si="21"/>
        <v/>
      </c>
      <c r="C527" s="13"/>
      <c r="D527" s="14"/>
      <c r="E527" s="14"/>
      <c r="F527" s="15"/>
    </row>
    <row r="528" spans="1:8">
      <c r="A528" s="2">
        <f>IF(B528&lt;&gt;"",SUM($B$128:B528),"")</f>
        <v>30</v>
      </c>
      <c r="B528" s="2">
        <f t="shared" si="21"/>
        <v>1</v>
      </c>
      <c r="C528" s="16">
        <f>ROUNDUP(D26*$D$10/3,0)</f>
        <v>1</v>
      </c>
      <c r="F528" s="17"/>
      <c r="G528" s="79" t="s">
        <v>578</v>
      </c>
      <c r="H528" s="80" t="s">
        <v>579</v>
      </c>
    </row>
    <row r="529" spans="1:9">
      <c r="A529" s="2">
        <f>IF(B529&lt;&gt;"",SUM($B$128:B529),"")</f>
        <v>31</v>
      </c>
      <c r="B529" s="2">
        <f t="shared" si="21"/>
        <v>1</v>
      </c>
      <c r="C529" s="18">
        <f>ROUNDUP($D$10/3,0)</f>
        <v>1</v>
      </c>
      <c r="D529" s="19"/>
      <c r="E529" s="19"/>
      <c r="F529" s="20"/>
      <c r="G529" s="79" t="s">
        <v>580</v>
      </c>
      <c r="H529" s="80" t="s">
        <v>581</v>
      </c>
    </row>
    <row r="530" spans="1:9">
      <c r="A530" s="2" t="str">
        <f>IF(B530&lt;&gt;"",SUM($B$128:B530),"")</f>
        <v/>
      </c>
      <c r="B530" s="2" t="str">
        <f t="shared" si="21"/>
        <v/>
      </c>
    </row>
    <row r="531" spans="1:9">
      <c r="A531" s="2" t="str">
        <f>IF(B531&lt;&gt;"",SUM($B$128:B531),"")</f>
        <v/>
      </c>
      <c r="B531" s="2" t="str">
        <f t="shared" si="21"/>
        <v/>
      </c>
    </row>
    <row r="532" spans="1:9">
      <c r="A532" s="2" t="str">
        <f>IF(B532&lt;&gt;"",SUM($B$128:B532),"")</f>
        <v/>
      </c>
      <c r="B532" s="2" t="str">
        <f t="shared" si="21"/>
        <v/>
      </c>
      <c r="E532" s="12"/>
      <c r="I532" s="12"/>
    </row>
    <row r="533" spans="1:9">
      <c r="A533" s="2" t="str">
        <f>IF(B533&lt;&gt;"",SUM($B$128:B533),"")</f>
        <v/>
      </c>
      <c r="B533" s="2" t="str">
        <f t="shared" si="21"/>
        <v/>
      </c>
      <c r="C533" s="13"/>
      <c r="D533" s="14"/>
      <c r="E533" s="48"/>
      <c r="F533" s="15"/>
      <c r="I533" s="12"/>
    </row>
    <row r="534" spans="1:9">
      <c r="A534" s="2" t="str">
        <f>IF(B534&lt;&gt;"",SUM($B$128:B534),"")</f>
        <v/>
      </c>
      <c r="B534" s="2" t="str">
        <f t="shared" si="21"/>
        <v/>
      </c>
      <c r="C534" s="16">
        <f>IF(D19=1,D26*D29,0)</f>
        <v>0</v>
      </c>
      <c r="E534" s="12"/>
      <c r="F534" s="17"/>
      <c r="G534" s="79" t="s">
        <v>582</v>
      </c>
      <c r="H534" s="79" t="s">
        <v>583</v>
      </c>
      <c r="I534" s="12"/>
    </row>
    <row r="535" spans="1:9">
      <c r="A535" s="2" t="str">
        <f>IF(B535&lt;&gt;"",SUM($B$128:B535),"")</f>
        <v/>
      </c>
      <c r="B535" s="2" t="str">
        <f t="shared" si="21"/>
        <v/>
      </c>
      <c r="C535" s="16">
        <f>IF(D19=1,CEILING((D26*D10+D9+6)*1.1,3),0)</f>
        <v>0</v>
      </c>
      <c r="E535" s="12"/>
      <c r="F535" s="17"/>
      <c r="G535" s="79" t="s">
        <v>584</v>
      </c>
      <c r="H535" s="79" t="s">
        <v>585</v>
      </c>
      <c r="I535" s="12"/>
    </row>
    <row r="536" spans="1:9">
      <c r="A536" s="2" t="str">
        <f>IF(B536&lt;&gt;"",SUM($B$128:B536),"")</f>
        <v/>
      </c>
      <c r="B536" s="2" t="str">
        <f t="shared" si="21"/>
        <v/>
      </c>
      <c r="C536" s="18">
        <f>IF(D19=1,CEILING((D26*D10+D9+6)*1.1,3),0)</f>
        <v>0</v>
      </c>
      <c r="D536" s="19"/>
      <c r="E536" s="49"/>
      <c r="F536" s="20"/>
      <c r="G536" s="79" t="s">
        <v>586</v>
      </c>
      <c r="H536" s="79" t="s">
        <v>587</v>
      </c>
      <c r="I536" s="12"/>
    </row>
    <row r="537" spans="1:9">
      <c r="A537" s="2" t="str">
        <f>IF(B537&lt;&gt;"",SUM($B$128:B537),"")</f>
        <v/>
      </c>
      <c r="B537" s="2" t="str">
        <f t="shared" si="21"/>
        <v/>
      </c>
      <c r="E537" s="12"/>
      <c r="H537" s="79"/>
      <c r="I537" s="12"/>
    </row>
    <row r="538" spans="1:9">
      <c r="A538" s="2" t="str">
        <f>IF(B538&lt;&gt;"",SUM($B$128:B538),"")</f>
        <v/>
      </c>
      <c r="B538" s="2" t="str">
        <f t="shared" si="21"/>
        <v/>
      </c>
      <c r="E538" s="12"/>
      <c r="I538" s="12"/>
    </row>
    <row r="539" spans="1:9">
      <c r="A539" s="2" t="str">
        <f>IF(B539&lt;&gt;"",SUM($B$128:B539),"")</f>
        <v/>
      </c>
      <c r="B539" s="2" t="str">
        <f t="shared" si="21"/>
        <v/>
      </c>
      <c r="E539" s="12"/>
    </row>
    <row r="540" spans="1:9">
      <c r="A540" s="2" t="str">
        <f>IF(B540&lt;&gt;"",SUM($B$128:B540),"")</f>
        <v/>
      </c>
      <c r="B540" s="2" t="str">
        <f t="shared" si="21"/>
        <v/>
      </c>
      <c r="C540" s="13"/>
      <c r="D540" s="14"/>
      <c r="E540" s="48"/>
      <c r="F540" s="15" t="s">
        <v>26</v>
      </c>
    </row>
    <row r="541" spans="1:9">
      <c r="A541" s="2" t="str">
        <f>IF(B541&lt;&gt;"",SUM($B$128:B541),"")</f>
        <v/>
      </c>
      <c r="B541" s="2" t="str">
        <f t="shared" si="21"/>
        <v/>
      </c>
      <c r="C541" s="16"/>
      <c r="E541" s="12"/>
      <c r="F541" s="17">
        <v>0</v>
      </c>
      <c r="G541" s="79" t="s">
        <v>588</v>
      </c>
      <c r="H541" s="80" t="s">
        <v>589</v>
      </c>
      <c r="I541" s="12"/>
    </row>
    <row r="542" spans="1:9">
      <c r="A542" s="2" t="str">
        <f>IF(B542&lt;&gt;"",SUM($B$128:B542),"")</f>
        <v/>
      </c>
      <c r="B542" s="2" t="str">
        <f t="shared" si="21"/>
        <v/>
      </c>
      <c r="C542" s="16"/>
      <c r="E542" s="12"/>
      <c r="F542" s="17">
        <v>1</v>
      </c>
      <c r="G542" s="79" t="s">
        <v>590</v>
      </c>
      <c r="H542" s="80" t="s">
        <v>591</v>
      </c>
      <c r="I542" s="12"/>
    </row>
    <row r="543" spans="1:9">
      <c r="A543" s="2" t="str">
        <f>IF(B543&lt;&gt;"",SUM($B$128:B543),"")</f>
        <v/>
      </c>
      <c r="B543" s="2" t="str">
        <f t="shared" si="21"/>
        <v/>
      </c>
      <c r="C543" s="16"/>
      <c r="E543" s="12"/>
      <c r="F543" s="17"/>
      <c r="I543" s="12"/>
    </row>
    <row r="544" spans="1:9">
      <c r="A544" s="2" t="str">
        <f>IF(B544&lt;&gt;"",SUM($B$128:B544),"")</f>
        <v/>
      </c>
      <c r="B544" s="2" t="str">
        <f t="shared" si="21"/>
        <v/>
      </c>
      <c r="C544" s="16"/>
      <c r="E544" s="12"/>
      <c r="F544" s="17"/>
      <c r="I544" s="12"/>
    </row>
    <row r="545" spans="1:9">
      <c r="A545" s="2" t="str">
        <f>IF(B545&lt;&gt;"",SUM($B$128:B545),"")</f>
        <v/>
      </c>
      <c r="B545" s="2" t="str">
        <f t="shared" si="21"/>
        <v/>
      </c>
      <c r="C545" s="18">
        <f>IF(D21=1,CEILING((D9+D10)*2+1,6),0)</f>
        <v>0</v>
      </c>
      <c r="D545" s="19"/>
      <c r="E545" s="49"/>
      <c r="F545" s="20">
        <f>$D$16</f>
        <v>0</v>
      </c>
      <c r="G545" s="79" t="str" cm="1">
        <f t="array" ref="G545">INDEX($G$541:$G$542,_xlfn.XMATCH(F545,$F$541:$F$542,0))</f>
        <v>03.02.02.0092</v>
      </c>
      <c r="H545" s="80" t="str">
        <f>_xlfn.XLOOKUP(G545,$G$541:$G$542,$H$541:$H$542)</f>
        <v>Alu L-profile - 80x40x3</v>
      </c>
      <c r="I545" s="12"/>
    </row>
    <row r="546" spans="1:9">
      <c r="E546" s="12"/>
      <c r="I546" s="12"/>
    </row>
    <row r="547" spans="1:9">
      <c r="E547" s="12"/>
      <c r="I547" s="12"/>
    </row>
    <row r="548" spans="1:9">
      <c r="E548" s="12"/>
      <c r="I548" s="12"/>
    </row>
    <row r="549" spans="1:9">
      <c r="E549" s="12"/>
      <c r="I549" s="12"/>
    </row>
    <row r="550" spans="1:9">
      <c r="E550" s="12"/>
      <c r="I550" s="12"/>
    </row>
    <row r="551" spans="1:9">
      <c r="E551" s="12"/>
      <c r="I551" s="12"/>
    </row>
    <row r="552" spans="1:9">
      <c r="E552" s="12"/>
      <c r="I552" s="12"/>
    </row>
    <row r="553" spans="1:9">
      <c r="E553" s="12"/>
      <c r="I553" s="12"/>
    </row>
    <row r="554" spans="1:9">
      <c r="E554" s="12"/>
      <c r="I554" s="12"/>
    </row>
    <row r="555" spans="1:9">
      <c r="E555" s="12"/>
      <c r="I555" s="12"/>
    </row>
    <row r="556" spans="1:9">
      <c r="E556" s="12"/>
      <c r="I556" s="12"/>
    </row>
    <row r="557" spans="1:9">
      <c r="E557" s="12"/>
      <c r="I557" s="12"/>
    </row>
    <row r="558" spans="1:9">
      <c r="E558" s="12"/>
      <c r="I558" s="12"/>
    </row>
    <row r="559" spans="1:9">
      <c r="E559" s="12"/>
      <c r="I559" s="12"/>
    </row>
    <row r="560" spans="1:9">
      <c r="E560" s="12"/>
      <c r="I560" s="12"/>
    </row>
    <row r="561" spans="5:9">
      <c r="E561" s="12"/>
      <c r="I561" s="12"/>
    </row>
    <row r="562" spans="5:9">
      <c r="E562" s="12"/>
      <c r="I562" s="12"/>
    </row>
    <row r="563" spans="5:9">
      <c r="E563" s="12"/>
      <c r="I563" s="12"/>
    </row>
    <row r="564" spans="5:9">
      <c r="E564" s="12"/>
    </row>
    <row r="565" spans="5:9">
      <c r="E565" s="12"/>
    </row>
    <row r="566" spans="5:9">
      <c r="E566" s="12"/>
    </row>
    <row r="567" spans="5:9">
      <c r="E567" s="12"/>
    </row>
    <row r="568" spans="5:9">
      <c r="E568" s="12"/>
    </row>
    <row r="569" spans="5:9">
      <c r="E569" s="12"/>
    </row>
    <row r="570" spans="5:9">
      <c r="E570" s="12"/>
    </row>
    <row r="571" spans="5:9">
      <c r="E571" s="12"/>
    </row>
    <row r="572" spans="5:9">
      <c r="E572" s="12"/>
    </row>
    <row r="573" spans="5:9">
      <c r="E573" s="12"/>
    </row>
    <row r="574" spans="5:9">
      <c r="E574" s="12"/>
    </row>
    <row r="575" spans="5:9">
      <c r="E575" s="12"/>
    </row>
    <row r="576" spans="5:9">
      <c r="E576" s="12"/>
    </row>
    <row r="577" spans="4:5">
      <c r="E577" s="12"/>
    </row>
    <row r="578" spans="4:5">
      <c r="E578" s="12"/>
    </row>
    <row r="579" spans="4:5">
      <c r="E579" s="12"/>
    </row>
    <row r="580" spans="4:5">
      <c r="E580" s="12"/>
    </row>
    <row r="581" spans="4:5">
      <c r="E581" s="12"/>
    </row>
    <row r="582" spans="4:5">
      <c r="E582" s="12"/>
    </row>
    <row r="583" spans="4:5">
      <c r="E583" s="12"/>
    </row>
    <row r="584" spans="4:5">
      <c r="E584" s="12"/>
    </row>
    <row r="585" spans="4:5">
      <c r="D585" s="12"/>
    </row>
    <row r="586" spans="4:5">
      <c r="D586" s="12"/>
    </row>
    <row r="587" spans="4:5">
      <c r="D587" s="12"/>
    </row>
    <row r="588" spans="4:5">
      <c r="D588" s="12"/>
    </row>
    <row r="589" spans="4:5">
      <c r="D589" s="12"/>
    </row>
    <row r="590" spans="4:5">
      <c r="D590" s="12"/>
    </row>
    <row r="591" spans="4:5">
      <c r="D591" s="12"/>
    </row>
    <row r="592" spans="4:5">
      <c r="D592" s="12"/>
    </row>
    <row r="593" spans="4:4">
      <c r="D593" s="12"/>
    </row>
    <row r="594" spans="4:4">
      <c r="D594" s="12"/>
    </row>
    <row r="595" spans="4:4">
      <c r="D595" s="12"/>
    </row>
    <row r="596" spans="4:4">
      <c r="D596" s="12"/>
    </row>
    <row r="597" spans="4:4">
      <c r="D597" s="12"/>
    </row>
    <row r="598" spans="4:4">
      <c r="D598" s="12"/>
    </row>
    <row r="599" spans="4:4">
      <c r="D599" s="12"/>
    </row>
    <row r="600" spans="4:4">
      <c r="D600" s="12"/>
    </row>
    <row r="601" spans="4:4">
      <c r="D601" s="12"/>
    </row>
    <row r="602" spans="4:4">
      <c r="D602" s="12"/>
    </row>
    <row r="603" spans="4:4">
      <c r="D603" s="12"/>
    </row>
    <row r="604" spans="4:4">
      <c r="D604" s="12"/>
    </row>
    <row r="605" spans="4:4">
      <c r="D605" s="12"/>
    </row>
    <row r="606" spans="4:4">
      <c r="D606" s="12"/>
    </row>
    <row r="607" spans="4:4">
      <c r="D607" s="12"/>
    </row>
    <row r="608" spans="4:4">
      <c r="D608" s="12"/>
    </row>
    <row r="609" spans="4:4">
      <c r="D609" s="12"/>
    </row>
    <row r="610" spans="4:4">
      <c r="D610" s="12"/>
    </row>
    <row r="611" spans="4:4">
      <c r="D611" s="12"/>
    </row>
    <row r="612" spans="4:4">
      <c r="D612" s="12"/>
    </row>
    <row r="613" spans="4:4">
      <c r="D613" s="12"/>
    </row>
    <row r="614" spans="4:4">
      <c r="D614" s="12"/>
    </row>
    <row r="615" spans="4:4">
      <c r="D615" s="12"/>
    </row>
    <row r="616" spans="4:4">
      <c r="D616" s="12"/>
    </row>
    <row r="617" spans="4:4">
      <c r="D617" s="12"/>
    </row>
    <row r="618" spans="4:4">
      <c r="D618" s="12"/>
    </row>
    <row r="619" spans="4:4">
      <c r="D619" s="12"/>
    </row>
    <row r="620" spans="4:4">
      <c r="D620" s="12"/>
    </row>
    <row r="621" spans="4:4">
      <c r="D621" s="12"/>
    </row>
    <row r="622" spans="4:4">
      <c r="D622" s="12"/>
    </row>
    <row r="623" spans="4:4">
      <c r="D623" s="12"/>
    </row>
    <row r="624" spans="4:4">
      <c r="D624" s="12"/>
    </row>
    <row r="625" spans="4:4">
      <c r="D625" s="12"/>
    </row>
    <row r="626" spans="4:4">
      <c r="D626" s="12"/>
    </row>
    <row r="627" spans="4:4">
      <c r="D627" s="12"/>
    </row>
    <row r="628" spans="4:4">
      <c r="D628" s="12"/>
    </row>
    <row r="629" spans="4:4">
      <c r="D629" s="12"/>
    </row>
    <row r="630" spans="4:4">
      <c r="D630" s="12"/>
    </row>
    <row r="631" spans="4:4">
      <c r="D631" s="12"/>
    </row>
    <row r="632" spans="4:4">
      <c r="D632" s="12"/>
    </row>
    <row r="633" spans="4:4">
      <c r="D633" s="12"/>
    </row>
    <row r="634" spans="4:4">
      <c r="D634" s="12"/>
    </row>
    <row r="635" spans="4:4">
      <c r="D635" s="12"/>
    </row>
    <row r="636" spans="4:4">
      <c r="D636" s="12"/>
    </row>
    <row r="637" spans="4:4">
      <c r="D637" s="12"/>
    </row>
    <row r="638" spans="4:4">
      <c r="D638" s="12"/>
    </row>
    <row r="639" spans="4:4">
      <c r="D639" s="12"/>
    </row>
    <row r="640" spans="4:4">
      <c r="D640" s="12"/>
    </row>
    <row r="641" spans="4:4">
      <c r="D641" s="12"/>
    </row>
    <row r="642" spans="4:4">
      <c r="D642" s="12"/>
    </row>
    <row r="643" spans="4:4">
      <c r="D643" s="12"/>
    </row>
    <row r="644" spans="4:4">
      <c r="D644" s="12"/>
    </row>
    <row r="645" spans="4:4">
      <c r="D645" s="12"/>
    </row>
    <row r="646" spans="4:4">
      <c r="D646" s="12"/>
    </row>
    <row r="647" spans="4:4">
      <c r="D647" s="12"/>
    </row>
    <row r="648" spans="4:4">
      <c r="D648" s="12"/>
    </row>
    <row r="649" spans="4:4">
      <c r="D649" s="12"/>
    </row>
    <row r="650" spans="4:4">
      <c r="D650" s="12"/>
    </row>
    <row r="651" spans="4:4">
      <c r="D651" s="12"/>
    </row>
    <row r="652" spans="4:4">
      <c r="D652" s="12"/>
    </row>
    <row r="653" spans="4:4">
      <c r="D653" s="12"/>
    </row>
    <row r="654" spans="4:4">
      <c r="D654" s="12"/>
    </row>
    <row r="655" spans="4:4">
      <c r="D655" s="12"/>
    </row>
    <row r="656" spans="4:4">
      <c r="D656" s="12"/>
    </row>
    <row r="657" spans="4:4">
      <c r="D657" s="12"/>
    </row>
    <row r="658" spans="4:4">
      <c r="D658" s="12"/>
    </row>
    <row r="659" spans="4:4">
      <c r="D659" s="12"/>
    </row>
    <row r="660" spans="4:4">
      <c r="D660" s="12"/>
    </row>
    <row r="661" spans="4:4">
      <c r="D661" s="12"/>
    </row>
    <row r="662" spans="4:4">
      <c r="D662" s="12"/>
    </row>
    <row r="663" spans="4:4">
      <c r="D663" s="12"/>
    </row>
    <row r="664" spans="4:4">
      <c r="D664" s="12"/>
    </row>
    <row r="665" spans="4:4">
      <c r="D665" s="12"/>
    </row>
    <row r="666" spans="4:4">
      <c r="D666" s="12"/>
    </row>
    <row r="667" spans="4:4">
      <c r="D667" s="12"/>
    </row>
    <row r="668" spans="4:4">
      <c r="D668" s="12"/>
    </row>
    <row r="669" spans="4:4">
      <c r="D669" s="12"/>
    </row>
    <row r="670" spans="4:4">
      <c r="D670" s="12"/>
    </row>
    <row r="671" spans="4:4">
      <c r="D671" s="12"/>
    </row>
    <row r="672" spans="4:4">
      <c r="D672" s="12"/>
    </row>
    <row r="673" spans="4:4">
      <c r="D673" s="12"/>
    </row>
    <row r="674" spans="4:4">
      <c r="D674" s="12"/>
    </row>
  </sheetData>
  <mergeCells count="2">
    <mergeCell ref="C84:E84"/>
    <mergeCell ref="C76:D76"/>
  </mergeCells>
  <pageMargins left="0.7" right="0.7" top="0.75" bottom="0.75"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E77ED-4B05-485D-AA7A-20B9685E341F}">
  <dimension ref="A1:AI112"/>
  <sheetViews>
    <sheetView topLeftCell="A65" workbookViewId="0">
      <selection activeCell="B85" sqref="B85"/>
    </sheetView>
  </sheetViews>
  <sheetFormatPr defaultColWidth="9.140625" defaultRowHeight="15"/>
  <cols>
    <col min="1" max="1" width="12.7109375" style="2" bestFit="1" customWidth="1"/>
    <col min="2" max="2" width="71.42578125" style="1" bestFit="1" customWidth="1"/>
    <col min="3" max="3" width="6.42578125" style="2" customWidth="1"/>
    <col min="4" max="4" width="19.42578125" style="2" bestFit="1" customWidth="1"/>
    <col min="5" max="6" width="19.42578125" style="2" customWidth="1"/>
    <col min="7" max="7" width="19.42578125" style="2" bestFit="1" customWidth="1"/>
    <col min="8" max="8" width="20.42578125" style="2" bestFit="1" customWidth="1"/>
    <col min="9" max="9" width="19.85546875" style="2" bestFit="1" customWidth="1"/>
    <col min="10" max="10" width="20.42578125" style="2" bestFit="1" customWidth="1"/>
    <col min="11" max="11" width="15.140625" style="2" bestFit="1" customWidth="1"/>
    <col min="12" max="12" width="17.85546875" style="2" bestFit="1" customWidth="1"/>
    <col min="13" max="13" width="21.42578125" style="2" bestFit="1" customWidth="1"/>
    <col min="14" max="14" width="15.7109375" style="2" bestFit="1" customWidth="1"/>
    <col min="15" max="15" width="22.42578125" style="2" bestFit="1" customWidth="1"/>
    <col min="16" max="16" width="19.85546875" style="2" bestFit="1" customWidth="1"/>
    <col min="17" max="20" width="19.85546875" style="2" customWidth="1"/>
    <col min="21" max="21" width="14.7109375" style="2" bestFit="1" customWidth="1"/>
    <col min="22" max="22" width="22" style="2" bestFit="1" customWidth="1"/>
    <col min="23" max="23" width="22.42578125" style="2" bestFit="1" customWidth="1"/>
    <col min="24" max="24" width="22" style="2" customWidth="1"/>
    <col min="25" max="25" width="18.85546875" style="2" bestFit="1" customWidth="1"/>
    <col min="26" max="26" width="15.42578125" style="2" bestFit="1" customWidth="1"/>
    <col min="27" max="27" width="17.7109375" style="2" bestFit="1" customWidth="1"/>
    <col min="28" max="28" width="17.7109375" style="2" customWidth="1"/>
    <col min="29" max="29" width="21.42578125" style="2" bestFit="1" customWidth="1"/>
    <col min="30" max="30" width="20.140625" style="2" bestFit="1" customWidth="1"/>
    <col min="31" max="31" width="15.42578125" style="2" bestFit="1" customWidth="1"/>
    <col min="32" max="32" width="19.140625" style="2" customWidth="1"/>
    <col min="33" max="33" width="19.42578125" style="2" bestFit="1" customWidth="1"/>
    <col min="34" max="16384" width="9.140625" style="2"/>
  </cols>
  <sheetData>
    <row r="1" spans="1:35" ht="48">
      <c r="B1" s="2"/>
      <c r="D1" s="24" t="s">
        <v>592</v>
      </c>
      <c r="E1" s="84" t="s">
        <v>593</v>
      </c>
      <c r="F1" s="25" t="s">
        <v>594</v>
      </c>
      <c r="G1" s="25" t="s">
        <v>595</v>
      </c>
      <c r="H1" s="25" t="s">
        <v>596</v>
      </c>
      <c r="I1" s="25" t="s">
        <v>597</v>
      </c>
      <c r="J1" s="25" t="s">
        <v>598</v>
      </c>
      <c r="K1" s="25" t="s">
        <v>599</v>
      </c>
      <c r="L1" s="25" t="s">
        <v>600</v>
      </c>
      <c r="M1" s="25" t="s">
        <v>601</v>
      </c>
      <c r="N1" s="25" t="s">
        <v>602</v>
      </c>
      <c r="O1" s="25" t="s">
        <v>603</v>
      </c>
      <c r="P1" s="25" t="s">
        <v>604</v>
      </c>
      <c r="Q1" s="25" t="s">
        <v>605</v>
      </c>
      <c r="R1" s="84" t="s">
        <v>606</v>
      </c>
      <c r="S1" s="84" t="s">
        <v>607</v>
      </c>
      <c r="T1" s="97" t="s">
        <v>608</v>
      </c>
      <c r="U1" s="84" t="s">
        <v>609</v>
      </c>
      <c r="V1" s="84" t="s">
        <v>610</v>
      </c>
      <c r="W1" s="84" t="s">
        <v>611</v>
      </c>
      <c r="X1" s="84" t="s">
        <v>612</v>
      </c>
      <c r="Y1" s="84" t="s">
        <v>613</v>
      </c>
      <c r="Z1" s="84" t="s">
        <v>614</v>
      </c>
      <c r="AA1" s="84" t="s">
        <v>615</v>
      </c>
      <c r="AB1" s="84" t="s">
        <v>616</v>
      </c>
      <c r="AC1" s="25" t="s">
        <v>617</v>
      </c>
      <c r="AD1" s="25" t="s">
        <v>618</v>
      </c>
      <c r="AE1" s="25" t="s">
        <v>619</v>
      </c>
      <c r="AF1" s="25" t="s">
        <v>620</v>
      </c>
      <c r="AG1" s="26" t="s">
        <v>621</v>
      </c>
    </row>
    <row r="2" spans="1:35">
      <c r="B2" s="2"/>
      <c r="C2" s="32" t="s">
        <v>622</v>
      </c>
      <c r="D2" s="18" t="s">
        <v>623</v>
      </c>
      <c r="E2" s="85" t="s">
        <v>624</v>
      </c>
      <c r="F2" s="19" t="s">
        <v>625</v>
      </c>
      <c r="G2" s="19" t="s">
        <v>626</v>
      </c>
      <c r="H2" s="19" t="s">
        <v>627</v>
      </c>
      <c r="I2" s="19" t="s">
        <v>628</v>
      </c>
      <c r="J2" s="19" t="s">
        <v>629</v>
      </c>
      <c r="K2" s="19" t="s">
        <v>630</v>
      </c>
      <c r="L2" s="19" t="s">
        <v>631</v>
      </c>
      <c r="M2" s="19" t="s">
        <v>632</v>
      </c>
      <c r="N2" s="19" t="s">
        <v>633</v>
      </c>
      <c r="O2" s="19" t="s">
        <v>634</v>
      </c>
      <c r="P2" s="19" t="s">
        <v>635</v>
      </c>
      <c r="Q2" s="19" t="s">
        <v>636</v>
      </c>
      <c r="R2" s="85" t="s">
        <v>637</v>
      </c>
      <c r="S2" s="85" t="s">
        <v>638</v>
      </c>
      <c r="T2" s="83" t="s">
        <v>639</v>
      </c>
      <c r="U2" s="85" t="s">
        <v>640</v>
      </c>
      <c r="V2" s="85" t="s">
        <v>641</v>
      </c>
      <c r="W2" s="2" t="s">
        <v>642</v>
      </c>
      <c r="X2" s="2" t="s">
        <v>643</v>
      </c>
      <c r="Y2" s="85" t="s">
        <v>644</v>
      </c>
      <c r="Z2" s="85" t="s">
        <v>645</v>
      </c>
      <c r="AA2" s="85" t="s">
        <v>646</v>
      </c>
      <c r="AB2" s="79" t="s">
        <v>647</v>
      </c>
      <c r="AC2" s="2" t="s">
        <v>648</v>
      </c>
      <c r="AD2" s="19" t="s">
        <v>649</v>
      </c>
      <c r="AE2" s="19" t="s">
        <v>650</v>
      </c>
      <c r="AF2" s="19" t="s">
        <v>651</v>
      </c>
      <c r="AG2" s="20" t="s">
        <v>652</v>
      </c>
    </row>
    <row r="3" spans="1:35">
      <c r="A3" s="13" t="s">
        <v>195</v>
      </c>
      <c r="B3" s="27" t="s">
        <v>196</v>
      </c>
      <c r="C3" s="30">
        <f>_xlfn.XLOOKUP(A3,List!$C$2:$C$89,List!$E$2:$E$89,"",0)</f>
        <v>4</v>
      </c>
      <c r="D3" s="13">
        <v>4</v>
      </c>
      <c r="E3" s="14"/>
      <c r="F3" s="14"/>
      <c r="G3" s="14"/>
      <c r="H3" s="14">
        <v>1</v>
      </c>
      <c r="I3" s="14"/>
      <c r="J3" s="14"/>
      <c r="K3" s="14">
        <v>5</v>
      </c>
      <c r="L3" s="14">
        <v>10</v>
      </c>
      <c r="M3" s="14">
        <v>2</v>
      </c>
      <c r="N3" s="14"/>
      <c r="O3" s="14"/>
      <c r="P3" s="14"/>
      <c r="Q3" s="14"/>
      <c r="R3" s="14"/>
      <c r="S3" s="14"/>
      <c r="T3" s="14"/>
      <c r="U3" s="14">
        <v>1</v>
      </c>
      <c r="V3" s="14">
        <f>0.25*Calc!$D$24</f>
        <v>0</v>
      </c>
      <c r="W3" s="14"/>
      <c r="X3" s="14"/>
      <c r="Y3" s="14"/>
      <c r="Z3" s="14"/>
      <c r="AA3" s="14"/>
      <c r="AB3" s="14"/>
      <c r="AC3" s="14"/>
      <c r="AD3" s="14"/>
      <c r="AE3" s="14"/>
      <c r="AF3" s="14"/>
      <c r="AG3" s="15"/>
    </row>
    <row r="4" spans="1:35">
      <c r="A4" s="16" t="s">
        <v>197</v>
      </c>
      <c r="B4" s="28" t="s">
        <v>198</v>
      </c>
      <c r="C4" s="31" t="str">
        <f>_xlfn.XLOOKUP(A4,List!$C$2:$C$89,List!$E$2:$E$89,"",0)</f>
        <v/>
      </c>
      <c r="D4" s="16">
        <v>4</v>
      </c>
      <c r="H4" s="2">
        <v>1</v>
      </c>
      <c r="K4" s="2">
        <v>5</v>
      </c>
      <c r="L4" s="2">
        <v>10</v>
      </c>
      <c r="M4" s="2">
        <v>2</v>
      </c>
      <c r="N4" s="2">
        <v>12</v>
      </c>
      <c r="U4" s="2">
        <v>1</v>
      </c>
      <c r="V4" s="2">
        <f>0.25*Calc!$D$24</f>
        <v>0</v>
      </c>
      <c r="AG4" s="17"/>
    </row>
    <row r="5" spans="1:35">
      <c r="A5" s="16" t="s">
        <v>200</v>
      </c>
      <c r="B5" s="28" t="s">
        <v>201</v>
      </c>
      <c r="C5" s="31" t="str">
        <f>_xlfn.XLOOKUP(A5,List!$C$2:$C$89,List!$E$2:$E$89,"",0)</f>
        <v/>
      </c>
      <c r="D5" s="16">
        <v>4</v>
      </c>
      <c r="H5" s="2">
        <v>1</v>
      </c>
      <c r="K5" s="2">
        <v>5</v>
      </c>
      <c r="L5" s="2">
        <v>10</v>
      </c>
      <c r="M5" s="2">
        <v>2</v>
      </c>
      <c r="V5" s="2">
        <f>0.25*Calc!$D$24</f>
        <v>0</v>
      </c>
      <c r="AG5" s="17"/>
    </row>
    <row r="6" spans="1:35">
      <c r="A6" s="16" t="s">
        <v>202</v>
      </c>
      <c r="B6" s="28" t="s">
        <v>203</v>
      </c>
      <c r="C6" s="31" t="str">
        <f>_xlfn.XLOOKUP(A6,List!$C$2:$C$89,List!$E$2:$E$89,"",0)</f>
        <v/>
      </c>
      <c r="D6" s="16">
        <v>4</v>
      </c>
      <c r="H6" s="2">
        <v>1</v>
      </c>
      <c r="K6" s="2">
        <v>5</v>
      </c>
      <c r="L6" s="2">
        <v>10</v>
      </c>
      <c r="M6" s="2">
        <v>2</v>
      </c>
      <c r="N6" s="2">
        <v>12</v>
      </c>
      <c r="V6" s="2">
        <f>0.25*Calc!$D$24</f>
        <v>0</v>
      </c>
      <c r="AG6" s="17"/>
    </row>
    <row r="7" spans="1:35">
      <c r="A7" s="16" t="s">
        <v>205</v>
      </c>
      <c r="B7" s="28" t="s">
        <v>206</v>
      </c>
      <c r="C7" s="31" t="str">
        <f>_xlfn.XLOOKUP(A7,List!$C$2:$C$89,List!$E$2:$E$89,"",0)</f>
        <v/>
      </c>
      <c r="D7" s="16">
        <v>6</v>
      </c>
      <c r="H7" s="2">
        <v>1</v>
      </c>
      <c r="K7" s="2">
        <v>7</v>
      </c>
      <c r="L7" s="2">
        <v>14</v>
      </c>
      <c r="M7" s="2">
        <v>2</v>
      </c>
      <c r="U7" s="2">
        <v>1</v>
      </c>
      <c r="V7" s="2">
        <f>0.5*Calc!$D$24</f>
        <v>0</v>
      </c>
      <c r="AG7" s="17"/>
    </row>
    <row r="8" spans="1:35">
      <c r="A8" s="16" t="s">
        <v>207</v>
      </c>
      <c r="B8" s="28" t="s">
        <v>208</v>
      </c>
      <c r="C8" s="31" t="str">
        <f>_xlfn.XLOOKUP(A8,List!$C$2:$C$89,List!$E$2:$E$89,"",0)</f>
        <v/>
      </c>
      <c r="D8" s="16">
        <v>6</v>
      </c>
      <c r="H8" s="2">
        <v>1</v>
      </c>
      <c r="K8" s="2">
        <v>7</v>
      </c>
      <c r="L8" s="2">
        <v>14</v>
      </c>
      <c r="M8" s="2">
        <v>2</v>
      </c>
      <c r="N8" s="2">
        <v>16</v>
      </c>
      <c r="U8" s="2">
        <v>1</v>
      </c>
      <c r="V8" s="2">
        <f>0.5*Calc!$D$24</f>
        <v>0</v>
      </c>
      <c r="AG8" s="17"/>
      <c r="AH8"/>
      <c r="AI8"/>
    </row>
    <row r="9" spans="1:35">
      <c r="A9" s="16" t="s">
        <v>210</v>
      </c>
      <c r="B9" s="28" t="s">
        <v>211</v>
      </c>
      <c r="C9" s="31" t="str">
        <f>_xlfn.XLOOKUP(A9,List!$C$2:$C$89,List!$E$2:$E$89,"",0)</f>
        <v/>
      </c>
      <c r="D9" s="16">
        <v>4</v>
      </c>
      <c r="H9" s="2">
        <v>1</v>
      </c>
      <c r="K9" s="2">
        <v>5</v>
      </c>
      <c r="L9" s="2">
        <v>10</v>
      </c>
      <c r="M9" s="2">
        <v>2</v>
      </c>
      <c r="V9" s="2">
        <f>0.25*Calc!$D$24</f>
        <v>0</v>
      </c>
      <c r="AG9" s="17"/>
      <c r="AH9"/>
      <c r="AI9"/>
    </row>
    <row r="10" spans="1:35">
      <c r="A10" s="16" t="s">
        <v>212</v>
      </c>
      <c r="B10" s="28" t="s">
        <v>213</v>
      </c>
      <c r="C10" s="31" t="str">
        <f>_xlfn.XLOOKUP(A10,List!$C$2:$C$89,List!$E$2:$E$89,"",0)</f>
        <v/>
      </c>
      <c r="D10" s="16">
        <v>4</v>
      </c>
      <c r="H10" s="2">
        <v>1</v>
      </c>
      <c r="K10" s="2">
        <v>5</v>
      </c>
      <c r="L10" s="2">
        <v>10</v>
      </c>
      <c r="M10" s="2">
        <v>2</v>
      </c>
      <c r="N10" s="2">
        <v>12</v>
      </c>
      <c r="V10" s="2">
        <f>0.25*Calc!$D$24</f>
        <v>0</v>
      </c>
      <c r="AG10" s="17"/>
      <c r="AH10"/>
      <c r="AI10"/>
    </row>
    <row r="11" spans="1:35">
      <c r="A11" s="16" t="s">
        <v>215</v>
      </c>
      <c r="B11" s="28" t="s">
        <v>216</v>
      </c>
      <c r="C11" s="31" t="str">
        <f>_xlfn.XLOOKUP(A11,List!$C$2:$C$89,List!$E$2:$E$89,"",0)</f>
        <v/>
      </c>
      <c r="D11" s="16">
        <v>1</v>
      </c>
      <c r="H11" s="2">
        <v>1</v>
      </c>
      <c r="K11" s="2">
        <v>2</v>
      </c>
      <c r="L11" s="2">
        <v>4</v>
      </c>
      <c r="M11" s="2">
        <v>2</v>
      </c>
      <c r="AG11" s="17"/>
      <c r="AH11"/>
      <c r="AI11"/>
    </row>
    <row r="12" spans="1:35">
      <c r="A12" s="16" t="s">
        <v>217</v>
      </c>
      <c r="B12" s="28" t="s">
        <v>218</v>
      </c>
      <c r="C12" s="31" t="str">
        <f>_xlfn.XLOOKUP(A12,List!$C$2:$C$89,List!$E$2:$E$89,"",0)</f>
        <v/>
      </c>
      <c r="D12" s="16">
        <v>1</v>
      </c>
      <c r="H12" s="2">
        <v>1</v>
      </c>
      <c r="K12" s="2">
        <v>2</v>
      </c>
      <c r="L12" s="2">
        <v>4</v>
      </c>
      <c r="M12" s="2">
        <v>2</v>
      </c>
      <c r="N12" s="2">
        <v>6</v>
      </c>
      <c r="AG12" s="17"/>
    </row>
    <row r="13" spans="1:35">
      <c r="A13" s="16" t="s">
        <v>221</v>
      </c>
      <c r="B13" s="28" t="s">
        <v>222</v>
      </c>
      <c r="C13" s="31" t="str">
        <f>_xlfn.XLOOKUP(A13,List!$C$2:$C$89,List!$E$2:$E$89,"",0)</f>
        <v/>
      </c>
      <c r="D13" s="16"/>
      <c r="M13" s="2">
        <v>4</v>
      </c>
      <c r="W13" s="2">
        <f>4*Calc!$D$22</f>
        <v>4</v>
      </c>
      <c r="X13" s="2">
        <f>4*Calc!$D$22</f>
        <v>4</v>
      </c>
      <c r="Y13" s="2">
        <f>4*Calc!$D$23</f>
        <v>0</v>
      </c>
      <c r="Z13" s="2">
        <f>IF((Calc!$D$23+Calc!$D$22)&gt;0,4,0)</f>
        <v>4</v>
      </c>
      <c r="AG13" s="17"/>
    </row>
    <row r="14" spans="1:35">
      <c r="A14" s="16" t="s">
        <v>225</v>
      </c>
      <c r="B14" s="28" t="s">
        <v>226</v>
      </c>
      <c r="C14" s="31">
        <f>_xlfn.XLOOKUP(A14,List!$C$2:$C$89,List!$E$2:$E$89,"",0)</f>
        <v>4</v>
      </c>
      <c r="D14" s="16"/>
      <c r="M14" s="2">
        <v>4</v>
      </c>
      <c r="W14" s="2">
        <f>4*Calc!$D$22</f>
        <v>4</v>
      </c>
      <c r="X14" s="2">
        <f>4*Calc!$D$22</f>
        <v>4</v>
      </c>
      <c r="Y14" s="2">
        <f>4*Calc!$D$23</f>
        <v>0</v>
      </c>
      <c r="Z14" s="2">
        <f>IF((Calc!$D$23+Calc!$D$22)&gt;0,4,0)</f>
        <v>4</v>
      </c>
      <c r="AG14" s="17"/>
    </row>
    <row r="15" spans="1:35">
      <c r="A15" s="16" t="s">
        <v>227</v>
      </c>
      <c r="B15" s="28" t="s">
        <v>228</v>
      </c>
      <c r="C15" s="31" t="str">
        <f>_xlfn.XLOOKUP(A15,List!$C$2:$C$89,List!$E$2:$E$89,"",0)</f>
        <v/>
      </c>
      <c r="D15" s="16"/>
      <c r="M15" s="2">
        <v>4</v>
      </c>
      <c r="N15" s="2">
        <v>4</v>
      </c>
      <c r="W15" s="2">
        <f>4*Calc!$D$22</f>
        <v>4</v>
      </c>
      <c r="X15" s="2">
        <f>4*Calc!$D$22</f>
        <v>4</v>
      </c>
      <c r="Y15" s="2">
        <f>4*Calc!$D$23</f>
        <v>0</v>
      </c>
      <c r="Z15" s="2">
        <f>IF((Calc!$D$23+Calc!$D$22)&gt;0,4,0)</f>
        <v>4</v>
      </c>
      <c r="AG15" s="17"/>
    </row>
    <row r="16" spans="1:35">
      <c r="A16" s="16" t="s">
        <v>223</v>
      </c>
      <c r="B16" s="28" t="s">
        <v>224</v>
      </c>
      <c r="C16" s="31" t="str">
        <f>_xlfn.XLOOKUP(A16,List!$C$2:$C$89,List!$E$2:$E$89,"",0)</f>
        <v/>
      </c>
      <c r="D16" s="16"/>
      <c r="M16" s="2">
        <v>4</v>
      </c>
      <c r="N16" s="2">
        <v>4</v>
      </c>
      <c r="W16" s="2">
        <f>4*Calc!$D$22</f>
        <v>4</v>
      </c>
      <c r="X16" s="2">
        <f>4*Calc!$D$22</f>
        <v>4</v>
      </c>
      <c r="Y16" s="2">
        <f>4*Calc!$D$23</f>
        <v>0</v>
      </c>
      <c r="Z16" s="2">
        <f>IF((Calc!$D$23+Calc!$D$22)&gt;0,4,0)</f>
        <v>4</v>
      </c>
      <c r="AG16" s="17"/>
    </row>
    <row r="17" spans="1:33">
      <c r="A17" s="79" t="s">
        <v>230</v>
      </c>
      <c r="B17" s="79" t="s">
        <v>231</v>
      </c>
      <c r="C17" s="31">
        <f>_xlfn.XLOOKUP(A17,List!$C$2:$C$89,List!$E$2:$E$89,"",0)</f>
        <v>2</v>
      </c>
      <c r="D17" s="16">
        <v>1</v>
      </c>
      <c r="K17" s="2">
        <v>1</v>
      </c>
      <c r="L17" s="2">
        <v>2</v>
      </c>
      <c r="M17" s="2">
        <v>4</v>
      </c>
      <c r="W17" s="2">
        <f>2*Calc!$D$22</f>
        <v>2</v>
      </c>
      <c r="X17" s="2">
        <f>2*Calc!$D$22</f>
        <v>2</v>
      </c>
      <c r="Y17" s="2">
        <f>2*Calc!$D$23</f>
        <v>0</v>
      </c>
      <c r="Z17" s="2">
        <f>IF((Calc!$D$23+Calc!$D$22)&gt;0,2,0)</f>
        <v>2</v>
      </c>
      <c r="AG17" s="17"/>
    </row>
    <row r="18" spans="1:33">
      <c r="A18" s="79" t="s">
        <v>232</v>
      </c>
      <c r="B18" s="79" t="s">
        <v>233</v>
      </c>
      <c r="C18" s="31" t="str">
        <f>_xlfn.XLOOKUP(A18,List!$C$2:$C$89,List!$E$2:$E$89,"",0)</f>
        <v/>
      </c>
      <c r="D18" s="16">
        <v>1</v>
      </c>
      <c r="K18" s="2">
        <v>1</v>
      </c>
      <c r="L18" s="2">
        <v>2</v>
      </c>
      <c r="M18" s="2">
        <v>4</v>
      </c>
      <c r="N18" s="2">
        <v>6</v>
      </c>
      <c r="W18" s="2">
        <f>2*Calc!$D$22</f>
        <v>2</v>
      </c>
      <c r="X18" s="2">
        <f>2*Calc!$D$22</f>
        <v>2</v>
      </c>
      <c r="Y18" s="2">
        <f>2*Calc!$D$23</f>
        <v>0</v>
      </c>
      <c r="Z18" s="2">
        <f>IF((Calc!$D$23+Calc!$D$22)&gt;0,2,0)</f>
        <v>2</v>
      </c>
      <c r="AG18" s="17"/>
    </row>
    <row r="19" spans="1:33">
      <c r="A19" s="88" t="s">
        <v>283</v>
      </c>
      <c r="B19" s="89" t="s">
        <v>284</v>
      </c>
      <c r="C19" s="31">
        <f>_xlfn.XLOOKUP(A19,List!$C$2:$C$89,List!$E$2:$E$89,"",0)</f>
        <v>1</v>
      </c>
      <c r="D19" s="16">
        <v>3</v>
      </c>
      <c r="K19" s="2">
        <v>3</v>
      </c>
      <c r="L19" s="2">
        <v>6</v>
      </c>
      <c r="AG19" s="17"/>
    </row>
    <row r="20" spans="1:33">
      <c r="A20" s="88" t="s">
        <v>285</v>
      </c>
      <c r="B20" s="89" t="s">
        <v>286</v>
      </c>
      <c r="C20" s="31" t="str">
        <f>_xlfn.XLOOKUP(A20,List!$C$2:$C$89,List!$E$2:$E$89,"",0)</f>
        <v/>
      </c>
      <c r="D20" s="16">
        <v>3</v>
      </c>
      <c r="K20" s="2">
        <v>3</v>
      </c>
      <c r="L20" s="2">
        <v>6</v>
      </c>
      <c r="N20" s="2">
        <v>6</v>
      </c>
      <c r="AG20" s="17"/>
    </row>
    <row r="21" spans="1:33">
      <c r="A21" s="88" t="s">
        <v>287</v>
      </c>
      <c r="B21" s="89" t="s">
        <v>288</v>
      </c>
      <c r="C21" s="31" t="str">
        <f>_xlfn.XLOOKUP(A21,List!$C$2:$C$89,List!$E$2:$E$89,"",0)</f>
        <v/>
      </c>
      <c r="D21" s="16">
        <v>3</v>
      </c>
      <c r="K21" s="2">
        <v>3</v>
      </c>
      <c r="L21" s="2">
        <v>6</v>
      </c>
      <c r="AG21" s="17"/>
    </row>
    <row r="22" spans="1:33">
      <c r="A22" s="88" t="s">
        <v>289</v>
      </c>
      <c r="B22" s="89" t="s">
        <v>290</v>
      </c>
      <c r="C22" s="31" t="str">
        <f>_xlfn.XLOOKUP(A22,List!$C$2:$C$89,List!$E$2:$E$89,"",0)</f>
        <v/>
      </c>
      <c r="D22" s="16">
        <v>3</v>
      </c>
      <c r="K22" s="2">
        <v>3</v>
      </c>
      <c r="L22" s="2">
        <v>6</v>
      </c>
      <c r="N22" s="2">
        <v>6</v>
      </c>
      <c r="AG22" s="17"/>
    </row>
    <row r="23" spans="1:33">
      <c r="A23" s="88" t="s">
        <v>291</v>
      </c>
      <c r="B23" s="89" t="s">
        <v>292</v>
      </c>
      <c r="C23" s="31" t="str">
        <f>_xlfn.XLOOKUP(A23,List!$C$2:$C$89,List!$E$2:$E$89,"",0)</f>
        <v/>
      </c>
      <c r="D23" s="16">
        <v>4</v>
      </c>
      <c r="K23" s="2">
        <v>4</v>
      </c>
      <c r="L23" s="2">
        <v>8</v>
      </c>
      <c r="AG23" s="17"/>
    </row>
    <row r="24" spans="1:33">
      <c r="A24" s="88" t="s">
        <v>293</v>
      </c>
      <c r="B24" s="89" t="s">
        <v>294</v>
      </c>
      <c r="C24" s="31" t="str">
        <f>_xlfn.XLOOKUP(A24,List!$C$2:$C$89,List!$E$2:$E$89,"",0)</f>
        <v/>
      </c>
      <c r="D24" s="16">
        <v>4</v>
      </c>
      <c r="K24" s="2">
        <v>4</v>
      </c>
      <c r="L24" s="2">
        <v>8</v>
      </c>
      <c r="N24" s="2">
        <v>8</v>
      </c>
      <c r="AG24" s="17"/>
    </row>
    <row r="25" spans="1:33">
      <c r="A25" s="88" t="s">
        <v>295</v>
      </c>
      <c r="B25" s="89" t="s">
        <v>296</v>
      </c>
      <c r="C25" s="31" t="str">
        <f>_xlfn.XLOOKUP(A25,List!$C$2:$C$89,List!$E$2:$E$89,"",0)</f>
        <v/>
      </c>
      <c r="D25" s="16">
        <v>4</v>
      </c>
      <c r="K25" s="2">
        <v>4</v>
      </c>
      <c r="L25" s="2">
        <v>8</v>
      </c>
      <c r="AG25" s="17"/>
    </row>
    <row r="26" spans="1:33">
      <c r="A26" s="88" t="s">
        <v>297</v>
      </c>
      <c r="B26" s="89" t="s">
        <v>298</v>
      </c>
      <c r="C26" s="31" t="str">
        <f>_xlfn.XLOOKUP(A26,List!$C$2:$C$89,List!$E$2:$E$89,"",0)</f>
        <v/>
      </c>
      <c r="D26" s="16">
        <v>4</v>
      </c>
      <c r="K26" s="2">
        <v>4</v>
      </c>
      <c r="L26" s="2">
        <v>8</v>
      </c>
      <c r="N26" s="2">
        <v>8</v>
      </c>
      <c r="AG26" s="17"/>
    </row>
    <row r="27" spans="1:33">
      <c r="A27" s="88" t="s">
        <v>299</v>
      </c>
      <c r="B27" s="89" t="s">
        <v>300</v>
      </c>
      <c r="C27" s="31" t="str">
        <f>_xlfn.XLOOKUP(A27,List!$C$2:$C$89,List!$E$2:$E$89,"",0)</f>
        <v/>
      </c>
      <c r="D27" s="16">
        <v>4</v>
      </c>
      <c r="K27" s="2">
        <v>4</v>
      </c>
      <c r="L27" s="2">
        <v>8</v>
      </c>
      <c r="AG27" s="17"/>
    </row>
    <row r="28" spans="1:33">
      <c r="A28" s="88" t="s">
        <v>301</v>
      </c>
      <c r="B28" s="89" t="s">
        <v>302</v>
      </c>
      <c r="C28" s="31" t="str">
        <f>_xlfn.XLOOKUP(A28,List!$C$2:$C$89,List!$E$2:$E$89,"",0)</f>
        <v/>
      </c>
      <c r="D28" s="16">
        <v>4</v>
      </c>
      <c r="K28" s="2">
        <v>4</v>
      </c>
      <c r="L28" s="2">
        <v>8</v>
      </c>
      <c r="N28" s="2">
        <v>8</v>
      </c>
      <c r="AG28" s="17"/>
    </row>
    <row r="29" spans="1:33">
      <c r="A29" s="88" t="s">
        <v>356</v>
      </c>
      <c r="B29" s="89" t="s">
        <v>357</v>
      </c>
      <c r="C29" s="31">
        <f>_xlfn.XLOOKUP(A29,List!$C$2:$C$89,List!$E$2:$E$89,"",0)</f>
        <v>20</v>
      </c>
      <c r="D29" s="16"/>
      <c r="M29" s="2">
        <v>2</v>
      </c>
      <c r="AG29" s="17"/>
    </row>
    <row r="30" spans="1:33">
      <c r="A30" s="88" t="s">
        <v>358</v>
      </c>
      <c r="B30" s="89" t="s">
        <v>359</v>
      </c>
      <c r="C30" s="31" t="str">
        <f>_xlfn.XLOOKUP(A30,List!$C$2:$C$89,List!$E$2:$E$89,"",0)</f>
        <v/>
      </c>
      <c r="D30" s="16"/>
      <c r="M30" s="2">
        <v>2</v>
      </c>
      <c r="N30" s="2">
        <v>2</v>
      </c>
      <c r="AG30" s="17"/>
    </row>
    <row r="31" spans="1:33">
      <c r="A31" s="79" t="s">
        <v>408</v>
      </c>
      <c r="B31" s="79" t="s">
        <v>409</v>
      </c>
      <c r="C31" s="31">
        <f>_xlfn.XLOOKUP(A31,List!$C$2:$C$89,List!$E$2:$E$89,"",0)</f>
        <v>2</v>
      </c>
      <c r="D31" s="16"/>
      <c r="M31" s="2">
        <v>2</v>
      </c>
      <c r="AG31" s="17"/>
    </row>
    <row r="32" spans="1:33">
      <c r="A32" s="79" t="s">
        <v>410</v>
      </c>
      <c r="B32" s="79" t="s">
        <v>411</v>
      </c>
      <c r="C32" s="31" t="str">
        <f>_xlfn.XLOOKUP(A32,List!$C$2:$C$89,List!$E$2:$E$89,"",0)</f>
        <v/>
      </c>
      <c r="D32" s="16"/>
      <c r="M32" s="2">
        <v>2</v>
      </c>
      <c r="N32" s="2">
        <v>2</v>
      </c>
      <c r="AG32" s="17"/>
    </row>
    <row r="33" spans="1:33">
      <c r="A33" s="79" t="s">
        <v>412</v>
      </c>
      <c r="B33" s="79" t="s">
        <v>413</v>
      </c>
      <c r="C33" s="31">
        <f>_xlfn.XLOOKUP(A33,List!$C$2:$C$89,List!$E$2:$E$89,"",0)</f>
        <v>2</v>
      </c>
      <c r="D33" s="16"/>
      <c r="E33" s="2">
        <f>IF(Calc!$D$37=1,2,0)</f>
        <v>0</v>
      </c>
      <c r="F33" s="2">
        <f>IF(Calc!$D$37&lt;&gt;1,2,0)</f>
        <v>2</v>
      </c>
      <c r="K33" s="2">
        <v>2</v>
      </c>
      <c r="L33" s="2">
        <v>4</v>
      </c>
      <c r="AG33" s="17"/>
    </row>
    <row r="34" spans="1:33">
      <c r="A34" s="79" t="s">
        <v>414</v>
      </c>
      <c r="B34" s="79" t="s">
        <v>415</v>
      </c>
      <c r="C34" s="31" t="str">
        <f>_xlfn.XLOOKUP(A34,List!$C$2:$C$89,List!$E$2:$E$89,"",0)</f>
        <v/>
      </c>
      <c r="D34" s="16"/>
      <c r="E34" s="2">
        <f>IF(Calc!$D$37=1,2,0)</f>
        <v>0</v>
      </c>
      <c r="F34" s="2">
        <f>IF(Calc!$D$37&lt;&gt;1,2,0)</f>
        <v>2</v>
      </c>
      <c r="K34" s="2">
        <v>2</v>
      </c>
      <c r="L34" s="2">
        <v>4</v>
      </c>
      <c r="N34" s="2">
        <v>4</v>
      </c>
      <c r="AG34" s="17"/>
    </row>
    <row r="35" spans="1:33">
      <c r="A35" s="79" t="s">
        <v>348</v>
      </c>
      <c r="B35" s="79" t="s">
        <v>349</v>
      </c>
      <c r="C35" s="31" t="str">
        <f>_xlfn.XLOOKUP(A35,List!$C$2:$C$89,List!$E$2:$E$89,"",0)</f>
        <v/>
      </c>
      <c r="D35" s="16">
        <v>2</v>
      </c>
      <c r="L35" s="2">
        <v>2</v>
      </c>
      <c r="AG35" s="17"/>
    </row>
    <row r="36" spans="1:33">
      <c r="A36" s="79" t="s">
        <v>350</v>
      </c>
      <c r="B36" s="79" t="s">
        <v>351</v>
      </c>
      <c r="C36" s="31">
        <f>_xlfn.XLOOKUP(A36,List!$C$2:$C$89,List!$E$2:$E$89,"",0)</f>
        <v>4</v>
      </c>
      <c r="D36" s="16">
        <v>2</v>
      </c>
      <c r="L36" s="2">
        <v>2</v>
      </c>
      <c r="AG36" s="17"/>
    </row>
    <row r="37" spans="1:33">
      <c r="A37" s="79" t="s">
        <v>352</v>
      </c>
      <c r="B37" s="79" t="s">
        <v>353</v>
      </c>
      <c r="C37" s="31" t="str">
        <f>_xlfn.XLOOKUP(A37,List!$C$2:$C$89,List!$E$2:$E$89,"",0)</f>
        <v/>
      </c>
      <c r="D37" s="16">
        <v>2</v>
      </c>
      <c r="L37" s="2">
        <v>2</v>
      </c>
      <c r="N37" s="2">
        <v>2</v>
      </c>
      <c r="AG37" s="17"/>
    </row>
    <row r="38" spans="1:33">
      <c r="A38" s="79" t="s">
        <v>354</v>
      </c>
      <c r="B38" s="79" t="s">
        <v>355</v>
      </c>
      <c r="C38" s="31" t="str">
        <f>_xlfn.XLOOKUP(A38,List!$C$2:$C$89,List!$E$2:$E$89,"",0)</f>
        <v/>
      </c>
      <c r="D38" s="16">
        <v>2</v>
      </c>
      <c r="L38" s="2">
        <v>2</v>
      </c>
      <c r="N38" s="2">
        <v>2</v>
      </c>
      <c r="AG38" s="17"/>
    </row>
    <row r="39" spans="1:33">
      <c r="A39" s="16" t="s">
        <v>340</v>
      </c>
      <c r="B39" s="28" t="s">
        <v>341</v>
      </c>
      <c r="C39" s="31">
        <f>_xlfn.XLOOKUP(A39,List!$C$2:$C$89,List!$E$2:$E$89,"",0)</f>
        <v>4</v>
      </c>
      <c r="D39" s="16">
        <v>2</v>
      </c>
      <c r="L39" s="2">
        <v>2</v>
      </c>
      <c r="O39" s="2">
        <v>4</v>
      </c>
      <c r="AG39" s="17"/>
    </row>
    <row r="40" spans="1:33">
      <c r="A40" s="16" t="s">
        <v>342</v>
      </c>
      <c r="B40" s="28" t="s">
        <v>343</v>
      </c>
      <c r="C40" s="31" t="str">
        <f>_xlfn.XLOOKUP(A40,List!$C$2:$C$89,List!$E$2:$E$89,"",0)</f>
        <v/>
      </c>
      <c r="D40" s="16">
        <v>2</v>
      </c>
      <c r="L40" s="2">
        <v>2</v>
      </c>
      <c r="N40" s="2">
        <v>2</v>
      </c>
      <c r="O40" s="2">
        <v>4</v>
      </c>
      <c r="AG40" s="17"/>
    </row>
    <row r="41" spans="1:33">
      <c r="A41" s="16" t="s">
        <v>344</v>
      </c>
      <c r="B41" s="28" t="s">
        <v>345</v>
      </c>
      <c r="C41" s="31">
        <f>_xlfn.XLOOKUP(A41,List!$C$2:$C$89,List!$E$2:$E$89,"",0)</f>
        <v>2</v>
      </c>
      <c r="D41" s="16">
        <v>2</v>
      </c>
      <c r="L41" s="2">
        <v>2</v>
      </c>
      <c r="O41" s="2">
        <v>4</v>
      </c>
      <c r="AG41" s="17"/>
    </row>
    <row r="42" spans="1:33">
      <c r="A42" s="16" t="s">
        <v>346</v>
      </c>
      <c r="B42" s="28" t="s">
        <v>347</v>
      </c>
      <c r="C42" s="31" t="str">
        <f>_xlfn.XLOOKUP(A42,List!$C$2:$C$89,List!$E$2:$E$89,"",0)</f>
        <v/>
      </c>
      <c r="D42" s="16">
        <v>2</v>
      </c>
      <c r="L42" s="2">
        <v>2</v>
      </c>
      <c r="N42" s="2">
        <v>2</v>
      </c>
      <c r="O42" s="2">
        <v>4</v>
      </c>
      <c r="AG42" s="17"/>
    </row>
    <row r="43" spans="1:33">
      <c r="A43" s="16" t="s">
        <v>307</v>
      </c>
      <c r="B43" s="28" t="s">
        <v>308</v>
      </c>
      <c r="C43" s="31" t="str">
        <f>_xlfn.XLOOKUP(A43,List!$C$2:$C$89,List!$E$2:$E$89,"",0)</f>
        <v/>
      </c>
      <c r="D43" s="16"/>
      <c r="I43" s="2">
        <v>2</v>
      </c>
      <c r="K43" s="2">
        <v>2</v>
      </c>
      <c r="L43" s="2">
        <v>4</v>
      </c>
      <c r="AG43" s="17"/>
    </row>
    <row r="44" spans="1:33">
      <c r="A44" s="16" t="s">
        <v>309</v>
      </c>
      <c r="B44" s="28" t="s">
        <v>310</v>
      </c>
      <c r="C44" s="31" t="str">
        <f>_xlfn.XLOOKUP(A44,List!$C$2:$C$89,List!$E$2:$E$89,"",0)</f>
        <v/>
      </c>
      <c r="D44" s="16"/>
      <c r="I44" s="2">
        <v>2</v>
      </c>
      <c r="K44" s="2">
        <v>2</v>
      </c>
      <c r="L44" s="2">
        <v>4</v>
      </c>
      <c r="N44" s="2">
        <v>4</v>
      </c>
      <c r="AG44" s="17"/>
    </row>
    <row r="45" spans="1:33">
      <c r="A45" s="16" t="s">
        <v>315</v>
      </c>
      <c r="B45" s="28" t="s">
        <v>316</v>
      </c>
      <c r="C45" s="31" t="str">
        <f>_xlfn.XLOOKUP(A45,List!$C$2:$C$89,List!$E$2:$E$89,"",0)</f>
        <v/>
      </c>
      <c r="D45" s="16"/>
      <c r="I45" s="2">
        <v>2</v>
      </c>
      <c r="K45" s="2">
        <v>2</v>
      </c>
      <c r="L45" s="2">
        <v>4</v>
      </c>
      <c r="AG45" s="17"/>
    </row>
    <row r="46" spans="1:33">
      <c r="A46" s="16" t="s">
        <v>317</v>
      </c>
      <c r="B46" s="28" t="s">
        <v>318</v>
      </c>
      <c r="C46" s="31" t="str">
        <f>_xlfn.XLOOKUP(A46,List!$C$2:$C$89,List!$E$2:$E$89,"",0)</f>
        <v/>
      </c>
      <c r="D46" s="16"/>
      <c r="I46" s="2">
        <v>2</v>
      </c>
      <c r="K46" s="2">
        <v>2</v>
      </c>
      <c r="L46" s="2">
        <v>4</v>
      </c>
      <c r="N46" s="2">
        <v>4</v>
      </c>
      <c r="AG46" s="17"/>
    </row>
    <row r="47" spans="1:33">
      <c r="A47" s="16" t="s">
        <v>331</v>
      </c>
      <c r="B47" s="28" t="s">
        <v>332</v>
      </c>
      <c r="C47" s="31">
        <f>_xlfn.XLOOKUP(A47,List!$C$2:$C$89,List!$E$2:$E$89,"",0)</f>
        <v>2</v>
      </c>
      <c r="D47" s="16">
        <v>2</v>
      </c>
      <c r="G47" s="2">
        <v>1</v>
      </c>
      <c r="K47" s="2">
        <v>3</v>
      </c>
      <c r="L47" s="2">
        <v>6</v>
      </c>
      <c r="AG47" s="17"/>
    </row>
    <row r="48" spans="1:33">
      <c r="A48" s="16" t="s">
        <v>333</v>
      </c>
      <c r="B48" s="28" t="s">
        <v>334</v>
      </c>
      <c r="C48" s="31" t="str">
        <f>_xlfn.XLOOKUP(A48,List!$C$2:$C$89,List!$E$2:$E$89,"",0)</f>
        <v/>
      </c>
      <c r="D48" s="16">
        <v>2</v>
      </c>
      <c r="G48" s="2">
        <v>1</v>
      </c>
      <c r="K48" s="2">
        <v>3</v>
      </c>
      <c r="L48" s="2">
        <v>6</v>
      </c>
      <c r="N48" s="2">
        <v>6</v>
      </c>
      <c r="AG48" s="17"/>
    </row>
    <row r="49" spans="1:33">
      <c r="A49" s="16" t="s">
        <v>335</v>
      </c>
      <c r="B49" s="28" t="s">
        <v>336</v>
      </c>
      <c r="C49" s="31" t="str">
        <f>_xlfn.XLOOKUP(A49,List!$C$2:$C$89,List!$E$2:$E$89,"",0)</f>
        <v/>
      </c>
      <c r="D49" s="16"/>
      <c r="F49" s="2">
        <v>4</v>
      </c>
      <c r="J49" s="2">
        <v>1</v>
      </c>
      <c r="K49" s="2">
        <v>5</v>
      </c>
      <c r="L49" s="2">
        <v>10</v>
      </c>
      <c r="AG49" s="17"/>
    </row>
    <row r="50" spans="1:33">
      <c r="A50" s="16" t="s">
        <v>337</v>
      </c>
      <c r="B50" s="28" t="s">
        <v>338</v>
      </c>
      <c r="C50" s="31" t="str">
        <f>_xlfn.XLOOKUP(A50,List!$C$2:$C$89,List!$E$2:$E$89,"",0)</f>
        <v/>
      </c>
      <c r="D50" s="16"/>
      <c r="F50" s="2">
        <v>4</v>
      </c>
      <c r="J50" s="2">
        <v>1</v>
      </c>
      <c r="K50" s="2">
        <v>5</v>
      </c>
      <c r="L50" s="2">
        <v>10</v>
      </c>
      <c r="N50" s="2">
        <v>10</v>
      </c>
      <c r="AG50" s="17"/>
    </row>
    <row r="51" spans="1:33">
      <c r="A51" s="16" t="s">
        <v>380</v>
      </c>
      <c r="B51" s="28" t="s">
        <v>381</v>
      </c>
      <c r="C51" s="31" t="str">
        <f>_xlfn.XLOOKUP(A51,List!$C$2:$C$89,List!$E$2:$E$89,"",0)</f>
        <v/>
      </c>
      <c r="D51" s="16">
        <v>1</v>
      </c>
      <c r="K51" s="2">
        <v>1</v>
      </c>
      <c r="L51" s="2">
        <v>2</v>
      </c>
      <c r="M51" s="2">
        <v>2</v>
      </c>
      <c r="AG51" s="17"/>
    </row>
    <row r="52" spans="1:33">
      <c r="A52" s="16" t="s">
        <v>382</v>
      </c>
      <c r="B52" s="28" t="s">
        <v>383</v>
      </c>
      <c r="C52" s="31" t="str">
        <f>_xlfn.XLOOKUP(A52,List!$C$2:$C$89,List!$E$2:$E$89,"",0)</f>
        <v/>
      </c>
      <c r="D52" s="16">
        <v>1</v>
      </c>
      <c r="K52" s="2">
        <v>1</v>
      </c>
      <c r="L52" s="2">
        <v>2</v>
      </c>
      <c r="M52" s="2">
        <v>2</v>
      </c>
      <c r="N52" s="2">
        <v>4</v>
      </c>
      <c r="AG52" s="17"/>
    </row>
    <row r="53" spans="1:33">
      <c r="A53" s="79" t="s">
        <v>570</v>
      </c>
      <c r="B53" s="79" t="s">
        <v>571</v>
      </c>
      <c r="C53" s="31" t="str">
        <f>_xlfn.XLOOKUP(A53,List!$C$2:$C$89,List!$E$2:$E$89,"",0)</f>
        <v/>
      </c>
      <c r="D53" s="16"/>
      <c r="P53" s="2">
        <v>18</v>
      </c>
      <c r="AG53" s="17"/>
    </row>
    <row r="54" spans="1:33">
      <c r="A54" s="79" t="s">
        <v>572</v>
      </c>
      <c r="B54" s="79" t="s">
        <v>573</v>
      </c>
      <c r="C54" s="31">
        <f>_xlfn.XLOOKUP(A54,List!$C$2:$C$89,List!$E$2:$E$89,"",0)</f>
        <v>3</v>
      </c>
      <c r="D54" s="16"/>
      <c r="P54" s="2">
        <v>18</v>
      </c>
      <c r="AG54" s="17"/>
    </row>
    <row r="55" spans="1:33">
      <c r="A55" s="16" t="s">
        <v>574</v>
      </c>
      <c r="B55" s="28" t="s">
        <v>575</v>
      </c>
      <c r="C55" s="31" t="str">
        <f>_xlfn.XLOOKUP(A55,List!$C$2:$C$89,List!$E$2:$E$89,"",0)</f>
        <v/>
      </c>
      <c r="D55" s="16"/>
      <c r="P55" s="2">
        <v>18</v>
      </c>
      <c r="AG55" s="17"/>
    </row>
    <row r="56" spans="1:33">
      <c r="A56" s="16" t="s">
        <v>576</v>
      </c>
      <c r="B56" s="28" t="s">
        <v>577</v>
      </c>
      <c r="C56" s="31" t="str">
        <f>_xlfn.XLOOKUP(A56,List!$C$2:$C$89,List!$E$2:$E$89,"",0)</f>
        <v/>
      </c>
      <c r="D56" s="16"/>
      <c r="P56" s="2">
        <v>18</v>
      </c>
      <c r="AG56" s="17"/>
    </row>
    <row r="57" spans="1:33">
      <c r="A57" s="2" t="s">
        <v>456</v>
      </c>
      <c r="B57" s="28" t="s">
        <v>457</v>
      </c>
      <c r="C57" s="31">
        <f>_xlfn.XLOOKUP(A57,List!$C$2:$C$89,List!$E$2:$E$89,"",0)</f>
        <v>28</v>
      </c>
      <c r="D57" s="16"/>
      <c r="Q57" s="2">
        <v>6</v>
      </c>
      <c r="AG57" s="17"/>
    </row>
    <row r="58" spans="1:33">
      <c r="A58" s="2" t="s">
        <v>458</v>
      </c>
      <c r="B58" s="28" t="s">
        <v>459</v>
      </c>
      <c r="C58" s="31" t="str">
        <f>_xlfn.XLOOKUP(A58,List!$C$2:$C$89,List!$E$2:$E$89,"",0)</f>
        <v/>
      </c>
      <c r="D58" s="16"/>
      <c r="Q58" s="2">
        <v>8</v>
      </c>
      <c r="AG58" s="17"/>
    </row>
    <row r="59" spans="1:33">
      <c r="A59" s="79" t="s">
        <v>464</v>
      </c>
      <c r="B59" s="80" t="s">
        <v>465</v>
      </c>
      <c r="C59" s="31" t="str">
        <f>_xlfn.XLOOKUP(A59,List!$C$2:$C$89,List!$E$2:$E$89,"",0)</f>
        <v/>
      </c>
      <c r="D59" s="16"/>
      <c r="Q59" s="2">
        <v>3</v>
      </c>
      <c r="AG59" s="17"/>
    </row>
    <row r="60" spans="1:33">
      <c r="A60" s="79" t="s">
        <v>466</v>
      </c>
      <c r="B60" s="80" t="s">
        <v>467</v>
      </c>
      <c r="C60" s="31" t="str">
        <f>_xlfn.XLOOKUP(A60,List!$C$2:$C$89,List!$E$2:$E$89,"",0)</f>
        <v/>
      </c>
      <c r="D60" s="16"/>
      <c r="Q60" s="2">
        <v>4</v>
      </c>
      <c r="AG60" s="17"/>
    </row>
    <row r="61" spans="1:33">
      <c r="A61" s="79" t="s">
        <v>565</v>
      </c>
      <c r="B61" s="80" t="s">
        <v>566</v>
      </c>
      <c r="C61" s="31" t="str">
        <f>_xlfn.XLOOKUP(A61,List!$C$2:$C$89,List!$E$2:$E$89,"",0)</f>
        <v/>
      </c>
      <c r="D61" s="16"/>
      <c r="T61" s="2">
        <v>8</v>
      </c>
      <c r="AG61" s="17"/>
    </row>
    <row r="62" spans="1:33">
      <c r="A62" s="79" t="s">
        <v>567</v>
      </c>
      <c r="B62" s="80" t="s">
        <v>568</v>
      </c>
      <c r="C62" s="31" t="str">
        <f>_xlfn.XLOOKUP(A62,List!$C$2:$C$89,List!$E$2:$E$89,"",0)</f>
        <v/>
      </c>
      <c r="D62" s="16"/>
      <c r="T62" s="2">
        <v>8</v>
      </c>
      <c r="AG62" s="17"/>
    </row>
    <row r="63" spans="1:33">
      <c r="A63" t="s">
        <v>582</v>
      </c>
      <c r="B63" s="28" t="s">
        <v>583</v>
      </c>
      <c r="C63" s="31" t="str">
        <f>_xlfn.XLOOKUP(A63,List!$C$2:$C$89,List!$E$2:$E$89,"",0)</f>
        <v/>
      </c>
      <c r="D63" s="16"/>
      <c r="AC63" s="2">
        <v>1</v>
      </c>
      <c r="AE63" s="2">
        <v>8</v>
      </c>
      <c r="AF63" s="2">
        <v>8</v>
      </c>
      <c r="AG63" s="17">
        <v>12</v>
      </c>
    </row>
    <row r="64" spans="1:33">
      <c r="A64" t="s">
        <v>584</v>
      </c>
      <c r="B64" s="28" t="s">
        <v>585</v>
      </c>
      <c r="C64" s="31" t="str">
        <f>_xlfn.XLOOKUP(A64,List!$C$2:$C$89,List!$E$2:$E$89,"",0)</f>
        <v/>
      </c>
      <c r="D64" s="16"/>
      <c r="AD64" s="2">
        <v>1</v>
      </c>
      <c r="AE64" s="2">
        <v>0.5</v>
      </c>
      <c r="AF64" s="2">
        <v>3</v>
      </c>
      <c r="AG64" s="17">
        <v>3</v>
      </c>
    </row>
    <row r="65" spans="1:33">
      <c r="A65" t="s">
        <v>588</v>
      </c>
      <c r="B65" s="28" t="s">
        <v>589</v>
      </c>
      <c r="C65" s="31" t="str">
        <f>_xlfn.XLOOKUP(A65,List!$C$2:$C$89,List!$E$2:$E$89,"",0)</f>
        <v/>
      </c>
      <c r="D65" s="16"/>
      <c r="P65" s="2">
        <v>3</v>
      </c>
      <c r="AG65" s="17"/>
    </row>
    <row r="66" spans="1:33">
      <c r="A66" t="s">
        <v>590</v>
      </c>
      <c r="B66" s="28" t="s">
        <v>591</v>
      </c>
      <c r="C66" s="86" t="str">
        <f>_xlfn.XLOOKUP(A66,List!$C$2:$C$89,List!$E$2:$E$89,"",0)</f>
        <v/>
      </c>
      <c r="D66" s="16"/>
      <c r="P66" s="2">
        <v>3</v>
      </c>
      <c r="AG66" s="17"/>
    </row>
    <row r="67" spans="1:33">
      <c r="A67" s="16"/>
      <c r="B67" s="1" t="s">
        <v>129</v>
      </c>
      <c r="C67" s="86">
        <f>Calc!D58</f>
        <v>0</v>
      </c>
      <c r="D67" s="16"/>
      <c r="AA67" s="2">
        <v>1</v>
      </c>
      <c r="AG67" s="17"/>
    </row>
    <row r="68" spans="1:33">
      <c r="A68" s="16"/>
      <c r="B68" s="1" t="s">
        <v>130</v>
      </c>
      <c r="C68" s="86">
        <f>Calc!D59</f>
        <v>0</v>
      </c>
      <c r="D68" s="16"/>
      <c r="AB68" s="2">
        <v>1</v>
      </c>
      <c r="AG68" s="17"/>
    </row>
    <row r="69" spans="1:33">
      <c r="A69" s="16"/>
      <c r="B69" s="1" t="s">
        <v>131</v>
      </c>
      <c r="C69" s="86">
        <f>Calc!D60</f>
        <v>66</v>
      </c>
      <c r="D69" s="16"/>
      <c r="R69" s="2">
        <v>1</v>
      </c>
      <c r="AG69" s="17"/>
    </row>
    <row r="70" spans="1:33">
      <c r="A70" s="16"/>
      <c r="B70" s="28" t="s">
        <v>653</v>
      </c>
      <c r="C70" s="86">
        <f>ROUNDUP(Calc!D10*2+0.5,0)</f>
        <v>5</v>
      </c>
      <c r="D70" s="16"/>
      <c r="P70" s="2">
        <v>3</v>
      </c>
      <c r="AG70" s="17"/>
    </row>
    <row r="71" spans="1:33">
      <c r="A71" s="18"/>
      <c r="B71" s="29" t="s">
        <v>654</v>
      </c>
      <c r="C71" s="87">
        <f>ROUNDUP((Calc!D26-1)*Calc!D10,0)</f>
        <v>0</v>
      </c>
      <c r="D71" s="18"/>
      <c r="E71" s="19"/>
      <c r="F71" s="19"/>
      <c r="G71" s="19"/>
      <c r="H71" s="19"/>
      <c r="I71" s="19"/>
      <c r="J71" s="19"/>
      <c r="K71" s="19"/>
      <c r="L71" s="19"/>
      <c r="M71" s="19"/>
      <c r="N71" s="19"/>
      <c r="O71" s="19"/>
      <c r="P71" s="19"/>
      <c r="Q71" s="19"/>
      <c r="R71" s="19"/>
      <c r="S71" s="19">
        <v>6</v>
      </c>
      <c r="T71" s="19"/>
      <c r="U71" s="19"/>
      <c r="V71" s="19"/>
      <c r="W71" s="19"/>
      <c r="X71" s="19"/>
      <c r="Y71" s="19"/>
      <c r="Z71" s="19"/>
      <c r="AA71" s="19"/>
      <c r="AB71" s="19"/>
      <c r="AC71" s="19"/>
      <c r="AD71" s="19"/>
      <c r="AE71" s="19"/>
      <c r="AF71" s="19"/>
      <c r="AG71" s="20"/>
    </row>
    <row r="72" spans="1:33">
      <c r="C72" s="22" t="s">
        <v>44</v>
      </c>
      <c r="D72" s="2">
        <f t="shared" ref="D72:AG72" si="0">SUMPRODUCT($C$3:$C$71,D3:D71)</f>
        <v>45</v>
      </c>
      <c r="E72" s="2">
        <f t="shared" si="0"/>
        <v>0</v>
      </c>
      <c r="F72" s="2">
        <f t="shared" si="0"/>
        <v>4</v>
      </c>
      <c r="G72" s="2">
        <f t="shared" si="0"/>
        <v>2</v>
      </c>
      <c r="H72" s="2">
        <f t="shared" si="0"/>
        <v>4</v>
      </c>
      <c r="I72" s="2">
        <f t="shared" si="0"/>
        <v>0</v>
      </c>
      <c r="J72" s="2">
        <f t="shared" si="0"/>
        <v>0</v>
      </c>
      <c r="K72" s="2">
        <f t="shared" si="0"/>
        <v>35</v>
      </c>
      <c r="L72" s="2">
        <f t="shared" si="0"/>
        <v>90</v>
      </c>
      <c r="M72" s="2">
        <f t="shared" si="0"/>
        <v>76</v>
      </c>
      <c r="N72" s="2">
        <f t="shared" si="0"/>
        <v>0</v>
      </c>
      <c r="O72" s="2">
        <f t="shared" si="0"/>
        <v>24</v>
      </c>
      <c r="P72" s="2">
        <f t="shared" si="0"/>
        <v>69</v>
      </c>
      <c r="Q72" s="2">
        <f t="shared" si="0"/>
        <v>168</v>
      </c>
      <c r="R72" s="2">
        <f t="shared" si="0"/>
        <v>66</v>
      </c>
      <c r="S72" s="2">
        <f t="shared" si="0"/>
        <v>0</v>
      </c>
      <c r="T72" s="2">
        <f t="shared" si="0"/>
        <v>0</v>
      </c>
      <c r="U72" s="2">
        <f t="shared" si="0"/>
        <v>4</v>
      </c>
      <c r="V72" s="2">
        <f>SUMPRODUCT($C$3:$C$71,V3:V71)</f>
        <v>0</v>
      </c>
      <c r="W72" s="2">
        <f t="shared" ref="W72:X72" si="1">SUMPRODUCT($C$3:$C$71,W3:W71)</f>
        <v>20</v>
      </c>
      <c r="X72" s="2">
        <f t="shared" si="1"/>
        <v>20</v>
      </c>
      <c r="Y72" s="2">
        <f t="shared" si="0"/>
        <v>0</v>
      </c>
      <c r="Z72" s="2">
        <f t="shared" si="0"/>
        <v>20</v>
      </c>
      <c r="AA72" s="2">
        <f t="shared" si="0"/>
        <v>0</v>
      </c>
      <c r="AB72" s="2">
        <f t="shared" si="0"/>
        <v>0</v>
      </c>
      <c r="AC72" s="2">
        <f t="shared" si="0"/>
        <v>0</v>
      </c>
      <c r="AD72" s="2">
        <f t="shared" si="0"/>
        <v>0</v>
      </c>
      <c r="AE72" s="2">
        <f t="shared" si="0"/>
        <v>0</v>
      </c>
      <c r="AF72" s="2">
        <f t="shared" si="0"/>
        <v>0</v>
      </c>
      <c r="AG72" s="2">
        <f t="shared" si="0"/>
        <v>0</v>
      </c>
    </row>
    <row r="73" spans="1:33">
      <c r="C73" s="22" t="s">
        <v>655</v>
      </c>
      <c r="D73" s="2">
        <f>ROUNDUP(D72*1.1,0)</f>
        <v>50</v>
      </c>
      <c r="E73" s="2">
        <f>ROUNDUP(E72*1.1,0)</f>
        <v>0</v>
      </c>
      <c r="F73" s="2">
        <f t="shared" ref="F73:Y73" si="2">ROUNDUP(F72*1.1,0)</f>
        <v>5</v>
      </c>
      <c r="G73" s="2">
        <f t="shared" si="2"/>
        <v>3</v>
      </c>
      <c r="H73" s="2">
        <f t="shared" si="2"/>
        <v>5</v>
      </c>
      <c r="I73" s="2">
        <f t="shared" si="2"/>
        <v>0</v>
      </c>
      <c r="J73" s="2">
        <f t="shared" si="2"/>
        <v>0</v>
      </c>
      <c r="K73" s="2">
        <f t="shared" si="2"/>
        <v>39</v>
      </c>
      <c r="L73" s="2">
        <f t="shared" si="2"/>
        <v>99</v>
      </c>
      <c r="M73" s="2">
        <f t="shared" si="2"/>
        <v>84</v>
      </c>
      <c r="N73" s="2">
        <f t="shared" si="2"/>
        <v>0</v>
      </c>
      <c r="O73" s="2">
        <f t="shared" si="2"/>
        <v>27</v>
      </c>
      <c r="P73" s="2">
        <f t="shared" si="2"/>
        <v>76</v>
      </c>
      <c r="Q73" s="2">
        <f t="shared" si="2"/>
        <v>185</v>
      </c>
      <c r="R73" s="2">
        <f>ROUNDUP(R72*1.1,0)</f>
        <v>73</v>
      </c>
      <c r="S73" s="2">
        <f t="shared" ref="S73:T73" si="3">ROUNDUP(S72*1.1,0)</f>
        <v>0</v>
      </c>
      <c r="T73" s="2">
        <f t="shared" si="3"/>
        <v>0</v>
      </c>
      <c r="U73" s="2">
        <f t="shared" si="2"/>
        <v>5</v>
      </c>
      <c r="V73" s="2">
        <f t="shared" si="2"/>
        <v>0</v>
      </c>
      <c r="W73" s="2">
        <f t="shared" si="2"/>
        <v>22</v>
      </c>
      <c r="X73" s="2">
        <f t="shared" si="2"/>
        <v>22</v>
      </c>
      <c r="Y73" s="2">
        <f t="shared" si="2"/>
        <v>0</v>
      </c>
      <c r="Z73" s="2">
        <f t="shared" ref="Z73:AC73" si="4">ROUNDUP(Z72*1.1,0)</f>
        <v>22</v>
      </c>
      <c r="AA73" s="2">
        <f t="shared" si="4"/>
        <v>0</v>
      </c>
      <c r="AB73" s="2">
        <f t="shared" si="4"/>
        <v>0</v>
      </c>
      <c r="AC73" s="2">
        <f t="shared" si="4"/>
        <v>0</v>
      </c>
      <c r="AD73" s="2">
        <f t="shared" ref="AD73:AG73" si="5">ROUNDUP(AD72*1.1,0)</f>
        <v>0</v>
      </c>
      <c r="AE73" s="2">
        <f t="shared" si="5"/>
        <v>0</v>
      </c>
      <c r="AF73" s="2">
        <f t="shared" si="5"/>
        <v>0</v>
      </c>
      <c r="AG73" s="2">
        <f t="shared" si="5"/>
        <v>0</v>
      </c>
    </row>
    <row r="75" spans="1:33">
      <c r="B75" s="22"/>
    </row>
    <row r="77" spans="1:33">
      <c r="A77" s="2" t="s">
        <v>656</v>
      </c>
      <c r="B77" s="2" t="s">
        <v>657</v>
      </c>
      <c r="C77" s="2" t="s">
        <v>622</v>
      </c>
      <c r="D77" s="2" t="s">
        <v>658</v>
      </c>
      <c r="E77" s="2" t="s">
        <v>659</v>
      </c>
      <c r="AC77" s="78"/>
    </row>
    <row r="78" spans="1:33" ht="15.95">
      <c r="A78" s="79" t="s">
        <v>623</v>
      </c>
      <c r="B78" s="81" t="s">
        <v>660</v>
      </c>
      <c r="C78" s="2" cm="1">
        <f t="array" ref="C78:C107">_xlfn.XLOOKUP(A78:A107,D2:AG2,D73:AG73)</f>
        <v>50</v>
      </c>
      <c r="D78" s="2">
        <f>IF(C78&gt;0,1,"")</f>
        <v>1</v>
      </c>
      <c r="E78" s="2">
        <f>IF(D78=1,SUM($D$78:D78),"")</f>
        <v>1</v>
      </c>
      <c r="AC78" s="78"/>
    </row>
    <row r="79" spans="1:33" ht="15.95">
      <c r="A79" s="83" t="s">
        <v>624</v>
      </c>
      <c r="B79" s="81" t="s">
        <v>661</v>
      </c>
      <c r="C79" s="2">
        <v>0</v>
      </c>
      <c r="D79" s="2" t="str">
        <f t="shared" ref="D79:D107" si="6">IF(C79&gt;0,1,"")</f>
        <v/>
      </c>
      <c r="E79" s="2" t="str">
        <f>IF(D79=1,SUM($D$78:D79),"")</f>
        <v/>
      </c>
      <c r="AC79" s="78"/>
    </row>
    <row r="80" spans="1:33">
      <c r="A80" s="79" t="s">
        <v>625</v>
      </c>
      <c r="B80" s="82" t="s">
        <v>662</v>
      </c>
      <c r="C80" s="2">
        <v>5</v>
      </c>
      <c r="D80" s="2">
        <f t="shared" si="6"/>
        <v>1</v>
      </c>
      <c r="E80" s="2">
        <f>IF(D80=1,SUM($D$78:D80),"")</f>
        <v>2</v>
      </c>
    </row>
    <row r="81" spans="1:10">
      <c r="A81" s="79" t="s">
        <v>626</v>
      </c>
      <c r="B81" s="82" t="s">
        <v>663</v>
      </c>
      <c r="C81" s="2">
        <v>3</v>
      </c>
      <c r="D81" s="2">
        <f t="shared" si="6"/>
        <v>1</v>
      </c>
      <c r="E81" s="2">
        <f>IF(D81=1,SUM($D$78:D81),"")</f>
        <v>3</v>
      </c>
    </row>
    <row r="82" spans="1:10">
      <c r="A82" s="79" t="s">
        <v>627</v>
      </c>
      <c r="B82" s="82" t="s">
        <v>664</v>
      </c>
      <c r="C82" s="2">
        <v>5</v>
      </c>
      <c r="D82" s="2">
        <f t="shared" si="6"/>
        <v>1</v>
      </c>
      <c r="E82" s="2">
        <f>IF(D82=1,SUM($D$78:D82),"")</f>
        <v>4</v>
      </c>
    </row>
    <row r="83" spans="1:10" ht="15.95">
      <c r="A83" s="79" t="s">
        <v>628</v>
      </c>
      <c r="B83" s="81" t="s">
        <v>665</v>
      </c>
      <c r="C83" s="2">
        <v>0</v>
      </c>
      <c r="D83" s="2" t="str">
        <f t="shared" si="6"/>
        <v/>
      </c>
      <c r="E83" s="2" t="str">
        <f>IF(D83=1,SUM($D$78:D83),"")</f>
        <v/>
      </c>
    </row>
    <row r="84" spans="1:10" ht="15.95">
      <c r="A84" s="79" t="s">
        <v>629</v>
      </c>
      <c r="B84" s="81" t="s">
        <v>666</v>
      </c>
      <c r="C84" s="2">
        <v>0</v>
      </c>
      <c r="D84" s="2" t="str">
        <f t="shared" si="6"/>
        <v/>
      </c>
      <c r="E84" s="2" t="str">
        <f>IF(D84=1,SUM($D$78:D84),"")</f>
        <v/>
      </c>
    </row>
    <row r="85" spans="1:10">
      <c r="A85" s="79" t="s">
        <v>630</v>
      </c>
      <c r="B85" s="82" t="s">
        <v>667</v>
      </c>
      <c r="C85" s="2">
        <v>39</v>
      </c>
      <c r="D85" s="2">
        <f t="shared" si="6"/>
        <v>1</v>
      </c>
      <c r="E85" s="2">
        <f>IF(D85=1,SUM($D$78:D85),"")</f>
        <v>5</v>
      </c>
    </row>
    <row r="86" spans="1:10">
      <c r="A86" s="79" t="s">
        <v>631</v>
      </c>
      <c r="B86" s="82" t="s">
        <v>668</v>
      </c>
      <c r="C86" s="2">
        <v>99</v>
      </c>
      <c r="D86" s="2">
        <f t="shared" si="6"/>
        <v>1</v>
      </c>
      <c r="E86" s="2">
        <f>IF(D86=1,SUM($D$78:D86),"")</f>
        <v>6</v>
      </c>
    </row>
    <row r="87" spans="1:10">
      <c r="A87" s="79" t="s">
        <v>632</v>
      </c>
      <c r="B87" s="82" t="s">
        <v>669</v>
      </c>
      <c r="C87" s="2">
        <v>84</v>
      </c>
      <c r="D87" s="2">
        <f t="shared" si="6"/>
        <v>1</v>
      </c>
      <c r="E87" s="2">
        <f>IF(D87=1,SUM($D$78:D87),"")</f>
        <v>7</v>
      </c>
    </row>
    <row r="88" spans="1:10">
      <c r="A88" s="79" t="s">
        <v>633</v>
      </c>
      <c r="B88" s="82" t="s">
        <v>670</v>
      </c>
      <c r="C88" s="2">
        <v>0</v>
      </c>
      <c r="D88" s="2" t="str">
        <f t="shared" si="6"/>
        <v/>
      </c>
      <c r="E88" s="2" t="str">
        <f>IF(D88=1,SUM($D$78:D88),"")</f>
        <v/>
      </c>
      <c r="I88"/>
      <c r="J88" s="12"/>
    </row>
    <row r="89" spans="1:10">
      <c r="A89" s="79" t="s">
        <v>634</v>
      </c>
      <c r="B89" s="82" t="s">
        <v>671</v>
      </c>
      <c r="C89" s="2">
        <v>27</v>
      </c>
      <c r="D89" s="2">
        <f t="shared" si="6"/>
        <v>1</v>
      </c>
      <c r="E89" s="2">
        <f>IF(D89=1,SUM($D$78:D89),"")</f>
        <v>8</v>
      </c>
      <c r="I89"/>
      <c r="J89" s="12"/>
    </row>
    <row r="90" spans="1:10">
      <c r="A90" s="79" t="s">
        <v>635</v>
      </c>
      <c r="B90" s="82" t="s">
        <v>672</v>
      </c>
      <c r="C90" s="2">
        <v>76</v>
      </c>
      <c r="D90" s="2">
        <f t="shared" si="6"/>
        <v>1</v>
      </c>
      <c r="E90" s="2">
        <f>IF(D90=1,SUM($D$78:D90),"")</f>
        <v>9</v>
      </c>
    </row>
    <row r="91" spans="1:10">
      <c r="A91" s="79" t="s">
        <v>636</v>
      </c>
      <c r="B91" s="82" t="s">
        <v>673</v>
      </c>
      <c r="C91" s="2">
        <v>185</v>
      </c>
      <c r="D91" s="2">
        <f t="shared" si="6"/>
        <v>1</v>
      </c>
      <c r="E91" s="2">
        <f>IF(D91=1,SUM($D$78:D91),"")</f>
        <v>10</v>
      </c>
    </row>
    <row r="92" spans="1:10">
      <c r="A92" s="83" t="s">
        <v>637</v>
      </c>
      <c r="B92" s="82" t="s">
        <v>674</v>
      </c>
      <c r="C92" s="2">
        <v>73</v>
      </c>
      <c r="D92" s="2">
        <f t="shared" si="6"/>
        <v>1</v>
      </c>
      <c r="E92" s="2">
        <f>IF(D92=1,SUM($D$78:D92),"")</f>
        <v>11</v>
      </c>
    </row>
    <row r="93" spans="1:10">
      <c r="A93" s="83" t="s">
        <v>638</v>
      </c>
      <c r="B93" s="82" t="s">
        <v>675</v>
      </c>
      <c r="C93" s="2">
        <v>0</v>
      </c>
      <c r="D93" s="2" t="str">
        <f t="shared" si="6"/>
        <v/>
      </c>
      <c r="E93" s="2" t="str">
        <f>IF(D93=1,SUM($D$78:D93),"")</f>
        <v/>
      </c>
    </row>
    <row r="94" spans="1:10">
      <c r="A94" s="83" t="s">
        <v>639</v>
      </c>
      <c r="B94" s="82" t="s">
        <v>676</v>
      </c>
      <c r="C94" s="2">
        <v>0</v>
      </c>
      <c r="D94" s="2" t="str">
        <f t="shared" si="6"/>
        <v/>
      </c>
      <c r="E94" s="2" t="str">
        <f>IF(D94=1,SUM($D$78:D94),"")</f>
        <v/>
      </c>
    </row>
    <row r="95" spans="1:10">
      <c r="A95" s="79" t="s">
        <v>640</v>
      </c>
      <c r="B95" s="82" t="s">
        <v>677</v>
      </c>
      <c r="C95" s="2">
        <v>5</v>
      </c>
      <c r="D95" s="2">
        <f t="shared" si="6"/>
        <v>1</v>
      </c>
      <c r="E95" s="2">
        <f>IF(D95=1,SUM($D$78:D95),"")</f>
        <v>12</v>
      </c>
    </row>
    <row r="96" spans="1:10">
      <c r="A96" s="79" t="s">
        <v>641</v>
      </c>
      <c r="B96" s="82" t="s">
        <v>678</v>
      </c>
      <c r="C96" s="2">
        <v>0</v>
      </c>
      <c r="D96" s="2" t="str">
        <f t="shared" si="6"/>
        <v/>
      </c>
      <c r="E96" s="2" t="str">
        <f>IF(D96=1,SUM($D$78:D96),"")</f>
        <v/>
      </c>
    </row>
    <row r="97" spans="1:5">
      <c r="A97" s="79" t="s">
        <v>644</v>
      </c>
      <c r="B97" s="82" t="s">
        <v>679</v>
      </c>
      <c r="C97" s="2">
        <v>0</v>
      </c>
      <c r="D97" s="2" t="str">
        <f t="shared" si="6"/>
        <v/>
      </c>
      <c r="E97" s="2" t="str">
        <f>IF(D97=1,SUM($D$78:D97),"")</f>
        <v/>
      </c>
    </row>
    <row r="98" spans="1:5">
      <c r="A98" t="s">
        <v>642</v>
      </c>
      <c r="B98" t="s">
        <v>680</v>
      </c>
      <c r="C98" s="2">
        <v>22</v>
      </c>
      <c r="D98" s="2">
        <f t="shared" si="6"/>
        <v>1</v>
      </c>
      <c r="E98" s="2">
        <f>IF(D98=1,SUM($D$78:D98),"")</f>
        <v>13</v>
      </c>
    </row>
    <row r="99" spans="1:5">
      <c r="A99" t="s">
        <v>643</v>
      </c>
      <c r="B99" t="s">
        <v>681</v>
      </c>
      <c r="C99" s="2">
        <v>22</v>
      </c>
      <c r="D99" s="2">
        <f t="shared" si="6"/>
        <v>1</v>
      </c>
      <c r="E99" s="2">
        <f>IF(D99=1,SUM($D$78:D99),"")</f>
        <v>14</v>
      </c>
    </row>
    <row r="100" spans="1:5">
      <c r="A100" s="79" t="s">
        <v>645</v>
      </c>
      <c r="B100" s="82" t="s">
        <v>682</v>
      </c>
      <c r="C100" s="2">
        <v>22</v>
      </c>
      <c r="D100" s="2">
        <f t="shared" si="6"/>
        <v>1</v>
      </c>
      <c r="E100" s="2">
        <f>IF(D100=1,SUM($D$78:D100),"")</f>
        <v>15</v>
      </c>
    </row>
    <row r="101" spans="1:5">
      <c r="A101" s="83" t="s">
        <v>646</v>
      </c>
      <c r="B101" s="79" t="s">
        <v>683</v>
      </c>
      <c r="C101" s="2">
        <v>0</v>
      </c>
      <c r="D101" s="2" t="str">
        <f t="shared" si="6"/>
        <v/>
      </c>
      <c r="E101" s="2" t="str">
        <f>IF(D101=1,SUM($D$78:D101),"")</f>
        <v/>
      </c>
    </row>
    <row r="102" spans="1:5">
      <c r="A102" s="79" t="s">
        <v>647</v>
      </c>
      <c r="B102" s="79" t="s">
        <v>684</v>
      </c>
      <c r="C102" s="2">
        <v>0</v>
      </c>
      <c r="D102" s="2" t="str">
        <f t="shared" si="6"/>
        <v/>
      </c>
      <c r="E102" s="2" t="str">
        <f>IF(D102=1,SUM($D$78:D102),"")</f>
        <v/>
      </c>
    </row>
    <row r="103" spans="1:5">
      <c r="A103" s="79" t="s">
        <v>648</v>
      </c>
      <c r="B103" s="79" t="s">
        <v>685</v>
      </c>
      <c r="C103" s="2">
        <v>0</v>
      </c>
      <c r="D103" s="2" t="str">
        <f t="shared" si="6"/>
        <v/>
      </c>
      <c r="E103" s="2" t="str">
        <f>IF(D103=1,SUM($D$78:D103),"")</f>
        <v/>
      </c>
    </row>
    <row r="104" spans="1:5">
      <c r="A104" s="79" t="s">
        <v>649</v>
      </c>
      <c r="B104" s="79" t="s">
        <v>686</v>
      </c>
      <c r="C104" s="2">
        <v>0</v>
      </c>
      <c r="D104" s="2" t="str">
        <f t="shared" si="6"/>
        <v/>
      </c>
      <c r="E104" s="2" t="str">
        <f>IF(D104=1,SUM($D$78:D104),"")</f>
        <v/>
      </c>
    </row>
    <row r="105" spans="1:5">
      <c r="A105" t="s">
        <v>650</v>
      </c>
      <c r="B105" t="s">
        <v>687</v>
      </c>
      <c r="C105" s="2">
        <v>0</v>
      </c>
      <c r="D105" s="2" t="str">
        <f t="shared" si="6"/>
        <v/>
      </c>
      <c r="E105" s="2" t="str">
        <f>IF(D105=1,SUM($D$78:D105),"")</f>
        <v/>
      </c>
    </row>
    <row r="106" spans="1:5">
      <c r="A106" t="s">
        <v>651</v>
      </c>
      <c r="B106" t="s">
        <v>688</v>
      </c>
      <c r="C106" s="2">
        <v>0</v>
      </c>
      <c r="D106" s="2" t="str">
        <f t="shared" si="6"/>
        <v/>
      </c>
      <c r="E106" s="2" t="str">
        <f>IF(D106=1,SUM($D$78:D106),"")</f>
        <v/>
      </c>
    </row>
    <row r="107" spans="1:5">
      <c r="A107" t="s">
        <v>652</v>
      </c>
      <c r="B107" t="s">
        <v>689</v>
      </c>
      <c r="C107" s="2">
        <v>0</v>
      </c>
      <c r="D107" s="2" t="str">
        <f t="shared" si="6"/>
        <v/>
      </c>
      <c r="E107" s="2" t="str">
        <f>IF(D107=1,SUM($D$78:D107),"")</f>
        <v/>
      </c>
    </row>
    <row r="111" spans="1:5">
      <c r="A111" s="78"/>
      <c r="B111" s="78"/>
    </row>
    <row r="112" spans="1:5">
      <c r="A112" s="78"/>
      <c r="B112" s="7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FE42-C077-4B99-AF3C-6CB33FB4BDE2}">
  <dimension ref="A1:J251"/>
  <sheetViews>
    <sheetView workbookViewId="0">
      <selection activeCell="D11" sqref="D11"/>
    </sheetView>
  </sheetViews>
  <sheetFormatPr defaultColWidth="8.85546875" defaultRowHeight="15"/>
  <cols>
    <col min="1" max="1" width="7.42578125" customWidth="1"/>
    <col min="2" max="2" width="7.42578125" bestFit="1" customWidth="1"/>
    <col min="3" max="3" width="12.7109375" bestFit="1" customWidth="1"/>
    <col min="4" max="4" width="71.42578125" bestFit="1" customWidth="1"/>
    <col min="7" max="10" width="14.7109375" customWidth="1"/>
    <col min="12" max="12" width="10.140625" bestFit="1" customWidth="1"/>
  </cols>
  <sheetData>
    <row r="1" spans="1:6" ht="15.95" thickBot="1">
      <c r="A1" t="s">
        <v>690</v>
      </c>
      <c r="B1" s="41" t="s">
        <v>691</v>
      </c>
      <c r="C1" s="42" t="s">
        <v>656</v>
      </c>
      <c r="D1" s="42" t="s">
        <v>657</v>
      </c>
      <c r="E1" s="42" t="s">
        <v>622</v>
      </c>
      <c r="F1" s="43" t="s">
        <v>692</v>
      </c>
    </row>
    <row r="2" spans="1:6">
      <c r="B2" s="33">
        <v>1</v>
      </c>
      <c r="C2" s="34" t="str">
        <f>_xlfn.XLOOKUP(B2,Calc!$A$128:$A$545,Calc!$G$128:$G$545,"",0)</f>
        <v>43.06.14.0043</v>
      </c>
      <c r="D2" s="34" t="str">
        <f>_xlfn.XLOOKUP(B2,Calc!$A$128:$A$545,Calc!$H$128:$H$545,"",0)</f>
        <v>Domino - Column - 80x3 - L2175 - 8Ø13 - 8Ø9 - Galvanized</v>
      </c>
      <c r="E2" s="34">
        <f>_xlfn.XLOOKUP(B2,Calc!$A$128:$A$545,Calc!$C$128:$C$545,"",0)</f>
        <v>4</v>
      </c>
      <c r="F2" s="35" t="str">
        <f>_xlfn.XLOOKUP(C2,Articles!$A$2:$A$232,Articles!$C$2:$C$232,"",0)</f>
        <v>st</v>
      </c>
    </row>
    <row r="3" spans="1:6">
      <c r="B3" s="36">
        <v>2</v>
      </c>
      <c r="C3" t="str">
        <f>_xlfn.XLOOKUP(B3,Calc!$A$128:$A$545,Calc!$G$128:$G$545,"",0)</f>
        <v>43.09.06.0001</v>
      </c>
      <c r="D3" t="str">
        <f>_xlfn.XLOOKUP(B3,Calc!$A$128:$A$545,Calc!$H$128:$H$545,"",0)</f>
        <v>Domino - Mof A - Galvanized</v>
      </c>
      <c r="E3">
        <f>_xlfn.XLOOKUP(B3,Calc!$A$128:$A$545,Calc!$C$128:$C$545,"",0)</f>
        <v>4</v>
      </c>
      <c r="F3" s="37" t="str">
        <f>_xlfn.XLOOKUP(C3,Articles!$A$2:$A$232,Articles!$C$2:$C$232,"",0)</f>
        <v>st</v>
      </c>
    </row>
    <row r="4" spans="1:6">
      <c r="B4" s="36">
        <v>3</v>
      </c>
      <c r="C4" t="str">
        <f>_xlfn.XLOOKUP(B4,Calc!$A$128:$A$545,Calc!$G$128:$G$545,"",0)</f>
        <v>43.03.10.0001</v>
      </c>
      <c r="D4" t="str">
        <f>_xlfn.XLOOKUP(B4,Calc!$A$128:$A$545,Calc!$H$128:$H$545,"",0)</f>
        <v>Domino - Foot - 70x4 - L605 - Outflow - Galvanized</v>
      </c>
      <c r="E4">
        <f>_xlfn.XLOOKUP(B4,Calc!$A$128:$A$545,Calc!$C$128:$C$545,"",0)</f>
        <v>4</v>
      </c>
      <c r="F4" s="37" t="str">
        <f>_xlfn.XLOOKUP(C4,Articles!$A$2:$A$232,Articles!$C$2:$C$232,"",0)</f>
        <v>st</v>
      </c>
    </row>
    <row r="5" spans="1:6">
      <c r="B5" s="36">
        <v>4</v>
      </c>
      <c r="C5" t="str">
        <f>_xlfn.XLOOKUP(B5,Calc!$A$128:$A$545,Calc!$G$128:$G$545,"",0)</f>
        <v>43.03.10.0003</v>
      </c>
      <c r="D5" t="str">
        <f>_xlfn.XLOOKUP(B5,Calc!$A$128:$A$545,Calc!$H$128:$H$545,"",0)</f>
        <v>Domino - Foot 70x50x3 - L600 - Galvanized</v>
      </c>
      <c r="E5">
        <f>_xlfn.XLOOKUP(B5,Calc!$A$128:$A$545,Calc!$C$128:$C$545,"",0)</f>
        <v>2</v>
      </c>
      <c r="F5" s="37" t="str">
        <f>_xlfn.XLOOKUP(C5,Articles!$A$2:$A$232,Articles!$C$2:$C$232,"",0)</f>
        <v>st</v>
      </c>
    </row>
    <row r="6" spans="1:6">
      <c r="B6" s="36">
        <v>5</v>
      </c>
      <c r="C6" t="str">
        <f>_xlfn.XLOOKUP(B6,Calc!$A$128:$A$545,Calc!$G$128:$G$545,"",0)</f>
        <v>37.60.06.0161</v>
      </c>
      <c r="D6" t="str">
        <f>_xlfn.XLOOKUP(B6,Calc!$A$128:$A$545,Calc!$H$128:$H$545,"",0)</f>
        <v>Domino - Gutter G - L2390 - 6Ø13 - Cut 3 - Galvanized</v>
      </c>
      <c r="E6">
        <f>_xlfn.XLOOKUP(B6,Calc!$A$128:$A$545,Calc!$C$128:$C$545,"",0)</f>
        <v>2</v>
      </c>
      <c r="F6" s="37" t="str">
        <f>_xlfn.XLOOKUP(C6,Articles!$A$2:$A$232,Articles!$C$2:$C$232,"",0)</f>
        <v>st</v>
      </c>
    </row>
    <row r="7" spans="1:6">
      <c r="B7" s="36">
        <v>6</v>
      </c>
      <c r="C7" t="str">
        <f>_xlfn.XLOOKUP(B7,Calc!$A$128:$A$545,Calc!$G$128:$G$545,"",0)</f>
        <v>37.60.06.0160</v>
      </c>
      <c r="D7" t="str">
        <f>_xlfn.XLOOKUP(B7,Calc!$A$128:$A$545,Calc!$H$128:$H$545,"",0)</f>
        <v>Domino - Gutter G - L1890 - 7Ø13 - Galvanized</v>
      </c>
      <c r="E7">
        <f>_xlfn.XLOOKUP(B7,Calc!$A$128:$A$545,Calc!$C$128:$C$545,"",0)</f>
        <v>2</v>
      </c>
      <c r="F7" s="37" t="str">
        <f>_xlfn.XLOOKUP(C7,Articles!$A$2:$A$232,Articles!$C$2:$C$232,"",0)</f>
        <v>st</v>
      </c>
    </row>
    <row r="8" spans="1:6">
      <c r="B8" s="36">
        <v>7</v>
      </c>
      <c r="C8" t="str">
        <f>_xlfn.XLOOKUP(B8,Calc!$A$128:$A$545,Calc!$G$128:$G$545,"",0)</f>
        <v>37.60.06.0168</v>
      </c>
      <c r="D8" t="str">
        <f>_xlfn.XLOOKUP(B8,Calc!$A$128:$A$545,Calc!$H$128:$H$545,"",0)</f>
        <v>Domino - U-Profile - 80x50x3 - L1890 - 3Ø13 - Galvanized</v>
      </c>
      <c r="E8">
        <f>_xlfn.XLOOKUP(B8,Calc!$A$128:$A$545,Calc!$C$128:$C$545,"",0)</f>
        <v>1</v>
      </c>
      <c r="F8" s="37" t="str">
        <f>_xlfn.XLOOKUP(C8,Articles!$A$2:$A$232,Articles!$C$2:$C$232,"",0)</f>
        <v>st</v>
      </c>
    </row>
    <row r="9" spans="1:6">
      <c r="B9" s="36">
        <v>8</v>
      </c>
      <c r="C9" t="str">
        <f>_xlfn.XLOOKUP(B9,Calc!$A$128:$A$545,Calc!$G$128:$G$545,"",0)</f>
        <v>43.13.07.0011</v>
      </c>
      <c r="D9" t="str">
        <f>_xlfn.XLOOKUP(B9,Calc!$A$128:$A$545,Calc!$H$128:$H$545,"",0)</f>
        <v>Domino - Beam - 120x60x3 - L1890 - 8Ø13 - Galvanized</v>
      </c>
      <c r="E9">
        <f>_xlfn.XLOOKUP(B9,Calc!$A$128:$A$545,Calc!$C$128:$C$545,"",0)</f>
        <v>1</v>
      </c>
      <c r="F9" s="37" t="str">
        <f>_xlfn.XLOOKUP(C9,Articles!$A$2:$A$232,Articles!$C$2:$C$232,"",0)</f>
        <v>st</v>
      </c>
    </row>
    <row r="10" spans="1:6">
      <c r="B10" s="36">
        <v>9</v>
      </c>
      <c r="C10" t="str">
        <f>_xlfn.XLOOKUP(B10,Calc!$A$128:$A$545,Calc!$G$128:$G$545,"",0)</f>
        <v>43.09.06.0015</v>
      </c>
      <c r="D10" t="str">
        <f>_xlfn.XLOOKUP(B10,Calc!$A$128:$A$545,Calc!$H$128:$H$545,"",0)</f>
        <v>Domino - Beam Connector - Bracket - Galvanized</v>
      </c>
      <c r="E10">
        <f>_xlfn.XLOOKUP(B10,Calc!$A$128:$A$545,Calc!$C$128:$C$545,"",0)</f>
        <v>2</v>
      </c>
      <c r="F10" s="37" t="str">
        <f>_xlfn.XLOOKUP(C10,Articles!$A$2:$A$232,Articles!$C$2:$C$232,"",0)</f>
        <v>st</v>
      </c>
    </row>
    <row r="11" spans="1:6">
      <c r="B11" s="36">
        <v>10</v>
      </c>
      <c r="C11" t="str">
        <f>_xlfn.XLOOKUP(B11,Calc!$A$128:$A$545,Calc!$G$128:$G$545,"",0)</f>
        <v>44.02.06.0005</v>
      </c>
      <c r="D11" t="str">
        <f>_xlfn.XLOOKUP(B11,Calc!$A$128:$A$545,Calc!$H$128:$H$545,"",0)</f>
        <v>Domino - Girder - 50x2 - L1948 - 6Ø13 - 6M10 - Galvanized</v>
      </c>
      <c r="E11">
        <f>_xlfn.XLOOKUP(B11,Calc!$A$128:$A$545,Calc!$C$128:$C$545,"",0)</f>
        <v>4</v>
      </c>
      <c r="F11" s="37" t="str">
        <f>_xlfn.XLOOKUP(C11,Articles!$A$2:$A$232,Articles!$C$2:$C$232,"",0)</f>
        <v>st</v>
      </c>
    </row>
    <row r="12" spans="1:6">
      <c r="B12" s="36">
        <v>11</v>
      </c>
      <c r="C12" t="str">
        <f>_xlfn.XLOOKUP(B12,Calc!$A$128:$A$545,Calc!$G$128:$G$545,"",0)</f>
        <v>44.02.06.0006</v>
      </c>
      <c r="D12" t="str">
        <f>_xlfn.XLOOKUP(B12,Calc!$A$128:$A$545,Calc!$H$128:$H$545,"",0)</f>
        <v>Domino - Girder - 50x2 - L2448 - 6Ø13 - 6M10 - Galvanized</v>
      </c>
      <c r="E12">
        <f>_xlfn.XLOOKUP(B12,Calc!$A$128:$A$545,Calc!$C$128:$C$545,"",0)</f>
        <v>2</v>
      </c>
      <c r="F12" s="37" t="str">
        <f>_xlfn.XLOOKUP(C12,Articles!$A$2:$A$232,Articles!$C$2:$C$232,"",0)</f>
        <v>st</v>
      </c>
    </row>
    <row r="13" spans="1:6">
      <c r="B13" s="36">
        <v>12</v>
      </c>
      <c r="C13" t="str">
        <f>_xlfn.XLOOKUP(B13,Calc!$A$128:$A$545,Calc!$G$128:$G$545,"",0)</f>
        <v>44.02.06.0030</v>
      </c>
      <c r="D13" t="str">
        <f>_xlfn.XLOOKUP(B13,Calc!$A$128:$A$545,Calc!$H$128:$H$545,"",0)</f>
        <v xml:space="preserve">Domino - Girder - 50x2 - L543mm - 2Ø13 - 2M10 - Galvanized </v>
      </c>
      <c r="E13">
        <f>_xlfn.XLOOKUP(B13,Calc!$A$128:$A$545,Calc!$C$128:$C$545,"",0)</f>
        <v>4</v>
      </c>
      <c r="F13" s="37" t="str">
        <f>_xlfn.XLOOKUP(C13,Articles!$A$2:$A$232,Articles!$C$2:$C$232,"",0)</f>
        <v>st</v>
      </c>
    </row>
    <row r="14" spans="1:6">
      <c r="B14" s="36">
        <v>13</v>
      </c>
      <c r="C14" t="str">
        <f>_xlfn.XLOOKUP(B14,Calc!$A$128:$A$545,Calc!$G$128:$G$545,"",0)</f>
        <v>43.07.18.0001</v>
      </c>
      <c r="D14" t="str">
        <f>_xlfn.XLOOKUP(B14,Calc!$A$128:$A$545,Calc!$H$128:$H$545,"",0)</f>
        <v>Domino - Wall Connector - Galvanized</v>
      </c>
      <c r="E14">
        <f>_xlfn.XLOOKUP(B14,Calc!$A$128:$A$545,Calc!$C$128:$C$545,"",0)</f>
        <v>20</v>
      </c>
      <c r="F14" s="37" t="str">
        <f>_xlfn.XLOOKUP(C14,Articles!$A$2:$A$232,Articles!$C$2:$C$232,"",0)</f>
        <v>st</v>
      </c>
    </row>
    <row r="15" spans="1:6">
      <c r="B15" s="36">
        <v>14</v>
      </c>
      <c r="C15" t="str">
        <f>_xlfn.XLOOKUP(B15,Calc!$A$128:$A$545,Calc!$G$128:$G$545,"",0)</f>
        <v>43.06.14.0049</v>
      </c>
      <c r="D15" t="str">
        <f>_xlfn.XLOOKUP(B15,Calc!$A$128:$A$545,Calc!$H$128:$H$545,"",0)</f>
        <v>Domino - Gate Column - 80x60x3 - L2260 - Galvanized</v>
      </c>
      <c r="E15">
        <f>_xlfn.XLOOKUP(B15,Calc!$A$128:$A$545,Calc!$C$128:$C$545,"",0)</f>
        <v>2</v>
      </c>
      <c r="F15" s="37" t="str">
        <f>_xlfn.XLOOKUP(C15,Articles!$A$2:$A$232,Articles!$C$2:$C$232,"",0)</f>
        <v>st</v>
      </c>
    </row>
    <row r="16" spans="1:6">
      <c r="B16" s="36">
        <v>15</v>
      </c>
      <c r="C16" t="str">
        <f>_xlfn.XLOOKUP(B16,Calc!$A$128:$A$545,Calc!$G$128:$G$545,"",0)</f>
        <v>43.32.03.0054</v>
      </c>
      <c r="D16" t="str">
        <f>_xlfn.XLOOKUP(B16,Calc!$A$128:$A$545,Calc!$H$128:$H$545,"",0)</f>
        <v>Domino - Gate Frame - W1180 - H2030 - Galvanized</v>
      </c>
      <c r="E16">
        <f>_xlfn.XLOOKUP(B16,Calc!$A$128:$A$545,Calc!$C$128:$C$545,"",0)</f>
        <v>1</v>
      </c>
      <c r="F16" s="37" t="str">
        <f>_xlfn.XLOOKUP(C16,Articles!$A$2:$A$232,Articles!$C$2:$C$232,"",0)</f>
        <v>st</v>
      </c>
    </row>
    <row r="17" spans="2:6">
      <c r="B17" s="36">
        <v>16</v>
      </c>
      <c r="C17" t="str">
        <f>_xlfn.XLOOKUP(B17,Calc!$A$128:$A$545,Calc!$G$128:$G$545,"",0)</f>
        <v>43.32.03.0048</v>
      </c>
      <c r="D17" t="str">
        <f>_xlfn.XLOOKUP(B17,Calc!$A$128:$A$545,Calc!$H$128:$H$545,"",0)</f>
        <v xml:space="preserve">Domino - Hinge Bracket - Galvanized  </v>
      </c>
      <c r="E17">
        <f>_xlfn.XLOOKUP(B17,Calc!$A$128:$A$545,Calc!$C$128:$C$545,"",0)</f>
        <v>2</v>
      </c>
      <c r="F17" s="37" t="str">
        <f>_xlfn.XLOOKUP(C17,Articles!$A$2:$A$232,Articles!$C$2:$C$232,"",0)</f>
        <v>st</v>
      </c>
    </row>
    <row r="18" spans="2:6">
      <c r="B18" s="36">
        <v>17</v>
      </c>
      <c r="C18" t="str">
        <f>_xlfn.XLOOKUP(B18,Calc!$A$128:$A$545,Calc!$G$128:$G$545,"",0)</f>
        <v>43.32.03.0050</v>
      </c>
      <c r="D18" t="str">
        <f>_xlfn.XLOOKUP(B18,Calc!$A$128:$A$545,Calc!$H$128:$H$545,"",0)</f>
        <v xml:space="preserve">Domino - Hinge L-Profile - Galvanized </v>
      </c>
      <c r="E18">
        <f>_xlfn.XLOOKUP(B18,Calc!$A$128:$A$545,Calc!$C$128:$C$545,"",0)</f>
        <v>2</v>
      </c>
      <c r="F18" s="37" t="str">
        <f>_xlfn.XLOOKUP(C18,Articles!$A$2:$A$232,Articles!$C$2:$C$232,"",0)</f>
        <v>st</v>
      </c>
    </row>
    <row r="19" spans="2:6">
      <c r="B19" s="36">
        <v>18</v>
      </c>
      <c r="C19" t="str">
        <f>_xlfn.XLOOKUP(B19,Calc!$A$128:$A$545,Calc!$G$128:$G$545,"",0)</f>
        <v>20.07.04.0009</v>
      </c>
      <c r="D19" t="str">
        <f>_xlfn.XLOOKUP(B19,Calc!$A$128:$A$545,Calc!$H$128:$H$545,"",0)</f>
        <v>Keep - Locinox SFKO-QF-ALUM</v>
      </c>
      <c r="E19">
        <f>_xlfn.XLOOKUP(B19,Calc!$A$128:$A$545,Calc!$C$128:$C$545,"",0)</f>
        <v>1</v>
      </c>
      <c r="F19" s="37" t="str">
        <f>_xlfn.XLOOKUP(C19,Articles!$A$2:$A$232,Articles!$C$2:$C$232,"",0)</f>
        <v>st</v>
      </c>
    </row>
    <row r="20" spans="2:6">
      <c r="B20" s="36">
        <v>19</v>
      </c>
      <c r="C20" t="str">
        <f>_xlfn.XLOOKUP(B20,Calc!$A$128:$A$545,Calc!$G$128:$G$545,"",0)</f>
        <v>20.08.03.0117</v>
      </c>
      <c r="D20" t="str">
        <f>_xlfn.XLOOKUP(B20,Calc!$A$128:$A$545,Calc!$H$128:$H$545,"",0)</f>
        <v>Eyebolt set - Locinox 1039SET-M16-65</v>
      </c>
      <c r="E20">
        <f>_xlfn.XLOOKUP(B20,Calc!$A$128:$A$545,Calc!$C$128:$C$545,"",0)</f>
        <v>2</v>
      </c>
      <c r="F20" s="37" t="str">
        <f>_xlfn.XLOOKUP(C20,Articles!$A$2:$A$232,Articles!$C$2:$C$232,"",0)</f>
        <v>st</v>
      </c>
    </row>
    <row r="21" spans="2:6">
      <c r="B21" s="36">
        <v>20</v>
      </c>
      <c r="C21" t="str">
        <f>_xlfn.XLOOKUP(B21,Calc!$A$128:$A$545,Calc!$G$128:$G$545,"",0)</f>
        <v>20.10.01.0017</v>
      </c>
      <c r="D21" t="str">
        <f>_xlfn.XLOOKUP(B21,Calc!$A$128:$A$545,Calc!$H$128:$H$545,"",0)</f>
        <v>Cover shield (2 pcs) - Locinox 3020-HYB-ALU-SILV</v>
      </c>
      <c r="E21">
        <f>_xlfn.XLOOKUP(B21,Calc!$A$128:$A$545,Calc!$C$128:$C$545,"",0)</f>
        <v>1</v>
      </c>
      <c r="F21" s="37" t="str">
        <f>_xlfn.XLOOKUP(C21,Articles!$A$2:$A$232,Articles!$C$2:$C$232,"",0)</f>
        <v>st</v>
      </c>
    </row>
    <row r="22" spans="2:6">
      <c r="B22" s="36">
        <v>21</v>
      </c>
      <c r="C22" t="str">
        <f>_xlfn.XLOOKUP(B22,Calc!$A$128:$A$545,Calc!$G$128:$G$545,"",0)</f>
        <v>20.10.03.0013</v>
      </c>
      <c r="D22" t="str">
        <f>_xlfn.XLOOKUP(B22,Calc!$A$128:$A$545,Calc!$H$128:$H$545,"",0)</f>
        <v>Handle pair - Locinox 3006M-H</v>
      </c>
      <c r="E22">
        <f>_xlfn.XLOOKUP(B22,Calc!$A$128:$A$545,Calc!$C$128:$C$545,"",0)</f>
        <v>1</v>
      </c>
      <c r="F22" s="37" t="str">
        <f>_xlfn.XLOOKUP(C22,Articles!$A$2:$A$232,Articles!$C$2:$C$232,"",0)</f>
        <v>st</v>
      </c>
    </row>
    <row r="23" spans="2:6">
      <c r="B23" s="36">
        <v>22</v>
      </c>
      <c r="C23" t="str">
        <f>_xlfn.XLOOKUP(B23,Calc!$A$128:$A$545,Calc!$G$128:$G$545,"",0)</f>
        <v>20.10.09.0017</v>
      </c>
      <c r="D23" t="str">
        <f>_xlfn.XLOOKUP(B23,Calc!$A$128:$A$545,Calc!$H$128:$H$545,"",0)</f>
        <v>Lock case - Locinox SIXTYLOCK</v>
      </c>
      <c r="E23">
        <f>_xlfn.XLOOKUP(B23,Calc!$A$128:$A$545,Calc!$C$128:$C$545,"",0)</f>
        <v>1</v>
      </c>
      <c r="F23" s="37" t="str">
        <f>_xlfn.XLOOKUP(C23,Articles!$A$2:$A$232,Articles!$C$2:$C$232,"",0)</f>
        <v>st</v>
      </c>
    </row>
    <row r="24" spans="2:6">
      <c r="B24" s="36">
        <v>23</v>
      </c>
      <c r="C24" t="str">
        <f>_xlfn.XLOOKUP(B24,Calc!$A$128:$A$545,Calc!$G$128:$G$545,"",0)</f>
        <v>20.10.02.0023</v>
      </c>
      <c r="D24" t="str">
        <f>_xlfn.XLOOKUP(B24,Calc!$A$128:$A$545,Calc!$H$128:$H$545,"",0)</f>
        <v>Euro Cylinder with 3 keys - 30/50mm</v>
      </c>
      <c r="E24">
        <f>_xlfn.XLOOKUP(B24,Calc!$A$128:$A$545,Calc!$C$128:$C$545,"",0)</f>
        <v>1</v>
      </c>
      <c r="F24" s="37" t="str">
        <f>_xlfn.XLOOKUP(C24,Articles!$A$2:$A$232,Articles!$C$2:$C$232,"",0)</f>
        <v>st</v>
      </c>
    </row>
    <row r="25" spans="2:6">
      <c r="B25" s="36">
        <v>24</v>
      </c>
      <c r="C25" t="str">
        <f>_xlfn.XLOOKUP(B25,Calc!$A$128:$A$545,Calc!$G$128:$G$545,"",0)</f>
        <v>40.01.01.0014</v>
      </c>
      <c r="D25" t="str">
        <f>_xlfn.XLOOKUP(B25,Calc!$A$128:$A$545,Calc!$H$128:$H$545,"",0)</f>
        <v>Wooden panel - Type A1 - Thermowood - WxH=950x2150mm</v>
      </c>
      <c r="E25">
        <f>_xlfn.XLOOKUP(B25,Calc!$A$128:$A$545,Calc!$C$128:$C$545,"",0)</f>
        <v>4</v>
      </c>
      <c r="F25" s="37" t="str">
        <f>_xlfn.XLOOKUP(C25,Articles!$A$2:$A$232,Articles!$C$2:$C$232,"",0)</f>
        <v>st</v>
      </c>
    </row>
    <row r="26" spans="2:6">
      <c r="B26" s="36">
        <v>25</v>
      </c>
      <c r="C26" t="str">
        <f>_xlfn.XLOOKUP(B26,Calc!$A$128:$A$545,Calc!$G$128:$G$545,"",0)</f>
        <v>40.01.01.0016</v>
      </c>
      <c r="D26" t="str">
        <f>_xlfn.XLOOKUP(B26,Calc!$A$128:$A$545,Calc!$H$128:$H$545,"",0)</f>
        <v>Wooden panel - Type B1 - Thermowood - WxH=1195x2150mm</v>
      </c>
      <c r="E26">
        <f>_xlfn.XLOOKUP(B26,Calc!$A$128:$A$545,Calc!$C$128:$C$545,"",0)</f>
        <v>2</v>
      </c>
      <c r="F26" s="37" t="str">
        <f>_xlfn.XLOOKUP(C26,Articles!$A$2:$A$232,Articles!$C$2:$C$232,"",0)</f>
        <v>st</v>
      </c>
    </row>
    <row r="27" spans="2:6">
      <c r="B27" s="36">
        <v>26</v>
      </c>
      <c r="C27" t="str">
        <f>_xlfn.XLOOKUP(B27,Calc!$A$128:$A$545,Calc!$G$128:$G$545,"",0)</f>
        <v>09.01.06.0012</v>
      </c>
      <c r="D27" t="str">
        <f>_xlfn.XLOOKUP(B27,Calc!$A$128:$A$545,Calc!$H$128:$H$545,"",0)</f>
        <v>Thermowood - 90x20x2150mm - 4-sided planed - rounded edges</v>
      </c>
      <c r="E27">
        <f>_xlfn.XLOOKUP(B27,Calc!$A$128:$A$545,Calc!$C$128:$C$545,"",0)</f>
        <v>28</v>
      </c>
      <c r="F27" s="37" t="str">
        <f>_xlfn.XLOOKUP(C27,Articles!$A$2:$A$232,Articles!$C$2:$C$232,"",0)</f>
        <v>st</v>
      </c>
    </row>
    <row r="28" spans="2:6">
      <c r="B28" s="36">
        <v>27</v>
      </c>
      <c r="C28" t="str">
        <f>_xlfn.XLOOKUP(B28,Calc!$A$128:$A$545,Calc!$G$128:$G$545,"",0)</f>
        <v>09.01.06.0014</v>
      </c>
      <c r="D28" t="str">
        <f>_xlfn.XLOOKUP(B28,Calc!$A$128:$A$545,Calc!$H$128:$H$545,"",0)</f>
        <v>Thermowood - 44x22x950mm - 4-sided planed</v>
      </c>
      <c r="E28">
        <f>_xlfn.XLOOKUP(B28,Calc!$A$128:$A$545,Calc!$C$128:$C$545,"",0)</f>
        <v>1</v>
      </c>
      <c r="F28" s="37" t="str">
        <f>_xlfn.XLOOKUP(C28,Articles!$A$2:$A$232,Articles!$C$2:$C$232,"",0)</f>
        <v>st</v>
      </c>
    </row>
    <row r="29" spans="2:6">
      <c r="B29" s="36">
        <v>28</v>
      </c>
      <c r="C29" t="str">
        <f>_xlfn.XLOOKUP(B29,Calc!$A$128:$A$545,Calc!$G$128:$G$545,"",0)</f>
        <v>09.01.06.0015</v>
      </c>
      <c r="D29" t="str">
        <f>_xlfn.XLOOKUP(B29,Calc!$A$128:$A$545,Calc!$H$128:$H$545,"",0)</f>
        <v>Thermowood - 44x22x1195mm - 4-sided planed</v>
      </c>
      <c r="E29">
        <f>_xlfn.XLOOKUP(B29,Calc!$A$128:$A$545,Calc!$C$128:$C$545,"",0)</f>
        <v>4</v>
      </c>
      <c r="F29" s="37" t="str">
        <f>_xlfn.XLOOKUP(C29,Articles!$A$2:$A$232,Articles!$C$2:$C$232,"",0)</f>
        <v>st</v>
      </c>
    </row>
    <row r="30" spans="2:6">
      <c r="B30" s="36">
        <v>29</v>
      </c>
      <c r="C30" t="str">
        <f>_xlfn.XLOOKUP(B30,Calc!$A$128:$A$545,Calc!$G$128:$G$545,"",0)</f>
        <v>01.06.11.0012</v>
      </c>
      <c r="D30" t="str">
        <f>_xlfn.XLOOKUP(B30,Calc!$A$128:$A$545,Calc!$H$128:$H$545,"",0)</f>
        <v>Steel Roof Sheet - RAL7016 - L=2520mm</v>
      </c>
      <c r="E30">
        <f>_xlfn.XLOOKUP(B30,Calc!$A$128:$A$545,Calc!$C$128:$C$545,"",0)</f>
        <v>3</v>
      </c>
      <c r="F30" s="37" t="str">
        <f>_xlfn.XLOOKUP(C30,Articles!$A$2:$A$232,Articles!$C$2:$C$232,"",0)</f>
        <v>st</v>
      </c>
    </row>
    <row r="31" spans="2:6">
      <c r="B31" s="36">
        <v>30</v>
      </c>
      <c r="C31" t="str">
        <f>_xlfn.XLOOKUP(B31,Calc!$A$128:$A$545,Calc!$G$128:$G$545,"",0)</f>
        <v>37.44.06.0001</v>
      </c>
      <c r="D31" t="str">
        <f>_xlfn.XLOOKUP(B31,Calc!$A$128:$A$545,Calc!$H$128:$H$545,"",0)</f>
        <v>Alu L-profile - 125x50x2 - Perfo R5T8 - L=3000mm</v>
      </c>
      <c r="E31">
        <f>_xlfn.XLOOKUP(B31,Calc!$A$128:$A$545,Calc!$C$128:$C$545,"",0)</f>
        <v>1</v>
      </c>
      <c r="F31" s="37" t="str">
        <f>_xlfn.XLOOKUP(C31,Articles!$A$2:$A$232,Articles!$C$2:$C$232,"",0)</f>
        <v>st</v>
      </c>
    </row>
    <row r="32" spans="2:6">
      <c r="B32" s="36">
        <v>31</v>
      </c>
      <c r="C32" t="str">
        <f>_xlfn.XLOOKUP(B32,Calc!$A$128:$A$545,Calc!$G$128:$G$545,"",0)</f>
        <v>37.44.04.0002</v>
      </c>
      <c r="D32" t="str">
        <f>_xlfn.XLOOKUP(B32,Calc!$A$128:$A$545,Calc!$H$128:$H$545,"",0)</f>
        <v>Alu L-profile - 50x50x2 - Perfo R5T8 - L=3000mm</v>
      </c>
      <c r="E32">
        <f>_xlfn.XLOOKUP(B32,Calc!$A$128:$A$545,Calc!$C$128:$C$545,"",0)</f>
        <v>1</v>
      </c>
      <c r="F32" s="37" t="str">
        <f>_xlfn.XLOOKUP(C32,Articles!$A$2:$A$232,Articles!$C$2:$C$232,"",0)</f>
        <v>st</v>
      </c>
    </row>
    <row r="33" spans="2:6">
      <c r="B33" s="36">
        <v>32</v>
      </c>
      <c r="C33" t="str">
        <f>_xlfn.XLOOKUP(B33,Calc!$A$128:$A$545,Calc!$G$128:$G$545,"",0)</f>
        <v/>
      </c>
      <c r="D33" t="str">
        <f>_xlfn.XLOOKUP(B33,Calc!$A$128:$A$545,Calc!$H$128:$H$545,"",0)</f>
        <v/>
      </c>
      <c r="E33" t="str">
        <f>_xlfn.XLOOKUP(B33,Calc!$A$128:$A$545,Calc!$C$128:$C$545,"",0)</f>
        <v/>
      </c>
      <c r="F33" s="37" t="str">
        <f>_xlfn.XLOOKUP(C33,Articles!$A$2:$A$232,Articles!$C$2:$C$232,"",0)</f>
        <v/>
      </c>
    </row>
    <row r="34" spans="2:6">
      <c r="B34" s="36">
        <v>33</v>
      </c>
      <c r="C34" t="str">
        <f>_xlfn.XLOOKUP(B34,Calc!$A$128:$A$545,Calc!$G$128:$G$545,"",0)</f>
        <v/>
      </c>
      <c r="D34" t="str">
        <f>_xlfn.XLOOKUP(B34,Calc!$A$128:$A$545,Calc!$H$128:$H$545,"",0)</f>
        <v/>
      </c>
      <c r="E34" t="str">
        <f>_xlfn.XLOOKUP(B34,Calc!$A$128:$A$545,Calc!$C$128:$C$545,"",0)</f>
        <v/>
      </c>
      <c r="F34" s="37" t="str">
        <f>_xlfn.XLOOKUP(C34,Articles!$A$2:$A$232,Articles!$C$2:$C$232,"",0)</f>
        <v/>
      </c>
    </row>
    <row r="35" spans="2:6">
      <c r="B35" s="36">
        <v>34</v>
      </c>
      <c r="C35" t="str">
        <f>_xlfn.XLOOKUP(B35,Calc!$A$128:$A$545,Calc!$G$128:$G$545,"",0)</f>
        <v/>
      </c>
      <c r="D35" t="str">
        <f>_xlfn.XLOOKUP(B35,Calc!$A$128:$A$545,Calc!$H$128:$H$545,"",0)</f>
        <v/>
      </c>
      <c r="E35" t="str">
        <f>_xlfn.XLOOKUP(B35,Calc!$A$128:$A$545,Calc!$C$128:$C$545,"",0)</f>
        <v/>
      </c>
      <c r="F35" s="37" t="str">
        <f>_xlfn.XLOOKUP(C35,Articles!$A$2:$A$232,Articles!$C$2:$C$232,"",0)</f>
        <v/>
      </c>
    </row>
    <row r="36" spans="2:6">
      <c r="B36" s="36">
        <v>35</v>
      </c>
      <c r="C36" t="str">
        <f>_xlfn.XLOOKUP(B36,Calc!$A$128:$A$545,Calc!$G$128:$G$545,"",0)</f>
        <v/>
      </c>
      <c r="D36" t="str">
        <f>_xlfn.XLOOKUP(B36,Calc!$A$128:$A$545,Calc!$H$128:$H$545,"",0)</f>
        <v/>
      </c>
      <c r="E36" t="str">
        <f>_xlfn.XLOOKUP(B36,Calc!$A$128:$A$545,Calc!$C$128:$C$545,"",0)</f>
        <v/>
      </c>
      <c r="F36" s="37" t="str">
        <f>_xlfn.XLOOKUP(C36,Articles!$A$2:$A$232,Articles!$C$2:$C$232,"",0)</f>
        <v/>
      </c>
    </row>
    <row r="37" spans="2:6">
      <c r="B37" s="36">
        <v>36</v>
      </c>
      <c r="C37" t="str">
        <f>_xlfn.XLOOKUP(B37,Calc!$A$128:$A$545,Calc!$G$128:$G$545,"",0)</f>
        <v/>
      </c>
      <c r="D37" t="str">
        <f>_xlfn.XLOOKUP(B37,Calc!$A$128:$A$545,Calc!$H$128:$H$545,"",0)</f>
        <v/>
      </c>
      <c r="E37" t="str">
        <f>_xlfn.XLOOKUP(B37,Calc!$A$128:$A$545,Calc!$C$128:$C$545,"",0)</f>
        <v/>
      </c>
      <c r="F37" s="37" t="str">
        <f>_xlfn.XLOOKUP(C37,Articles!$A$2:$A$232,Articles!$C$2:$C$232,"",0)</f>
        <v/>
      </c>
    </row>
    <row r="38" spans="2:6">
      <c r="B38" s="36">
        <v>37</v>
      </c>
      <c r="C38" t="str">
        <f>_xlfn.XLOOKUP(B38,Calc!$A$128:$A$545,Calc!$G$128:$G$545,"",0)</f>
        <v/>
      </c>
      <c r="D38" t="str">
        <f>_xlfn.XLOOKUP(B38,Calc!$A$128:$A$545,Calc!$H$128:$H$545,"",0)</f>
        <v/>
      </c>
      <c r="E38" t="str">
        <f>_xlfn.XLOOKUP(B38,Calc!$A$128:$A$545,Calc!$C$128:$C$545,"",0)</f>
        <v/>
      </c>
      <c r="F38" s="37" t="str">
        <f>_xlfn.XLOOKUP(C38,Articles!$A$2:$A$232,Articles!$C$2:$C$232,"",0)</f>
        <v/>
      </c>
    </row>
    <row r="39" spans="2:6">
      <c r="B39" s="36">
        <v>38</v>
      </c>
      <c r="C39" t="str">
        <f>_xlfn.XLOOKUP(B39,Calc!$A$128:$A$545,Calc!$G$128:$G$545,"",0)</f>
        <v/>
      </c>
      <c r="D39" t="str">
        <f>_xlfn.XLOOKUP(B39,Calc!$A$128:$A$545,Calc!$H$128:$H$545,"",0)</f>
        <v/>
      </c>
      <c r="E39" t="str">
        <f>_xlfn.XLOOKUP(B39,Calc!$A$128:$A$545,Calc!$C$128:$C$545,"",0)</f>
        <v/>
      </c>
      <c r="F39" s="37" t="str">
        <f>_xlfn.XLOOKUP(C39,Articles!$A$2:$A$232,Articles!$C$2:$C$232,"",0)</f>
        <v/>
      </c>
    </row>
    <row r="40" spans="2:6">
      <c r="B40" s="36">
        <v>39</v>
      </c>
      <c r="C40" t="str">
        <f>_xlfn.XLOOKUP(B40,Calc!$A$128:$A$545,Calc!$G$128:$G$545,"",0)</f>
        <v/>
      </c>
      <c r="D40" t="str">
        <f>_xlfn.XLOOKUP(B40,Calc!$A$128:$A$545,Calc!$H$128:$H$545,"",0)</f>
        <v/>
      </c>
      <c r="E40" t="str">
        <f>_xlfn.XLOOKUP(B40,Calc!$A$128:$A$545,Calc!$C$128:$C$545,"",0)</f>
        <v/>
      </c>
      <c r="F40" s="37" t="str">
        <f>_xlfn.XLOOKUP(C40,Articles!$A$2:$A$232,Articles!$C$2:$C$232,"",0)</f>
        <v/>
      </c>
    </row>
    <row r="41" spans="2:6">
      <c r="B41" s="36">
        <v>40</v>
      </c>
      <c r="C41" t="str">
        <f>_xlfn.XLOOKUP(B41,Calc!$A$128:$A$545,Calc!$G$128:$G$545,"",0)</f>
        <v/>
      </c>
      <c r="D41" t="str">
        <f>_xlfn.XLOOKUP(B41,Calc!$A$128:$A$545,Calc!$H$128:$H$545,"",0)</f>
        <v/>
      </c>
      <c r="E41" t="str">
        <f>_xlfn.XLOOKUP(B41,Calc!$A$128:$A$545,Calc!$C$128:$C$545,"",0)</f>
        <v/>
      </c>
      <c r="F41" s="37" t="str">
        <f>_xlfn.XLOOKUP(C41,Articles!$A$2:$A$232,Articles!$C$2:$C$232,"",0)</f>
        <v/>
      </c>
    </row>
    <row r="42" spans="2:6">
      <c r="B42" s="36">
        <v>41</v>
      </c>
      <c r="C42" t="str">
        <f>_xlfn.XLOOKUP(B42,Calc!$A$128:$A$545,Calc!$G$128:$G$545,"",0)</f>
        <v/>
      </c>
      <c r="D42" t="str">
        <f>_xlfn.XLOOKUP(B42,Calc!$A$128:$A$545,Calc!$H$128:$H$545,"",0)</f>
        <v/>
      </c>
      <c r="E42" t="str">
        <f>_xlfn.XLOOKUP(B42,Calc!$A$128:$A$545,Calc!$C$128:$C$545,"",0)</f>
        <v/>
      </c>
      <c r="F42" s="37" t="str">
        <f>_xlfn.XLOOKUP(C42,Articles!$A$2:$A$232,Articles!$C$2:$C$232,"",0)</f>
        <v/>
      </c>
    </row>
    <row r="43" spans="2:6">
      <c r="B43" s="36">
        <v>42</v>
      </c>
      <c r="C43" t="str">
        <f>_xlfn.XLOOKUP(B43,Calc!$A$128:$A$545,Calc!$G$128:$G$545,"",0)</f>
        <v/>
      </c>
      <c r="D43" t="str">
        <f>_xlfn.XLOOKUP(B43,Calc!$A$128:$A$545,Calc!$H$128:$H$545,"",0)</f>
        <v/>
      </c>
      <c r="E43" t="str">
        <f>_xlfn.XLOOKUP(B43,Calc!$A$128:$A$545,Calc!$C$128:$C$545,"",0)</f>
        <v/>
      </c>
      <c r="F43" s="37" t="str">
        <f>_xlfn.XLOOKUP(C43,Articles!$A$2:$A$232,Articles!$C$2:$C$232,"",0)</f>
        <v/>
      </c>
    </row>
    <row r="44" spans="2:6">
      <c r="B44" s="36">
        <v>43</v>
      </c>
      <c r="C44" t="str">
        <f>_xlfn.XLOOKUP(B44,Calc!$A$128:$A$545,Calc!$G$128:$G$545,"",0)</f>
        <v/>
      </c>
      <c r="D44" t="str">
        <f>_xlfn.XLOOKUP(B44,Calc!$A$128:$A$545,Calc!$H$128:$H$545,"",0)</f>
        <v/>
      </c>
      <c r="E44" t="str">
        <f>_xlfn.XLOOKUP(B44,Calc!$A$128:$A$545,Calc!$C$128:$C$545,"",0)</f>
        <v/>
      </c>
      <c r="F44" s="37" t="str">
        <f>_xlfn.XLOOKUP(C44,Articles!$A$2:$A$232,Articles!$C$2:$C$232,"",0)</f>
        <v/>
      </c>
    </row>
    <row r="45" spans="2:6">
      <c r="B45" s="36">
        <v>44</v>
      </c>
      <c r="C45" t="str">
        <f>_xlfn.XLOOKUP(B45,Calc!$A$128:$A$545,Calc!$G$128:$G$545,"",0)</f>
        <v/>
      </c>
      <c r="D45" t="str">
        <f>_xlfn.XLOOKUP(B45,Calc!$A$128:$A$545,Calc!$H$128:$H$545,"",0)</f>
        <v/>
      </c>
      <c r="E45" t="str">
        <f>_xlfn.XLOOKUP(B45,Calc!$A$128:$A$545,Calc!$C$128:$C$545,"",0)</f>
        <v/>
      </c>
      <c r="F45" s="37" t="str">
        <f>_xlfn.XLOOKUP(C45,Articles!$A$2:$A$232,Articles!$C$2:$C$232,"",0)</f>
        <v/>
      </c>
    </row>
    <row r="46" spans="2:6">
      <c r="B46" s="36">
        <v>45</v>
      </c>
      <c r="C46" t="str">
        <f>_xlfn.XLOOKUP(B46,Calc!$A$128:$A$545,Calc!$G$128:$G$545,"",0)</f>
        <v/>
      </c>
      <c r="D46" t="str">
        <f>_xlfn.XLOOKUP(B46,Calc!$A$128:$A$545,Calc!$H$128:$H$545,"",0)</f>
        <v/>
      </c>
      <c r="E46" t="str">
        <f>_xlfn.XLOOKUP(B46,Calc!$A$128:$A$545,Calc!$C$128:$C$545,"",0)</f>
        <v/>
      </c>
      <c r="F46" s="37" t="str">
        <f>_xlfn.XLOOKUP(C46,Articles!$A$2:$A$232,Articles!$C$2:$C$232,"",0)</f>
        <v/>
      </c>
    </row>
    <row r="47" spans="2:6">
      <c r="B47" s="36">
        <v>46</v>
      </c>
      <c r="C47" t="str">
        <f>_xlfn.XLOOKUP(B47,Calc!$A$128:$A$545,Calc!$G$128:$G$545,"",0)</f>
        <v/>
      </c>
      <c r="D47" t="str">
        <f>_xlfn.XLOOKUP(B47,Calc!$A$128:$A$545,Calc!$H$128:$H$545,"",0)</f>
        <v/>
      </c>
      <c r="E47" t="str">
        <f>_xlfn.XLOOKUP(B47,Calc!$A$128:$A$545,Calc!$C$128:$C$545,"",0)</f>
        <v/>
      </c>
      <c r="F47" s="37" t="str">
        <f>_xlfn.XLOOKUP(C47,Articles!$A$2:$A$232,Articles!$C$2:$C$232,"",0)</f>
        <v/>
      </c>
    </row>
    <row r="48" spans="2:6">
      <c r="B48" s="36">
        <v>47</v>
      </c>
      <c r="C48" t="str">
        <f>_xlfn.XLOOKUP(B48,Calc!$A$128:$A$545,Calc!$G$128:$G$545,"",0)</f>
        <v/>
      </c>
      <c r="D48" t="str">
        <f>_xlfn.XLOOKUP(B48,Calc!$A$128:$A$545,Calc!$H$128:$H$545,"",0)</f>
        <v/>
      </c>
      <c r="E48" t="str">
        <f>_xlfn.XLOOKUP(B48,Calc!$A$128:$A$545,Calc!$C$128:$C$545,"",0)</f>
        <v/>
      </c>
      <c r="F48" s="37" t="str">
        <f>_xlfn.XLOOKUP(C48,Articles!$A$2:$A$232,Articles!$C$2:$C$232,"",0)</f>
        <v/>
      </c>
    </row>
    <row r="49" spans="2:6">
      <c r="B49" s="36">
        <v>48</v>
      </c>
      <c r="C49" t="str">
        <f>_xlfn.XLOOKUP(B49,Calc!$A$128:$A$545,Calc!$G$128:$G$545,"",0)</f>
        <v/>
      </c>
      <c r="D49" t="str">
        <f>_xlfn.XLOOKUP(B49,Calc!$A$128:$A$545,Calc!$H$128:$H$545,"",0)</f>
        <v/>
      </c>
      <c r="E49" t="str">
        <f>_xlfn.XLOOKUP(B49,Calc!$A$128:$A$545,Calc!$C$128:$C$545,"",0)</f>
        <v/>
      </c>
      <c r="F49" s="37" t="str">
        <f>_xlfn.XLOOKUP(C49,Articles!$A$2:$A$232,Articles!$C$2:$C$232,"",0)</f>
        <v/>
      </c>
    </row>
    <row r="50" spans="2:6">
      <c r="B50" s="36">
        <v>49</v>
      </c>
      <c r="C50" t="str">
        <f>_xlfn.XLOOKUP(B50,Calc!$A$128:$A$545,Calc!$G$128:$G$545,"",0)</f>
        <v/>
      </c>
      <c r="D50" t="str">
        <f>_xlfn.XLOOKUP(B50,Calc!$A$128:$A$545,Calc!$H$128:$H$545,"",0)</f>
        <v/>
      </c>
      <c r="E50" t="str">
        <f>_xlfn.XLOOKUP(B50,Calc!$A$128:$A$545,Calc!$C$128:$C$545,"",0)</f>
        <v/>
      </c>
      <c r="F50" s="37" t="str">
        <f>_xlfn.XLOOKUP(C50,Articles!$A$2:$A$232,Articles!$C$2:$C$232,"",0)</f>
        <v/>
      </c>
    </row>
    <row r="51" spans="2:6">
      <c r="B51" s="36">
        <v>50</v>
      </c>
      <c r="C51" t="str">
        <f>_xlfn.XLOOKUP(B51,Calc!$A$128:$A$545,Calc!$G$128:$G$545,"",0)</f>
        <v/>
      </c>
      <c r="D51" t="str">
        <f>_xlfn.XLOOKUP(B51,Calc!$A$128:$A$545,Calc!$H$128:$H$545,"",0)</f>
        <v/>
      </c>
      <c r="E51" t="str">
        <f>_xlfn.XLOOKUP(B51,Calc!$A$128:$A$545,Calc!$C$128:$C$545,"",0)</f>
        <v/>
      </c>
      <c r="F51" s="37" t="str">
        <f>_xlfn.XLOOKUP(C51,Articles!$A$2:$A$232,Articles!$C$2:$C$232,"",0)</f>
        <v/>
      </c>
    </row>
    <row r="52" spans="2:6">
      <c r="B52" s="36">
        <v>51</v>
      </c>
      <c r="C52" t="str">
        <f>_xlfn.XLOOKUP(B52,Calc!$A$128:$A$545,Calc!$G$128:$G$545,"",0)</f>
        <v/>
      </c>
      <c r="D52" t="str">
        <f>_xlfn.XLOOKUP(B52,Calc!$A$128:$A$545,Calc!$H$128:$H$545,"",0)</f>
        <v/>
      </c>
      <c r="E52" t="str">
        <f>_xlfn.XLOOKUP(B52,Calc!$A$128:$A$545,Calc!$C$128:$C$545,"",0)</f>
        <v/>
      </c>
      <c r="F52" s="37" t="str">
        <f>_xlfn.XLOOKUP(C52,Articles!$A$2:$A$232,Articles!$C$2:$C$232,"",0)</f>
        <v/>
      </c>
    </row>
    <row r="53" spans="2:6">
      <c r="B53" s="36">
        <v>52</v>
      </c>
      <c r="C53" t="str">
        <f>_xlfn.XLOOKUP(B53,Calc!$A$128:$A$545,Calc!$G$128:$G$545,"",0)</f>
        <v/>
      </c>
      <c r="D53" t="str">
        <f>_xlfn.XLOOKUP(B53,Calc!$A$128:$A$545,Calc!$H$128:$H$545,"",0)</f>
        <v/>
      </c>
      <c r="E53" t="str">
        <f>_xlfn.XLOOKUP(B53,Calc!$A$128:$A$545,Calc!$C$128:$C$545,"",0)</f>
        <v/>
      </c>
      <c r="F53" s="37" t="str">
        <f>_xlfn.XLOOKUP(C53,Articles!$A$2:$A$232,Articles!$C$2:$C$232,"",0)</f>
        <v/>
      </c>
    </row>
    <row r="54" spans="2:6">
      <c r="B54" s="36">
        <v>53</v>
      </c>
      <c r="C54" t="str">
        <f>_xlfn.XLOOKUP(B54,Calc!$A$128:$A$545,Calc!$G$128:$G$545,"",0)</f>
        <v/>
      </c>
      <c r="D54" t="str">
        <f>_xlfn.XLOOKUP(B54,Calc!$A$128:$A$545,Calc!$H$128:$H$545,"",0)</f>
        <v/>
      </c>
      <c r="E54" t="str">
        <f>_xlfn.XLOOKUP(B54,Calc!$A$128:$A$545,Calc!$C$128:$C$545,"",0)</f>
        <v/>
      </c>
      <c r="F54" s="37" t="str">
        <f>_xlfn.XLOOKUP(C54,Articles!$A$2:$A$232,Articles!$C$2:$C$232,"",0)</f>
        <v/>
      </c>
    </row>
    <row r="55" spans="2:6">
      <c r="B55" s="36">
        <v>54</v>
      </c>
      <c r="C55" t="str">
        <f>_xlfn.XLOOKUP(B55,Calc!$A$128:$A$545,Calc!$G$128:$G$545,"",0)</f>
        <v/>
      </c>
      <c r="D55" t="str">
        <f>_xlfn.XLOOKUP(B55,Calc!$A$128:$A$545,Calc!$H$128:$H$545,"",0)</f>
        <v/>
      </c>
      <c r="E55" t="str">
        <f>_xlfn.XLOOKUP(B55,Calc!$A$128:$A$545,Calc!$C$128:$C$545,"",0)</f>
        <v/>
      </c>
      <c r="F55" s="37" t="str">
        <f>_xlfn.XLOOKUP(C55,Articles!$A$2:$A$232,Articles!$C$2:$C$232,"",0)</f>
        <v/>
      </c>
    </row>
    <row r="56" spans="2:6">
      <c r="B56" s="36">
        <v>55</v>
      </c>
      <c r="C56" t="str">
        <f>_xlfn.XLOOKUP(B56,Calc!$A$128:$A$545,Calc!$G$128:$G$545,"",0)</f>
        <v/>
      </c>
      <c r="D56" t="str">
        <f>_xlfn.XLOOKUP(B56,Calc!$A$128:$A$545,Calc!$H$128:$H$545,"",0)</f>
        <v/>
      </c>
      <c r="E56" t="str">
        <f>_xlfn.XLOOKUP(B56,Calc!$A$128:$A$545,Calc!$C$128:$C$545,"",0)</f>
        <v/>
      </c>
      <c r="F56" s="37" t="str">
        <f>_xlfn.XLOOKUP(C56,Articles!$A$2:$A$232,Articles!$C$2:$C$232,"",0)</f>
        <v/>
      </c>
    </row>
    <row r="57" spans="2:6">
      <c r="B57" s="36">
        <v>56</v>
      </c>
      <c r="C57" t="str">
        <f>_xlfn.XLOOKUP(B57,Calc!$A$128:$A$545,Calc!$G$128:$G$545,"",0)</f>
        <v/>
      </c>
      <c r="D57" t="str">
        <f>_xlfn.XLOOKUP(B57,Calc!$A$128:$A$545,Calc!$H$128:$H$545,"",0)</f>
        <v/>
      </c>
      <c r="E57" t="str">
        <f>_xlfn.XLOOKUP(B57,Calc!$A$128:$A$545,Calc!$C$128:$C$545,"",0)</f>
        <v/>
      </c>
      <c r="F57" s="37" t="str">
        <f>_xlfn.XLOOKUP(C57,Articles!$A$2:$A$232,Articles!$C$2:$C$232,"",0)</f>
        <v/>
      </c>
    </row>
    <row r="58" spans="2:6">
      <c r="B58" s="36">
        <v>57</v>
      </c>
      <c r="C58" t="str">
        <f>_xlfn.XLOOKUP(B58,Calc!$A$128:$A$545,Calc!$G$128:$G$545,"",0)</f>
        <v/>
      </c>
      <c r="D58" t="str">
        <f>_xlfn.XLOOKUP(B58,Calc!$A$128:$A$545,Calc!$H$128:$H$545,"",0)</f>
        <v/>
      </c>
      <c r="E58" t="str">
        <f>_xlfn.XLOOKUP(B58,Calc!$A$128:$A$545,Calc!$C$128:$C$545,"",0)</f>
        <v/>
      </c>
      <c r="F58" s="37" t="str">
        <f>_xlfn.XLOOKUP(C58,Articles!$A$2:$A$232,Articles!$C$2:$C$232,"",0)</f>
        <v/>
      </c>
    </row>
    <row r="59" spans="2:6">
      <c r="B59" s="36">
        <v>58</v>
      </c>
      <c r="C59" t="str">
        <f>_xlfn.XLOOKUP(B59,Calc!$A$128:$A$545,Calc!$G$128:$G$545,"",0)</f>
        <v/>
      </c>
      <c r="D59" t="str">
        <f>_xlfn.XLOOKUP(B59,Calc!$A$128:$A$545,Calc!$H$128:$H$545,"",0)</f>
        <v/>
      </c>
      <c r="E59" t="str">
        <f>_xlfn.XLOOKUP(B59,Calc!$A$128:$A$545,Calc!$C$128:$C$545,"",0)</f>
        <v/>
      </c>
      <c r="F59" s="37" t="str">
        <f>_xlfn.XLOOKUP(C59,Articles!$A$2:$A$232,Articles!$C$2:$C$232,"",0)</f>
        <v/>
      </c>
    </row>
    <row r="60" spans="2:6">
      <c r="B60" s="36">
        <v>59</v>
      </c>
      <c r="C60" t="str">
        <f>_xlfn.XLOOKUP(B60,Calc!$A$128:$A$545,Calc!$G$128:$G$545,"",0)</f>
        <v/>
      </c>
      <c r="D60" t="str">
        <f>_xlfn.XLOOKUP(B60,Calc!$A$128:$A$545,Calc!$H$128:$H$545,"",0)</f>
        <v/>
      </c>
      <c r="E60" t="str">
        <f>_xlfn.XLOOKUP(B60,Calc!$A$128:$A$545,Calc!$C$128:$C$545,"",0)</f>
        <v/>
      </c>
      <c r="F60" s="37" t="str">
        <f>_xlfn.XLOOKUP(C60,Articles!$A$2:$A$232,Articles!$C$2:$C$232,"",0)</f>
        <v/>
      </c>
    </row>
    <row r="61" spans="2:6">
      <c r="B61" s="36">
        <v>60</v>
      </c>
      <c r="C61" t="str">
        <f>_xlfn.XLOOKUP(B61,Calc!$A$128:$A$545,Calc!$G$128:$G$545,"",0)</f>
        <v/>
      </c>
      <c r="D61" t="str">
        <f>_xlfn.XLOOKUP(B61,Calc!$A$128:$A$545,Calc!$H$128:$H$545,"",0)</f>
        <v/>
      </c>
      <c r="E61" t="str">
        <f>_xlfn.XLOOKUP(B61,Calc!$A$128:$A$545,Calc!$C$128:$C$545,"",0)</f>
        <v/>
      </c>
      <c r="F61" s="37" t="str">
        <f>_xlfn.XLOOKUP(C61,Articles!$A$2:$A$232,Articles!$C$2:$C$232,"",0)</f>
        <v/>
      </c>
    </row>
    <row r="62" spans="2:6">
      <c r="B62" s="36">
        <v>61</v>
      </c>
      <c r="C62" t="str">
        <f>_xlfn.XLOOKUP(B62,Calc!$A$128:$A$545,Calc!$G$128:$G$545,"",0)</f>
        <v/>
      </c>
      <c r="D62" t="str">
        <f>_xlfn.XLOOKUP(B62,Calc!$A$128:$A$545,Calc!$H$128:$H$545,"",0)</f>
        <v/>
      </c>
      <c r="E62" t="str">
        <f>_xlfn.XLOOKUP(B62,Calc!$A$128:$A$545,Calc!$C$128:$C$545,"",0)</f>
        <v/>
      </c>
      <c r="F62" s="37" t="str">
        <f>_xlfn.XLOOKUP(C62,Articles!$A$2:$A$232,Articles!$C$2:$C$232,"",0)</f>
        <v/>
      </c>
    </row>
    <row r="63" spans="2:6">
      <c r="B63" s="36">
        <v>62</v>
      </c>
      <c r="C63" t="str">
        <f>_xlfn.XLOOKUP(B63,Calc!$A$128:$A$545,Calc!$G$128:$G$545,"",0)</f>
        <v/>
      </c>
      <c r="D63" t="str">
        <f>_xlfn.XLOOKUP(B63,Calc!$A$128:$A$545,Calc!$H$128:$H$545,"",0)</f>
        <v/>
      </c>
      <c r="E63" t="str">
        <f>_xlfn.XLOOKUP(B63,Calc!$A$128:$A$545,Calc!$C$128:$C$545,"",0)</f>
        <v/>
      </c>
      <c r="F63" s="37" t="str">
        <f>_xlfn.XLOOKUP(C63,Articles!$A$2:$A$232,Articles!$C$2:$C$232,"",0)</f>
        <v/>
      </c>
    </row>
    <row r="64" spans="2:6">
      <c r="B64" s="36">
        <v>63</v>
      </c>
      <c r="C64" t="str">
        <f>_xlfn.XLOOKUP(B64,Calc!$A$128:$A$545,Calc!$G$128:$G$545,"",0)</f>
        <v/>
      </c>
      <c r="D64" t="str">
        <f>_xlfn.XLOOKUP(B64,Calc!$A$128:$A$545,Calc!$H$128:$H$545,"",0)</f>
        <v/>
      </c>
      <c r="E64" t="str">
        <f>_xlfn.XLOOKUP(B64,Calc!$A$128:$A$545,Calc!$C$128:$C$545,"",0)</f>
        <v/>
      </c>
      <c r="F64" s="37" t="str">
        <f>_xlfn.XLOOKUP(C64,Articles!$A$2:$A$232,Articles!$C$2:$C$232,"",0)</f>
        <v/>
      </c>
    </row>
    <row r="65" spans="2:6">
      <c r="B65" s="36">
        <v>64</v>
      </c>
      <c r="C65" t="str">
        <f>_xlfn.XLOOKUP(B65,Calc!$A$128:$A$545,Calc!$G$128:$G$545,"",0)</f>
        <v/>
      </c>
      <c r="D65" t="str">
        <f>_xlfn.XLOOKUP(B65,Calc!$A$128:$A$545,Calc!$H$128:$H$545,"",0)</f>
        <v/>
      </c>
      <c r="E65" t="str">
        <f>_xlfn.XLOOKUP(B65,Calc!$A$128:$A$545,Calc!$C$128:$C$545,"",0)</f>
        <v/>
      </c>
      <c r="F65" s="37" t="str">
        <f>_xlfn.XLOOKUP(C65,Articles!$A$2:$A$232,Articles!$C$2:$C$232,"",0)</f>
        <v/>
      </c>
    </row>
    <row r="66" spans="2:6">
      <c r="B66" s="36">
        <v>65</v>
      </c>
      <c r="C66" t="str">
        <f>_xlfn.XLOOKUP(B66,Calc!$A$128:$A$545,Calc!$G$128:$G$545,"",0)</f>
        <v/>
      </c>
      <c r="D66" t="str">
        <f>_xlfn.XLOOKUP(B66,Calc!$A$128:$A$545,Calc!$H$128:$H$545,"",0)</f>
        <v/>
      </c>
      <c r="E66" t="str">
        <f>_xlfn.XLOOKUP(B66,Calc!$A$128:$A$545,Calc!$C$128:$C$545,"",0)</f>
        <v/>
      </c>
      <c r="F66" s="37" t="str">
        <f>_xlfn.XLOOKUP(C66,Articles!$A$2:$A$232,Articles!$C$2:$C$232,"",0)</f>
        <v/>
      </c>
    </row>
    <row r="67" spans="2:6">
      <c r="B67" s="36">
        <v>66</v>
      </c>
      <c r="C67" t="str">
        <f>_xlfn.XLOOKUP(B67,Calc!$A$128:$A$545,Calc!$G$128:$G$545,"",0)</f>
        <v/>
      </c>
      <c r="D67" t="str">
        <f>_xlfn.XLOOKUP(B67,Calc!$A$128:$A$545,Calc!$H$128:$H$545,"",0)</f>
        <v/>
      </c>
      <c r="E67" t="str">
        <f>_xlfn.XLOOKUP(B67,Calc!$A$128:$A$545,Calc!$C$128:$C$545,"",0)</f>
        <v/>
      </c>
      <c r="F67" s="37" t="str">
        <f>_xlfn.XLOOKUP(C67,Articles!$A$2:$A$232,Articles!$C$2:$C$232,"",0)</f>
        <v/>
      </c>
    </row>
    <row r="68" spans="2:6">
      <c r="B68" s="36">
        <v>67</v>
      </c>
      <c r="C68" t="str">
        <f>_xlfn.XLOOKUP(B68,Calc!$A$128:$A$545,Calc!$G$128:$G$545,"",0)</f>
        <v/>
      </c>
      <c r="D68" t="str">
        <f>_xlfn.XLOOKUP(B68,Calc!$A$128:$A$545,Calc!$H$128:$H$545,"",0)</f>
        <v/>
      </c>
      <c r="E68" t="str">
        <f>_xlfn.XLOOKUP(B68,Calc!$A$128:$A$545,Calc!$C$128:$C$545,"",0)</f>
        <v/>
      </c>
      <c r="F68" s="37" t="str">
        <f>_xlfn.XLOOKUP(C68,Articles!$A$2:$A$232,Articles!$C$2:$C$232,"",0)</f>
        <v/>
      </c>
    </row>
    <row r="69" spans="2:6">
      <c r="B69" s="36">
        <v>68</v>
      </c>
      <c r="C69" t="str">
        <f>_xlfn.XLOOKUP(B69,Calc!$A$128:$A$545,Calc!$G$128:$G$545,"",0)</f>
        <v/>
      </c>
      <c r="D69" t="str">
        <f>_xlfn.XLOOKUP(B69,Calc!$A$128:$A$545,Calc!$H$128:$H$545,"",0)</f>
        <v/>
      </c>
      <c r="E69" t="str">
        <f>_xlfn.XLOOKUP(B69,Calc!$A$128:$A$545,Calc!$C$128:$C$545,"",0)</f>
        <v/>
      </c>
      <c r="F69" s="37" t="str">
        <f>_xlfn.XLOOKUP(C69,Articles!$A$2:$A$232,Articles!$C$2:$C$232,"",0)</f>
        <v/>
      </c>
    </row>
    <row r="70" spans="2:6">
      <c r="B70" s="36">
        <v>69</v>
      </c>
      <c r="C70" t="str">
        <f>_xlfn.XLOOKUP(B70,Calc!$A$128:$A$545,Calc!$G$128:$G$545,"",0)</f>
        <v/>
      </c>
      <c r="D70" t="str">
        <f>_xlfn.XLOOKUP(B70,Calc!$A$128:$A$545,Calc!$H$128:$H$545,"",0)</f>
        <v/>
      </c>
      <c r="E70" t="str">
        <f>_xlfn.XLOOKUP(B70,Calc!$A$128:$A$545,Calc!$C$128:$C$545,"",0)</f>
        <v/>
      </c>
      <c r="F70" s="37" t="str">
        <f>_xlfn.XLOOKUP(C70,Articles!$A$2:$A$232,Articles!$C$2:$C$232,"",0)</f>
        <v/>
      </c>
    </row>
    <row r="71" spans="2:6">
      <c r="B71" s="36">
        <v>70</v>
      </c>
      <c r="C71" t="str">
        <f>_xlfn.XLOOKUP(B71,Calc!$A$128:$A$545,Calc!$G$128:$G$545,"",0)</f>
        <v/>
      </c>
      <c r="D71" t="str">
        <f>_xlfn.XLOOKUP(B71,Calc!$A$128:$A$545,Calc!$H$128:$H$545,"",0)</f>
        <v/>
      </c>
      <c r="E71" t="str">
        <f>_xlfn.XLOOKUP(B71,Calc!$A$128:$A$545,Calc!$C$128:$C$545,"",0)</f>
        <v/>
      </c>
      <c r="F71" s="37" t="str">
        <f>_xlfn.XLOOKUP(C71,Articles!$A$2:$A$232,Articles!$C$2:$C$232,"",0)</f>
        <v/>
      </c>
    </row>
    <row r="72" spans="2:6">
      <c r="B72" s="36">
        <v>71</v>
      </c>
      <c r="C72" t="str">
        <f>_xlfn.XLOOKUP(B72,Calc!$A$128:$A$545,Calc!$G$128:$G$545,"",0)</f>
        <v/>
      </c>
      <c r="D72" t="str">
        <f>_xlfn.XLOOKUP(B72,Calc!$A$128:$A$545,Calc!$H$128:$H$545,"",0)</f>
        <v/>
      </c>
      <c r="E72" t="str">
        <f>_xlfn.XLOOKUP(B72,Calc!$A$128:$A$545,Calc!$C$128:$C$545,"",0)</f>
        <v/>
      </c>
      <c r="F72" s="37" t="str">
        <f>_xlfn.XLOOKUP(C72,Articles!$A$2:$A$232,Articles!$C$2:$C$232,"",0)</f>
        <v/>
      </c>
    </row>
    <row r="73" spans="2:6">
      <c r="B73" s="36">
        <v>72</v>
      </c>
      <c r="C73" t="str">
        <f>_xlfn.XLOOKUP(B73,Calc!$A$128:$A$545,Calc!$G$128:$G$545,"",0)</f>
        <v/>
      </c>
      <c r="D73" t="str">
        <f>_xlfn.XLOOKUP(B73,Calc!$A$128:$A$545,Calc!$H$128:$H$545,"",0)</f>
        <v/>
      </c>
      <c r="E73" t="str">
        <f>_xlfn.XLOOKUP(B73,Calc!$A$128:$A$545,Calc!$C$128:$C$545,"",0)</f>
        <v/>
      </c>
      <c r="F73" s="37" t="str">
        <f>_xlfn.XLOOKUP(C73,Articles!$A$2:$A$232,Articles!$C$2:$C$232,"",0)</f>
        <v/>
      </c>
    </row>
    <row r="74" spans="2:6">
      <c r="B74" s="36">
        <v>73</v>
      </c>
      <c r="C74" t="str">
        <f>_xlfn.XLOOKUP(B74,Calc!$A$128:$A$545,Calc!$G$128:$G$545,"",0)</f>
        <v/>
      </c>
      <c r="D74" t="str">
        <f>_xlfn.XLOOKUP(B74,Calc!$A$128:$A$545,Calc!$H$128:$H$545,"",0)</f>
        <v/>
      </c>
      <c r="E74" t="str">
        <f>_xlfn.XLOOKUP(B74,Calc!$A$128:$A$545,Calc!$C$128:$C$545,"",0)</f>
        <v/>
      </c>
      <c r="F74" s="37" t="str">
        <f>_xlfn.XLOOKUP(C74,Articles!$A$2:$A$232,Articles!$C$2:$C$232,"",0)</f>
        <v/>
      </c>
    </row>
    <row r="75" spans="2:6">
      <c r="B75" s="36">
        <v>74</v>
      </c>
      <c r="C75" t="str">
        <f>_xlfn.XLOOKUP(B75,Calc!$A$128:$A$545,Calc!$G$128:$G$545,"",0)</f>
        <v/>
      </c>
      <c r="D75" t="str">
        <f>_xlfn.XLOOKUP(B75,Calc!$A$128:$A$545,Calc!$H$128:$H$545,"",0)</f>
        <v/>
      </c>
      <c r="E75" t="str">
        <f>_xlfn.XLOOKUP(B75,Calc!$A$128:$A$545,Calc!$C$128:$C$545,"",0)</f>
        <v/>
      </c>
      <c r="F75" s="37" t="str">
        <f>_xlfn.XLOOKUP(C75,Articles!$A$2:$A$232,Articles!$C$2:$C$232,"",0)</f>
        <v/>
      </c>
    </row>
    <row r="76" spans="2:6">
      <c r="B76" s="36">
        <v>75</v>
      </c>
      <c r="C76" t="str">
        <f>_xlfn.XLOOKUP(B76,Calc!$A$128:$A$545,Calc!$G$128:$G$545,"",0)</f>
        <v/>
      </c>
      <c r="D76" t="str">
        <f>_xlfn.XLOOKUP(B76,Calc!$A$128:$A$545,Calc!$H$128:$H$545,"",0)</f>
        <v/>
      </c>
      <c r="E76" t="str">
        <f>_xlfn.XLOOKUP(B76,Calc!$A$128:$A$545,Calc!$C$128:$C$545,"",0)</f>
        <v/>
      </c>
      <c r="F76" s="37" t="str">
        <f>_xlfn.XLOOKUP(C76,Articles!$A$2:$A$232,Articles!$C$2:$C$232,"",0)</f>
        <v/>
      </c>
    </row>
    <row r="77" spans="2:6">
      <c r="B77" s="36">
        <v>76</v>
      </c>
      <c r="C77" t="str">
        <f>_xlfn.XLOOKUP(B77,Calc!$A$128:$A$545,Calc!$G$128:$G$545,"",0)</f>
        <v/>
      </c>
      <c r="D77" t="str">
        <f>_xlfn.XLOOKUP(B77,Calc!$A$128:$A$545,Calc!$H$128:$H$545,"",0)</f>
        <v/>
      </c>
      <c r="E77" t="str">
        <f>_xlfn.XLOOKUP(B77,Calc!$A$128:$A$545,Calc!$C$128:$C$545,"",0)</f>
        <v/>
      </c>
      <c r="F77" s="37" t="str">
        <f>_xlfn.XLOOKUP(C77,Articles!$A$2:$A$232,Articles!$C$2:$C$232,"",0)</f>
        <v/>
      </c>
    </row>
    <row r="78" spans="2:6">
      <c r="B78" s="36">
        <v>77</v>
      </c>
      <c r="C78" t="str">
        <f>_xlfn.XLOOKUP(B78,Calc!$A$128:$A$545,Calc!$G$128:$G$545,"",0)</f>
        <v/>
      </c>
      <c r="D78" t="str">
        <f>_xlfn.XLOOKUP(B78,Calc!$A$128:$A$545,Calc!$H$128:$H$545,"",0)</f>
        <v/>
      </c>
      <c r="E78" t="str">
        <f>_xlfn.XLOOKUP(B78,Calc!$A$128:$A$545,Calc!$C$128:$C$545,"",0)</f>
        <v/>
      </c>
      <c r="F78" s="37" t="str">
        <f>_xlfn.XLOOKUP(C78,Articles!$A$2:$A$232,Articles!$C$2:$C$232,"",0)</f>
        <v/>
      </c>
    </row>
    <row r="79" spans="2:6">
      <c r="B79" s="36">
        <v>78</v>
      </c>
      <c r="C79" t="str">
        <f>_xlfn.XLOOKUP(B79,Calc!$A$128:$A$545,Calc!$G$128:$G$545,"",0)</f>
        <v/>
      </c>
      <c r="D79" t="str">
        <f>_xlfn.XLOOKUP(B79,Calc!$A$128:$A$545,Calc!$H$128:$H$545,"",0)</f>
        <v/>
      </c>
      <c r="E79" t="str">
        <f>_xlfn.XLOOKUP(B79,Calc!$A$128:$A$545,Calc!$C$128:$C$545,"",0)</f>
        <v/>
      </c>
      <c r="F79" s="37" t="str">
        <f>_xlfn.XLOOKUP(C79,Articles!$A$2:$A$232,Articles!$C$2:$C$232,"",0)</f>
        <v/>
      </c>
    </row>
    <row r="80" spans="2:6">
      <c r="B80" s="36">
        <v>79</v>
      </c>
      <c r="C80" t="str">
        <f>_xlfn.XLOOKUP(B80,Calc!$A$128:$A$545,Calc!$G$128:$G$545,"",0)</f>
        <v/>
      </c>
      <c r="D80" t="str">
        <f>_xlfn.XLOOKUP(B80,Calc!$A$128:$A$545,Calc!$H$128:$H$545,"",0)</f>
        <v/>
      </c>
      <c r="E80" t="str">
        <f>_xlfn.XLOOKUP(B80,Calc!$A$128:$A$545,Calc!$C$128:$C$545,"",0)</f>
        <v/>
      </c>
      <c r="F80" s="37" t="str">
        <f>_xlfn.XLOOKUP(C80,Articles!$A$2:$A$232,Articles!$C$2:$C$232,"",0)</f>
        <v/>
      </c>
    </row>
    <row r="81" spans="1:6">
      <c r="B81" s="36">
        <v>80</v>
      </c>
      <c r="C81" t="str">
        <f>_xlfn.XLOOKUP(B81,Calc!$A$128:$A$545,Calc!$G$128:$G$545,"",0)</f>
        <v/>
      </c>
      <c r="D81" t="str">
        <f>_xlfn.XLOOKUP(B81,Calc!$A$128:$A$545,Calc!$H$128:$H$545,"",0)</f>
        <v/>
      </c>
      <c r="E81" t="str">
        <f>_xlfn.XLOOKUP(B81,Calc!$A$128:$A$545,Calc!$C$128:$C$545,"",0)</f>
        <v/>
      </c>
      <c r="F81" s="37" t="str">
        <f>_xlfn.XLOOKUP(C81,Articles!$A$2:$A$232,Articles!$C$2:$C$232,"",0)</f>
        <v/>
      </c>
    </row>
    <row r="82" spans="1:6">
      <c r="B82" s="36">
        <v>81</v>
      </c>
      <c r="C82" t="str">
        <f>_xlfn.XLOOKUP(B82,Calc!$A$128:$A$545,Calc!$G$128:$G$545,"",0)</f>
        <v/>
      </c>
      <c r="D82" t="str">
        <f>_xlfn.XLOOKUP(B82,Calc!$A$128:$A$545,Calc!$H$128:$H$545,"",0)</f>
        <v/>
      </c>
      <c r="E82" t="str">
        <f>_xlfn.XLOOKUP(B82,Calc!$A$128:$A$545,Calc!$C$128:$C$545,"",0)</f>
        <v/>
      </c>
      <c r="F82" s="37" t="str">
        <f>_xlfn.XLOOKUP(C82,Articles!$A$2:$A$232,Articles!$C$2:$C$232,"",0)</f>
        <v/>
      </c>
    </row>
    <row r="83" spans="1:6">
      <c r="B83" s="36">
        <v>82</v>
      </c>
      <c r="C83" t="str">
        <f>_xlfn.XLOOKUP(B83,Calc!$A$128:$A$545,Calc!$G$128:$G$545,"",0)</f>
        <v/>
      </c>
      <c r="D83" t="str">
        <f>_xlfn.XLOOKUP(B83,Calc!$A$128:$A$545,Calc!$H$128:$H$545,"",0)</f>
        <v/>
      </c>
      <c r="E83" t="str">
        <f>_xlfn.XLOOKUP(B83,Calc!$A$128:$A$545,Calc!$C$128:$C$545,"",0)</f>
        <v/>
      </c>
      <c r="F83" s="37" t="str">
        <f>_xlfn.XLOOKUP(C83,Articles!$A$2:$A$232,Articles!$C$2:$C$232,"",0)</f>
        <v/>
      </c>
    </row>
    <row r="84" spans="1:6">
      <c r="B84" s="36">
        <v>83</v>
      </c>
      <c r="C84" t="str">
        <f>_xlfn.XLOOKUP(B84,Calc!$A$128:$A$545,Calc!$G$128:$G$545,"",0)</f>
        <v/>
      </c>
      <c r="D84" t="str">
        <f>_xlfn.XLOOKUP(B84,Calc!$A$128:$A$545,Calc!$H$128:$H$545,"",0)</f>
        <v/>
      </c>
      <c r="E84" t="str">
        <f>_xlfn.XLOOKUP(B84,Calc!$A$128:$A$545,Calc!$C$128:$C$545,"",0)</f>
        <v/>
      </c>
      <c r="F84" s="37" t="str">
        <f>_xlfn.XLOOKUP(C84,Articles!$A$2:$A$232,Articles!$C$2:$C$232,"",0)</f>
        <v/>
      </c>
    </row>
    <row r="85" spans="1:6">
      <c r="B85" s="36">
        <v>84</v>
      </c>
      <c r="C85" t="str">
        <f>_xlfn.XLOOKUP(B85,Calc!$A$128:$A$545,Calc!$G$128:$G$545,"",0)</f>
        <v/>
      </c>
      <c r="D85" t="str">
        <f>_xlfn.XLOOKUP(B85,Calc!$A$128:$A$545,Calc!$H$128:$H$545,"",0)</f>
        <v/>
      </c>
      <c r="E85" t="str">
        <f>_xlfn.XLOOKUP(B85,Calc!$A$128:$A$545,Calc!$C$128:$C$545,"",0)</f>
        <v/>
      </c>
      <c r="F85" s="37" t="str">
        <f>_xlfn.XLOOKUP(C85,Articles!$A$2:$A$232,Articles!$C$2:$C$232,"",0)</f>
        <v/>
      </c>
    </row>
    <row r="86" spans="1:6">
      <c r="B86" s="36">
        <v>85</v>
      </c>
      <c r="C86" t="str">
        <f>_xlfn.XLOOKUP(B86,Calc!$A$128:$A$545,Calc!$G$128:$G$545,"",0)</f>
        <v/>
      </c>
      <c r="D86" t="str">
        <f>_xlfn.XLOOKUP(B86,Calc!$A$128:$A$545,Calc!$H$128:$H$545,"",0)</f>
        <v/>
      </c>
      <c r="E86" t="str">
        <f>_xlfn.XLOOKUP(B86,Calc!$A$128:$A$545,Calc!$C$128:$C$545,"",0)</f>
        <v/>
      </c>
      <c r="F86" s="37" t="str">
        <f>_xlfn.XLOOKUP(C86,Articles!$A$2:$A$232,Articles!$C$2:$C$232,"",0)</f>
        <v/>
      </c>
    </row>
    <row r="87" spans="1:6">
      <c r="B87" s="36">
        <v>86</v>
      </c>
      <c r="C87" t="str">
        <f>_xlfn.XLOOKUP(B87,Calc!$A$128:$A$545,Calc!$G$128:$G$545,"",0)</f>
        <v/>
      </c>
      <c r="D87" t="str">
        <f>_xlfn.XLOOKUP(B87,Calc!$A$128:$A$545,Calc!$H$128:$H$545,"",0)</f>
        <v/>
      </c>
      <c r="E87" t="str">
        <f>_xlfn.XLOOKUP(B87,Calc!$A$128:$A$545,Calc!$C$128:$C$545,"",0)</f>
        <v/>
      </c>
      <c r="F87" s="37" t="str">
        <f>_xlfn.XLOOKUP(C87,Articles!$A$2:$A$232,Articles!$C$2:$C$232,"",0)</f>
        <v/>
      </c>
    </row>
    <row r="88" spans="1:6">
      <c r="B88" s="36">
        <v>87</v>
      </c>
      <c r="C88" t="str">
        <f>_xlfn.XLOOKUP(B88,Calc!$A$128:$A$545,Calc!$G$128:$G$545,"",0)</f>
        <v/>
      </c>
      <c r="D88" t="str">
        <f>_xlfn.XLOOKUP(B88,Calc!$A$128:$A$545,Calc!$H$128:$H$545,"",0)</f>
        <v/>
      </c>
      <c r="E88" t="str">
        <f>_xlfn.XLOOKUP(B88,Calc!$A$128:$A$545,Calc!$C$128:$C$545,"",0)</f>
        <v/>
      </c>
      <c r="F88" s="37" t="str">
        <f>_xlfn.XLOOKUP(C88,Articles!$A$2:$A$232,Articles!$C$2:$C$232,"",0)</f>
        <v/>
      </c>
    </row>
    <row r="89" spans="1:6" ht="15.95" thickBot="1">
      <c r="A89">
        <f>COUNT(E2:E89)</f>
        <v>31</v>
      </c>
      <c r="B89" s="36">
        <v>88</v>
      </c>
      <c r="C89" t="str">
        <f>_xlfn.XLOOKUP(B89,Calc!$A$128:$A$545,Calc!$G$128:$G$545,"",0)</f>
        <v/>
      </c>
      <c r="D89" t="str">
        <f>_xlfn.XLOOKUP(B89,Calc!$A$128:$A$545,Calc!$H$128:$H$545,"",0)</f>
        <v/>
      </c>
      <c r="E89" t="str">
        <f>_xlfn.XLOOKUP(B89,Calc!$A$128:$A$545,Calc!$C$128:$C$545,"",0)</f>
        <v/>
      </c>
      <c r="F89" s="37" t="str">
        <f>_xlfn.XLOOKUP(C89,Articles!$A$2:$A$232,Articles!$C$2:$C$232,"",0)</f>
        <v/>
      </c>
    </row>
    <row r="90" spans="1:6">
      <c r="A90">
        <f t="shared" ref="A90:A118" si="0">$A$89+B90</f>
        <v>32</v>
      </c>
      <c r="B90" s="33">
        <v>1</v>
      </c>
      <c r="C90" s="34" t="str">
        <f>_xlfn.XLOOKUP(B90,Fastening!$E$78:$E$107,Fastening!$A$78:$A$107,"",0)</f>
        <v>15.02.02.0124</v>
      </c>
      <c r="D90" s="34" t="str">
        <f>_xlfn.XLOOKUP(B90,Fastening!$E$78:$E$107,Fastening!$B$78:$B$107,"",0)</f>
        <v>Hexagon head bolt - DIN933 - M10X30</v>
      </c>
      <c r="E90" s="34" cm="1">
        <f t="array" ref="E90">_xlfn.XLOOKUP(B90,Fastening!$E$78:$E$107,_xlfn.ANCHORARRAY(Fastening!$C$78),"",0)</f>
        <v>50</v>
      </c>
      <c r="F90" s="35" t="str">
        <f>_xlfn.XLOOKUP(C90,Articles!$A$2:$A$232,Articles!$C$2:$C$232,"",0)</f>
        <v>st</v>
      </c>
    </row>
    <row r="91" spans="1:6">
      <c r="A91">
        <f t="shared" si="0"/>
        <v>33</v>
      </c>
      <c r="B91" s="36">
        <v>2</v>
      </c>
      <c r="C91" t="str">
        <f>_xlfn.XLOOKUP(B91,Fastening!$E$78:$E$107,Fastening!$A$78:$A$107,"",0)</f>
        <v>15.02.02.0135</v>
      </c>
      <c r="D91" t="str">
        <f>_xlfn.XLOOKUP(B91,Fastening!$E$78:$E$107,Fastening!$B$78:$B$107,"",0)</f>
        <v>Hexagon head bolt - DIN933 - M10X80</v>
      </c>
      <c r="E91" cm="1">
        <f t="array" ref="E91">_xlfn.XLOOKUP(B91,Fastening!$E$78:$E$107,_xlfn.ANCHORARRAY(Fastening!$C$78),"",0)</f>
        <v>5</v>
      </c>
      <c r="F91" s="37" t="str">
        <f>_xlfn.XLOOKUP(C91,Articles!$A$2:$A$232,Articles!$C$2:$C$232,"",0)</f>
        <v>st</v>
      </c>
    </row>
    <row r="92" spans="1:6">
      <c r="A92">
        <f t="shared" si="0"/>
        <v>34</v>
      </c>
      <c r="B92" s="36">
        <v>3</v>
      </c>
      <c r="C92" t="str">
        <f>_xlfn.XLOOKUP(B92,Fastening!$E$78:$E$107,Fastening!$A$78:$A$107,"",0)</f>
        <v>15.02.02.0136</v>
      </c>
      <c r="D92" t="str">
        <f>_xlfn.XLOOKUP(B92,Fastening!$E$78:$E$107,Fastening!$B$78:$B$107,"",0)</f>
        <v>Hexagon head bolt - DIN933 - M10X90</v>
      </c>
      <c r="E92" cm="1">
        <f t="array" ref="E92">_xlfn.XLOOKUP(B92,Fastening!$E$78:$E$107,_xlfn.ANCHORARRAY(Fastening!$C$78),"",0)</f>
        <v>3</v>
      </c>
      <c r="F92" s="37" t="str">
        <f>_xlfn.XLOOKUP(C92,Articles!$A$2:$A$232,Articles!$C$2:$C$232,"",0)</f>
        <v>st</v>
      </c>
    </row>
    <row r="93" spans="1:6">
      <c r="A93">
        <f t="shared" si="0"/>
        <v>35</v>
      </c>
      <c r="B93" s="36">
        <v>4</v>
      </c>
      <c r="C93" t="str">
        <f>_xlfn.XLOOKUP(B93,Fastening!$E$78:$E$107,Fastening!$A$78:$A$107,"",0)</f>
        <v>15.02.02.0137</v>
      </c>
      <c r="D93" t="str">
        <f>_xlfn.XLOOKUP(B93,Fastening!$E$78:$E$107,Fastening!$B$78:$B$107,"",0)</f>
        <v>Hexagon head bolt - DIN933 - M10X100</v>
      </c>
      <c r="E93" cm="1">
        <f t="array" ref="E93">_xlfn.XLOOKUP(B93,Fastening!$E$78:$E$107,_xlfn.ANCHORARRAY(Fastening!$C$78),"",0)</f>
        <v>5</v>
      </c>
      <c r="F93" s="37" t="str">
        <f>_xlfn.XLOOKUP(C93,Articles!$A$2:$A$232,Articles!$C$2:$C$232,"",0)</f>
        <v>st</v>
      </c>
    </row>
    <row r="94" spans="1:6">
      <c r="A94">
        <f t="shared" si="0"/>
        <v>36</v>
      </c>
      <c r="B94" s="36">
        <v>5</v>
      </c>
      <c r="C94" t="str">
        <f>_xlfn.XLOOKUP(B94,Fastening!$E$78:$E$107,Fastening!$A$78:$A$107,"",0)</f>
        <v>15.03.01.0009</v>
      </c>
      <c r="D94" t="str">
        <f>_xlfn.XLOOKUP(B94,Fastening!$E$78:$E$107,Fastening!$B$78:$B$107,"",0)</f>
        <v>Hexagon nut - DIN934 - M10</v>
      </c>
      <c r="E94" cm="1">
        <f t="array" ref="E94">_xlfn.XLOOKUP(B94,Fastening!$E$78:$E$107,_xlfn.ANCHORARRAY(Fastening!$C$78),"",0)</f>
        <v>39</v>
      </c>
      <c r="F94" s="37" t="str">
        <f>_xlfn.XLOOKUP(C94,Articles!$A$2:$A$232,Articles!$C$2:$C$232,"",0)</f>
        <v>st</v>
      </c>
    </row>
    <row r="95" spans="1:6">
      <c r="A95">
        <f t="shared" si="0"/>
        <v>37</v>
      </c>
      <c r="B95" s="36">
        <v>6</v>
      </c>
      <c r="C95" t="str">
        <f>_xlfn.XLOOKUP(B95,Fastening!$E$78:$E$107,Fastening!$A$78:$A$107,"",0)</f>
        <v>15.08.03.0006</v>
      </c>
      <c r="D95" t="str">
        <f>_xlfn.XLOOKUP(B95,Fastening!$E$78:$E$107,Fastening!$B$78:$B$107,"",0)</f>
        <v>Plain washer - DIN125-1A - M10</v>
      </c>
      <c r="E95" cm="1">
        <f t="array" ref="E95">_xlfn.XLOOKUP(B95,Fastening!$E$78:$E$107,_xlfn.ANCHORARRAY(Fastening!$C$78),"",0)</f>
        <v>99</v>
      </c>
      <c r="F95" s="37" t="str">
        <f>_xlfn.XLOOKUP(C95,Articles!$A$2:$A$232,Articles!$C$2:$C$232,"",0)</f>
        <v>st</v>
      </c>
    </row>
    <row r="96" spans="1:6">
      <c r="A96">
        <f t="shared" si="0"/>
        <v>38</v>
      </c>
      <c r="B96" s="36">
        <v>7</v>
      </c>
      <c r="C96" t="str">
        <f>_xlfn.XLOOKUP(B96,Fastening!$E$78:$E$107,Fastening!$A$78:$A$107,"",0)</f>
        <v>15.02.11.0141</v>
      </c>
      <c r="D96" t="str">
        <f>_xlfn.XLOOKUP(B96,Fastening!$E$78:$E$107,Fastening!$B$78:$B$107,"",0)</f>
        <v>Thread forming bolt - DIN7500D - M10x30</v>
      </c>
      <c r="E96" cm="1">
        <f t="array" ref="E96">_xlfn.XLOOKUP(B96,Fastening!$E$78:$E$107,_xlfn.ANCHORARRAY(Fastening!$C$78),"",0)</f>
        <v>84</v>
      </c>
      <c r="F96" s="37" t="str">
        <f>_xlfn.XLOOKUP(C96,Articles!$A$2:$A$232,Articles!$C$2:$C$232,"",0)</f>
        <v>st</v>
      </c>
    </row>
    <row r="97" spans="1:6">
      <c r="A97">
        <f t="shared" si="0"/>
        <v>39</v>
      </c>
      <c r="B97" s="36">
        <v>8</v>
      </c>
      <c r="C97" t="str">
        <f>_xlfn.XLOOKUP(B97,Fastening!$E$78:$E$107,Fastening!$A$78:$A$107,"",0)</f>
        <v>15.02.05.0066</v>
      </c>
      <c r="D97" t="str">
        <f>_xlfn.XLOOKUP(B97,Fastening!$E$78:$E$107,Fastening!$B$78:$B$107,"",0)</f>
        <v>Hexagon socket button head screw - ISO 7380-2 - M10x40</v>
      </c>
      <c r="E97" cm="1">
        <f t="array" ref="E97">_xlfn.XLOOKUP(B97,Fastening!$E$78:$E$107,_xlfn.ANCHORARRAY(Fastening!$C$78),"",0)</f>
        <v>27</v>
      </c>
      <c r="F97" s="37" t="str">
        <f>_xlfn.XLOOKUP(C97,Articles!$A$2:$A$232,Articles!$C$2:$C$232,"",0)</f>
        <v>st</v>
      </c>
    </row>
    <row r="98" spans="1:6">
      <c r="A98">
        <f t="shared" si="0"/>
        <v>40</v>
      </c>
      <c r="B98" s="36">
        <v>9</v>
      </c>
      <c r="C98" t="str">
        <f>_xlfn.XLOOKUP(B98,Fastening!$E$78:$E$107,Fastening!$A$78:$A$107,"",0)</f>
        <v>15.06.02.0050</v>
      </c>
      <c r="D98" t="str">
        <f>_xlfn.XLOOKUP(B98,Fastening!$E$78:$E$107,Fastening!$B$78:$B$107,"",0)</f>
        <v>Self-drilling screw - neoprene washer - DIN7504K - 6,3x25</v>
      </c>
      <c r="E98" cm="1">
        <f t="array" ref="E98">_xlfn.XLOOKUP(B98,Fastening!$E$78:$E$107,_xlfn.ANCHORARRAY(Fastening!$C$78),"",0)</f>
        <v>76</v>
      </c>
      <c r="F98" s="37" t="str">
        <f>_xlfn.XLOOKUP(C98,Articles!$A$2:$A$232,Articles!$C$2:$C$232,"",0)</f>
        <v>st</v>
      </c>
    </row>
    <row r="99" spans="1:6">
      <c r="A99">
        <f t="shared" si="0"/>
        <v>41</v>
      </c>
      <c r="B99" s="36">
        <v>10</v>
      </c>
      <c r="C99" t="str">
        <f>_xlfn.XLOOKUP(B99,Fastening!$E$78:$E$107,Fastening!$A$78:$A$107,"",0)</f>
        <v>16.04.03.0124</v>
      </c>
      <c r="D99" t="str">
        <f>_xlfn.XLOOKUP(B99,Fastening!$E$78:$E$107,Fastening!$B$78:$B$107,"",0)</f>
        <v>Wood screw - Stainless A2 - 4x35mm</v>
      </c>
      <c r="E99" cm="1">
        <f t="array" ref="E99">_xlfn.XLOOKUP(B99,Fastening!$E$78:$E$107,_xlfn.ANCHORARRAY(Fastening!$C$78),"",0)</f>
        <v>185</v>
      </c>
      <c r="F99" s="37" t="str">
        <f>_xlfn.XLOOKUP(C99,Articles!$A$2:$A$232,Articles!$C$2:$C$232,"",0)</f>
        <v>st</v>
      </c>
    </row>
    <row r="100" spans="1:6">
      <c r="A100">
        <f t="shared" si="0"/>
        <v>42</v>
      </c>
      <c r="B100" s="36">
        <v>11</v>
      </c>
      <c r="C100" t="str">
        <f>_xlfn.XLOOKUP(B100,Fastening!$E$78:$E$107,Fastening!$A$78:$A$107,"",0)</f>
        <v>14.09.01.0002</v>
      </c>
      <c r="D100" t="str">
        <f>_xlfn.XLOOKUP(B100,Fastening!$E$78:$E$107,Fastening!$B$78:$B$107,"",0)</f>
        <v>Self-drilling screw with wings - 5,5x50mm</v>
      </c>
      <c r="E100" cm="1">
        <f t="array" ref="E100">_xlfn.XLOOKUP(B100,Fastening!$E$78:$E$107,_xlfn.ANCHORARRAY(Fastening!$C$78),"",0)</f>
        <v>73</v>
      </c>
      <c r="F100" s="37" t="str">
        <f>_xlfn.XLOOKUP(C100,Articles!$A$2:$A$232,Articles!$C$2:$C$232,"",0)</f>
        <v>st</v>
      </c>
    </row>
    <row r="101" spans="1:6">
      <c r="A101">
        <f t="shared" si="0"/>
        <v>43</v>
      </c>
      <c r="B101" s="36">
        <v>12</v>
      </c>
      <c r="C101" t="str">
        <f>_xlfn.XLOOKUP(B101,Fastening!$E$78:$E$107,Fastening!$A$78:$A$107,"",0)</f>
        <v>27.05.01.0001</v>
      </c>
      <c r="D101" t="str">
        <f>_xlfn.XLOOKUP(B101,Fastening!$E$78:$E$107,Fastening!$B$78:$B$107,"",0)</f>
        <v>Leafguard - Ø50/70mm</v>
      </c>
      <c r="E101" cm="1">
        <f t="array" ref="E101">_xlfn.XLOOKUP(B101,Fastening!$E$78:$E$107,_xlfn.ANCHORARRAY(Fastening!$C$78),"",0)</f>
        <v>5</v>
      </c>
      <c r="F101" s="37" t="str">
        <f>_xlfn.XLOOKUP(C101,Articles!$A$2:$A$232,Articles!$C$2:$C$232,"",0)</f>
        <v>st</v>
      </c>
    </row>
    <row r="102" spans="1:6">
      <c r="A102">
        <f t="shared" si="0"/>
        <v>44</v>
      </c>
      <c r="B102" s="36">
        <v>13</v>
      </c>
      <c r="C102" t="str">
        <f>_xlfn.XLOOKUP(B102,Fastening!$E$78:$E$107,Fastening!$A$78:$A$107,"",0)</f>
        <v>18.01.18.0001</v>
      </c>
      <c r="D102" t="str">
        <f>_xlfn.XLOOKUP(B102,Fastening!$E$78:$E$107,Fastening!$B$78:$B$107,"",0)</f>
        <v>Anchor rod - Zinc plated M12x160-5.8 - Würth W-VD-A/S</v>
      </c>
      <c r="E102" cm="1">
        <f t="array" ref="E102">_xlfn.XLOOKUP(B102,Fastening!$E$78:$E$107,_xlfn.ANCHORARRAY(Fastening!$C$78),"",0)</f>
        <v>22</v>
      </c>
      <c r="F102" s="37" t="str">
        <f>_xlfn.XLOOKUP(C102,Articles!$A$2:$A$232,Articles!$C$2:$C$232,"",0)</f>
        <v>st</v>
      </c>
    </row>
    <row r="103" spans="1:6">
      <c r="A103">
        <f t="shared" si="0"/>
        <v>45</v>
      </c>
      <c r="B103" s="36">
        <v>14</v>
      </c>
      <c r="C103" t="str">
        <f>_xlfn.XLOOKUP(B103,Fastening!$E$78:$E$107,Fastening!$A$78:$A$107,"",0)</f>
        <v>18.03.03.0001</v>
      </c>
      <c r="D103" t="str">
        <f>_xlfn.XLOOKUP(B103,Fastening!$E$78:$E$107,Fastening!$B$78:$B$107,"",0)</f>
        <v>Chemical anchor - capsule M12x95 - Würth W-VPZ 12</v>
      </c>
      <c r="E103" cm="1">
        <f t="array" ref="E103">_xlfn.XLOOKUP(B103,Fastening!$E$78:$E$107,_xlfn.ANCHORARRAY(Fastening!$C$78),"",0)</f>
        <v>22</v>
      </c>
      <c r="F103" s="37" t="str">
        <f>_xlfn.XLOOKUP(C103,Articles!$A$2:$A$232,Articles!$C$2:$C$232,"",0)</f>
        <v>st</v>
      </c>
    </row>
    <row r="104" spans="1:6">
      <c r="A104">
        <f t="shared" si="0"/>
        <v>46</v>
      </c>
      <c r="B104" s="36">
        <v>15</v>
      </c>
      <c r="C104" t="str">
        <f>_xlfn.XLOOKUP(B104,Fastening!$E$78:$E$107,Fastening!$A$78:$A$107,"",0)</f>
        <v>15.03.04.0006</v>
      </c>
      <c r="D104" t="str">
        <f>_xlfn.XLOOKUP(B104,Fastening!$E$78:$E$107,Fastening!$B$78:$B$107,"",0)</f>
        <v>Hexagon domed cap nut - Zinc plated M12</v>
      </c>
      <c r="E104" cm="1">
        <f t="array" ref="E104">_xlfn.XLOOKUP(B104,Fastening!$E$78:$E$107,_xlfn.ANCHORARRAY(Fastening!$C$78),"",0)</f>
        <v>22</v>
      </c>
      <c r="F104" s="37" t="str">
        <f>_xlfn.XLOOKUP(C104,Articles!$A$2:$A$232,Articles!$C$2:$C$232,"",0)</f>
        <v>st</v>
      </c>
    </row>
    <row r="105" spans="1:6">
      <c r="A105">
        <f t="shared" si="0"/>
        <v>47</v>
      </c>
      <c r="B105" s="36">
        <v>16</v>
      </c>
      <c r="C105" t="str">
        <f>_xlfn.XLOOKUP(B105,Fastening!$E$78:$E$107,Fastening!$A$78:$A$107,"",0)</f>
        <v/>
      </c>
      <c r="D105" t="str">
        <f>_xlfn.XLOOKUP(B105,Fastening!$E$78:$E$107,Fastening!$B$78:$B$107,"",0)</f>
        <v/>
      </c>
      <c r="E105" t="str" cm="1">
        <f t="array" ref="E105">_xlfn.XLOOKUP(B105,Fastening!$E$78:$E$107,_xlfn.ANCHORARRAY(Fastening!$C$78),"",0)</f>
        <v/>
      </c>
      <c r="F105" s="37" t="str">
        <f>_xlfn.XLOOKUP(C105,Articles!$A$2:$A$232,Articles!$C$2:$C$232,"",0)</f>
        <v/>
      </c>
    </row>
    <row r="106" spans="1:6">
      <c r="A106">
        <f t="shared" si="0"/>
        <v>48</v>
      </c>
      <c r="B106" s="36">
        <v>17</v>
      </c>
      <c r="C106" t="str">
        <f>_xlfn.XLOOKUP(B106,Fastening!$E$78:$E$107,Fastening!$A$78:$A$107,"",0)</f>
        <v/>
      </c>
      <c r="D106" t="str">
        <f>_xlfn.XLOOKUP(B106,Fastening!$E$78:$E$107,Fastening!$B$78:$B$107,"",0)</f>
        <v/>
      </c>
      <c r="E106" t="str" cm="1">
        <f t="array" ref="E106">_xlfn.XLOOKUP(B106,Fastening!$E$78:$E$107,_xlfn.ANCHORARRAY(Fastening!$C$78),"",0)</f>
        <v/>
      </c>
      <c r="F106" s="37" t="str">
        <f>_xlfn.XLOOKUP(C106,Articles!$A$2:$A$232,Articles!$C$2:$C$232,"",0)</f>
        <v/>
      </c>
    </row>
    <row r="107" spans="1:6">
      <c r="A107">
        <f t="shared" si="0"/>
        <v>49</v>
      </c>
      <c r="B107" s="36">
        <v>18</v>
      </c>
      <c r="C107" t="str">
        <f>_xlfn.XLOOKUP(B107,Fastening!$E$78:$E$107,Fastening!$A$78:$A$107,"",0)</f>
        <v/>
      </c>
      <c r="D107" t="str">
        <f>_xlfn.XLOOKUP(B107,Fastening!$E$78:$E$107,Fastening!$B$78:$B$107,"",0)</f>
        <v/>
      </c>
      <c r="E107" t="str" cm="1">
        <f t="array" ref="E107">_xlfn.XLOOKUP(B107,Fastening!$E$78:$E$107,_xlfn.ANCHORARRAY(Fastening!$C$78),"",0)</f>
        <v/>
      </c>
      <c r="F107" s="37" t="str">
        <f>_xlfn.XLOOKUP(C107,Articles!$A$2:$A$232,Articles!$C$2:$C$232,"",0)</f>
        <v/>
      </c>
    </row>
    <row r="108" spans="1:6">
      <c r="A108">
        <f t="shared" si="0"/>
        <v>50</v>
      </c>
      <c r="B108" s="36">
        <v>19</v>
      </c>
      <c r="C108" t="str">
        <f>_xlfn.XLOOKUP(B108,Fastening!$E$78:$E$107,Fastening!$A$78:$A$107,"",0)</f>
        <v/>
      </c>
      <c r="D108" t="str">
        <f>_xlfn.XLOOKUP(B108,Fastening!$E$78:$E$107,Fastening!$B$78:$B$107,"",0)</f>
        <v/>
      </c>
      <c r="E108" t="str" cm="1">
        <f t="array" ref="E108">_xlfn.XLOOKUP(B108,Fastening!$E$78:$E$107,_xlfn.ANCHORARRAY(Fastening!$C$78),"",0)</f>
        <v/>
      </c>
      <c r="F108" s="37" t="str">
        <f>_xlfn.XLOOKUP(C108,Articles!$A$2:$A$232,Articles!$C$2:$C$232,"",0)</f>
        <v/>
      </c>
    </row>
    <row r="109" spans="1:6">
      <c r="A109">
        <f t="shared" si="0"/>
        <v>51</v>
      </c>
      <c r="B109" s="36">
        <v>20</v>
      </c>
      <c r="C109" t="str">
        <f>_xlfn.XLOOKUP(B109,Fastening!$E$78:$E$107,Fastening!$A$78:$A$107,"",0)</f>
        <v/>
      </c>
      <c r="D109" t="str">
        <f>_xlfn.XLOOKUP(B109,Fastening!$E$78:$E$107,Fastening!$B$78:$B$107,"",0)</f>
        <v/>
      </c>
      <c r="E109" t="str" cm="1">
        <f t="array" ref="E109">_xlfn.XLOOKUP(B109,Fastening!$E$78:$E$107,_xlfn.ANCHORARRAY(Fastening!$C$78),"",0)</f>
        <v/>
      </c>
      <c r="F109" s="37" t="str">
        <f>_xlfn.XLOOKUP(C109,Articles!$A$2:$A$232,Articles!$C$2:$C$232,"",0)</f>
        <v/>
      </c>
    </row>
    <row r="110" spans="1:6">
      <c r="A110">
        <f t="shared" si="0"/>
        <v>52</v>
      </c>
      <c r="B110" s="36">
        <v>21</v>
      </c>
      <c r="C110" t="str">
        <f>_xlfn.XLOOKUP(B110,Fastening!$E$78:$E$107,Fastening!$A$78:$A$107,"",0)</f>
        <v/>
      </c>
      <c r="D110" t="str">
        <f>_xlfn.XLOOKUP(B110,Fastening!$E$78:$E$107,Fastening!$B$78:$B$107,"",0)</f>
        <v/>
      </c>
      <c r="E110" t="str" cm="1">
        <f t="array" ref="E110">_xlfn.XLOOKUP(B110,Fastening!$E$78:$E$107,_xlfn.ANCHORARRAY(Fastening!$C$78),"",0)</f>
        <v/>
      </c>
      <c r="F110" s="37" t="str">
        <f>_xlfn.XLOOKUP(C110,Articles!$A$2:$A$232,Articles!$C$2:$C$232,"",0)</f>
        <v/>
      </c>
    </row>
    <row r="111" spans="1:6">
      <c r="A111">
        <f t="shared" si="0"/>
        <v>53</v>
      </c>
      <c r="B111" s="36">
        <v>22</v>
      </c>
      <c r="C111" t="str">
        <f>_xlfn.XLOOKUP(B111,Fastening!$E$78:$E$107,Fastening!$A$78:$A$107,"",0)</f>
        <v/>
      </c>
      <c r="D111" t="str">
        <f>_xlfn.XLOOKUP(B111,Fastening!$E$78:$E$107,Fastening!$B$78:$B$107,"",0)</f>
        <v/>
      </c>
      <c r="E111" t="str" cm="1">
        <f t="array" ref="E111">_xlfn.XLOOKUP(B111,Fastening!$E$78:$E$107,_xlfn.ANCHORARRAY(Fastening!$C$78),"",0)</f>
        <v/>
      </c>
      <c r="F111" s="37" t="str">
        <f>_xlfn.XLOOKUP(C111,Articles!$A$2:$A$232,Articles!$C$2:$C$232,"",0)</f>
        <v/>
      </c>
    </row>
    <row r="112" spans="1:6">
      <c r="A112">
        <f t="shared" si="0"/>
        <v>54</v>
      </c>
      <c r="B112" s="36">
        <v>23</v>
      </c>
      <c r="C112" t="str">
        <f>_xlfn.XLOOKUP(B112,Fastening!$E$78:$E$107,Fastening!$A$78:$A$107,"",0)</f>
        <v/>
      </c>
      <c r="D112" t="str">
        <f>_xlfn.XLOOKUP(B112,Fastening!$E$78:$E$107,Fastening!$B$78:$B$107,"",0)</f>
        <v/>
      </c>
      <c r="E112" t="str" cm="1">
        <f t="array" ref="E112">_xlfn.XLOOKUP(B112,Fastening!$E$78:$E$107,_xlfn.ANCHORARRAY(Fastening!$C$78),"",0)</f>
        <v/>
      </c>
      <c r="F112" s="37" t="str">
        <f>_xlfn.XLOOKUP(C112,Articles!$A$2:$A$232,Articles!$C$2:$C$232,"",0)</f>
        <v/>
      </c>
    </row>
    <row r="113" spans="1:10">
      <c r="A113">
        <f t="shared" si="0"/>
        <v>55</v>
      </c>
      <c r="B113" s="36">
        <v>24</v>
      </c>
      <c r="C113" t="str">
        <f>_xlfn.XLOOKUP(B113,Fastening!$E$78:$E$107,Fastening!$A$78:$A$107,"",0)</f>
        <v/>
      </c>
      <c r="D113" t="str">
        <f>_xlfn.XLOOKUP(B113,Fastening!$E$78:$E$107,Fastening!$B$78:$B$107,"",0)</f>
        <v/>
      </c>
      <c r="E113" t="str" cm="1">
        <f t="array" ref="E113">_xlfn.XLOOKUP(B113,Fastening!$E$78:$E$107,_xlfn.ANCHORARRAY(Fastening!$C$78),"",0)</f>
        <v/>
      </c>
      <c r="F113" s="37" t="str">
        <f>_xlfn.XLOOKUP(C113,Articles!$A$2:$A$232,Articles!$C$2:$C$232,"",0)</f>
        <v/>
      </c>
    </row>
    <row r="114" spans="1:10">
      <c r="A114">
        <f t="shared" si="0"/>
        <v>56</v>
      </c>
      <c r="B114" s="36">
        <v>25</v>
      </c>
      <c r="C114" t="str">
        <f>_xlfn.XLOOKUP(B114,Fastening!$E$78:$E$107,Fastening!$A$78:$A$107,"",0)</f>
        <v/>
      </c>
      <c r="D114" t="str">
        <f>_xlfn.XLOOKUP(B114,Fastening!$E$78:$E$107,Fastening!$B$78:$B$107,"",0)</f>
        <v/>
      </c>
      <c r="E114" t="str" cm="1">
        <f t="array" ref="E114">_xlfn.XLOOKUP(B114,Fastening!$E$78:$E$107,_xlfn.ANCHORARRAY(Fastening!$C$78),"",0)</f>
        <v/>
      </c>
      <c r="F114" s="37" t="str">
        <f>_xlfn.XLOOKUP(C114,Articles!$A$2:$A$232,Articles!$C$2:$C$232,"",0)</f>
        <v/>
      </c>
    </row>
    <row r="115" spans="1:10">
      <c r="A115">
        <f t="shared" si="0"/>
        <v>57</v>
      </c>
      <c r="B115" s="36">
        <v>26</v>
      </c>
      <c r="C115" t="str">
        <f>_xlfn.XLOOKUP(B115,Fastening!$E$78:$E$107,Fastening!$A$78:$A$107,"",0)</f>
        <v/>
      </c>
      <c r="D115" t="str">
        <f>_xlfn.XLOOKUP(B115,Fastening!$E$78:$E$107,Fastening!$B$78:$B$107,"",0)</f>
        <v/>
      </c>
      <c r="E115" t="str" cm="1">
        <f t="array" ref="E115">_xlfn.XLOOKUP(B115,Fastening!$E$78:$E$107,_xlfn.ANCHORARRAY(Fastening!$C$78),"",0)</f>
        <v/>
      </c>
      <c r="F115" s="37" t="str">
        <f>_xlfn.XLOOKUP(C115,Articles!$A$2:$A$232,Articles!$C$2:$C$232,"",0)</f>
        <v/>
      </c>
    </row>
    <row r="116" spans="1:10">
      <c r="A116">
        <f t="shared" si="0"/>
        <v>58</v>
      </c>
      <c r="B116" s="36">
        <v>27</v>
      </c>
      <c r="C116" t="str">
        <f>_xlfn.XLOOKUP(B116,Fastening!$E$78:$E$107,Fastening!$A$78:$A$107,"",0)</f>
        <v/>
      </c>
      <c r="D116" t="str">
        <f>_xlfn.XLOOKUP(B116,Fastening!$E$78:$E$107,Fastening!$B$78:$B$107,"",0)</f>
        <v/>
      </c>
      <c r="E116" t="str" cm="1">
        <f t="array" ref="E116">_xlfn.XLOOKUP(B116,Fastening!$E$78:$E$107,_xlfn.ANCHORARRAY(Fastening!$C$78),"",0)</f>
        <v/>
      </c>
      <c r="F116" s="37" t="str">
        <f>_xlfn.XLOOKUP(C116,Articles!$A$2:$A$232,Articles!$C$2:$C$232,"",0)</f>
        <v/>
      </c>
    </row>
    <row r="117" spans="1:10" ht="15.95" thickBot="1">
      <c r="A117">
        <f t="shared" si="0"/>
        <v>59</v>
      </c>
      <c r="B117" s="36">
        <v>28</v>
      </c>
      <c r="C117" t="str">
        <f>_xlfn.XLOOKUP(B117,Fastening!$E$78:$E$107,Fastening!$A$78:$A$107,"",0)</f>
        <v/>
      </c>
      <c r="D117" t="str">
        <f>_xlfn.XLOOKUP(B117,Fastening!$E$78:$E$107,Fastening!$B$78:$B$107,"",0)</f>
        <v/>
      </c>
      <c r="E117" t="str" cm="1">
        <f t="array" ref="E117">_xlfn.XLOOKUP(B117,Fastening!$E$78:$E$107,_xlfn.ANCHORARRAY(Fastening!$C$78),"",0)</f>
        <v/>
      </c>
      <c r="F117" s="37" t="str">
        <f>_xlfn.XLOOKUP(C117,Articles!$A$2:$A$232,Articles!$C$2:$C$232,"",0)</f>
        <v/>
      </c>
      <c r="G117" s="2" t="s">
        <v>693</v>
      </c>
      <c r="H117" s="2" t="s">
        <v>694</v>
      </c>
      <c r="I117" s="2" t="s">
        <v>695</v>
      </c>
      <c r="J117" s="2" t="s">
        <v>696</v>
      </c>
    </row>
    <row r="118" spans="1:10" ht="15.95" thickBot="1">
      <c r="A118">
        <f t="shared" si="0"/>
        <v>60</v>
      </c>
      <c r="B118" s="36">
        <v>29</v>
      </c>
      <c r="C118" s="39" t="str">
        <f>_xlfn.XLOOKUP(B118,Fastening!$E$78:$E$107,Fastening!$A$78:$A$107,"",0)</f>
        <v/>
      </c>
      <c r="D118" s="39" t="str">
        <f>_xlfn.XLOOKUP(B118,Fastening!$E$78:$E$107,Fastening!$B$78:$B$107,"",0)</f>
        <v/>
      </c>
      <c r="E118" s="39" t="str" cm="1">
        <f t="array" ref="E118">_xlfn.XLOOKUP(B118,Fastening!$E$78:$E$107,_xlfn.ANCHORARRAY(Fastening!$C$78),"",0)</f>
        <v/>
      </c>
      <c r="F118" s="39" t="str">
        <f>_xlfn.XLOOKUP(C118,Articles!$A$2:$A$232,Articles!$C$2:$C$232,"",0)</f>
        <v/>
      </c>
      <c r="G118" s="60" t="s">
        <v>697</v>
      </c>
      <c r="H118" s="55">
        <f>SUM(H119:H235)</f>
        <v>4308.3299999999981</v>
      </c>
      <c r="I118" s="61" t="s">
        <v>697</v>
      </c>
      <c r="J118" s="43">
        <f>SUM(J119:J235)</f>
        <v>14.370000000000001</v>
      </c>
    </row>
    <row r="119" spans="1:10">
      <c r="A119">
        <f>B119*IF(Calc!$D$105="?",0,1)</f>
        <v>1</v>
      </c>
      <c r="B119" s="33">
        <v>1</v>
      </c>
      <c r="C119" s="34" t="str">
        <f t="shared" ref="C119:D212" si="1">_xlfn.XLOOKUP($A119,$B$2:$B$89,C$2:C$89,"",0)&amp;_xlfn.XLOOKUP($A119,$A$90:$A$118,C$90:C$118,"",0)</f>
        <v>43.06.14.0043</v>
      </c>
      <c r="D119" s="34" t="str">
        <f>_xlfn.XLOOKUP($A119,$B$2:$B$89,D$2:D$89,"",0)&amp;_xlfn.XLOOKUP($A119,$A$90:$A$118,D$90:D$118,"",0)</f>
        <v>Domino - Column - 80x3 - L2175 - 8Ø13 - 8Ø9 - Galvanized</v>
      </c>
      <c r="E119" s="34" t="str">
        <f t="shared" ref="D119:F134" si="2">_xlfn.XLOOKUP($A119,$B$2:$B$89,E$2:E$89,"",0)&amp;_xlfn.XLOOKUP($A119,$A$90:$A$118,E$90:E$118,"",0)</f>
        <v>4</v>
      </c>
      <c r="F119" s="35" t="str">
        <f t="shared" si="2"/>
        <v>st</v>
      </c>
      <c r="G119" s="51">
        <f>_xlfn.XLOOKUP(C119,Articles!A:A,Articles!D:D,0,0)</f>
        <v>89.34</v>
      </c>
      <c r="H119" s="52">
        <f>IF(E119&lt;&gt;"",E119*G119,0)</f>
        <v>357.36</v>
      </c>
      <c r="I119" s="50">
        <f>_xlfn.XLOOKUP(C119,Articles!A:A,Articles!E:E,0,0)</f>
        <v>0.87</v>
      </c>
      <c r="J119" s="35">
        <f>IF(E119&lt;&gt;"",I119*E119,0)</f>
        <v>3.48</v>
      </c>
    </row>
    <row r="120" spans="1:10">
      <c r="A120">
        <f>B120*IF(Calc!$D$105="?",0,1)</f>
        <v>2</v>
      </c>
      <c r="B120" s="36">
        <v>2</v>
      </c>
      <c r="C120" t="str">
        <f t="shared" si="1"/>
        <v>43.09.06.0001</v>
      </c>
      <c r="D120" t="str">
        <f t="shared" si="2"/>
        <v>Domino - Mof A - Galvanized</v>
      </c>
      <c r="E120" t="str">
        <f t="shared" si="2"/>
        <v>4</v>
      </c>
      <c r="F120" s="37" t="str">
        <f t="shared" si="2"/>
        <v>st</v>
      </c>
      <c r="G120" s="51">
        <f>_xlfn.XLOOKUP(C120,Articles!A:A,Articles!D:D,0,0)</f>
        <v>53.79</v>
      </c>
      <c r="H120" s="52">
        <f t="shared" ref="H120:H183" si="3">IF(E120&lt;&gt;"",E120*G120,0)</f>
        <v>215.16</v>
      </c>
      <c r="I120" s="51">
        <f>_xlfn.XLOOKUP(C120,Articles!A:A,Articles!E:E,0,0)</f>
        <v>0</v>
      </c>
      <c r="J120" s="37">
        <f t="shared" ref="J120:J183" si="4">IF(E120&lt;&gt;"",I120*E120,0)</f>
        <v>0</v>
      </c>
    </row>
    <row r="121" spans="1:10">
      <c r="A121">
        <f>B121*IF(Calc!$D$105="?",0,1)</f>
        <v>3</v>
      </c>
      <c r="B121" s="36">
        <v>3</v>
      </c>
      <c r="C121" t="str">
        <f t="shared" si="1"/>
        <v>43.03.10.0001</v>
      </c>
      <c r="D121" t="str">
        <f t="shared" si="2"/>
        <v>Domino - Foot - 70x4 - L605 - Outflow - Galvanized</v>
      </c>
      <c r="E121" t="str">
        <f t="shared" si="2"/>
        <v>4</v>
      </c>
      <c r="F121" s="37" t="str">
        <f t="shared" si="2"/>
        <v>st</v>
      </c>
      <c r="G121" s="51">
        <f>_xlfn.XLOOKUP(C121,Articles!A:A,Articles!D:D,0,0)</f>
        <v>56.35</v>
      </c>
      <c r="H121" s="52">
        <f t="shared" si="3"/>
        <v>225.4</v>
      </c>
      <c r="I121" s="51">
        <f>_xlfn.XLOOKUP(C121,Articles!A:A,Articles!E:E,0,0)</f>
        <v>0</v>
      </c>
      <c r="J121" s="37">
        <f t="shared" si="4"/>
        <v>0</v>
      </c>
    </row>
    <row r="122" spans="1:10">
      <c r="A122">
        <f>B122*IF(Calc!$D$105="?",0,1)</f>
        <v>4</v>
      </c>
      <c r="B122" s="36">
        <v>4</v>
      </c>
      <c r="C122" t="str">
        <f t="shared" si="1"/>
        <v>43.03.10.0003</v>
      </c>
      <c r="D122" t="str">
        <f t="shared" si="2"/>
        <v>Domino - Foot 70x50x3 - L600 - Galvanized</v>
      </c>
      <c r="E122" t="str">
        <f t="shared" si="2"/>
        <v>2</v>
      </c>
      <c r="F122" s="37" t="str">
        <f t="shared" si="2"/>
        <v>st</v>
      </c>
      <c r="G122" s="51">
        <f>_xlfn.XLOOKUP(C122,Articles!A:A,Articles!D:D,0,0)</f>
        <v>27.36</v>
      </c>
      <c r="H122" s="52">
        <f t="shared" si="3"/>
        <v>54.72</v>
      </c>
      <c r="I122" s="51">
        <f>_xlfn.XLOOKUP(C122,Articles!A:A,Articles!E:E,0,0)</f>
        <v>0</v>
      </c>
      <c r="J122" s="37">
        <f t="shared" si="4"/>
        <v>0</v>
      </c>
    </row>
    <row r="123" spans="1:10">
      <c r="A123">
        <f>B123*IF(Calc!$D$105="?",0,1)</f>
        <v>5</v>
      </c>
      <c r="B123" s="36">
        <v>5</v>
      </c>
      <c r="C123" t="str">
        <f t="shared" si="1"/>
        <v>37.60.06.0161</v>
      </c>
      <c r="D123" t="str">
        <f t="shared" si="2"/>
        <v>Domino - Gutter G - L2390 - 6Ø13 - Cut 3 - Galvanized</v>
      </c>
      <c r="E123" t="str">
        <f t="shared" si="2"/>
        <v>2</v>
      </c>
      <c r="F123" s="37" t="str">
        <f t="shared" si="2"/>
        <v>st</v>
      </c>
      <c r="G123" s="51">
        <f>_xlfn.XLOOKUP(C123,Articles!A:A,Articles!D:D,0,0)</f>
        <v>137</v>
      </c>
      <c r="H123" s="52">
        <f t="shared" si="3"/>
        <v>274</v>
      </c>
      <c r="I123" s="51">
        <f>_xlfn.XLOOKUP(C123,Articles!A:A,Articles!E:E,0,0)</f>
        <v>0.4</v>
      </c>
      <c r="J123" s="37">
        <f t="shared" si="4"/>
        <v>0.8</v>
      </c>
    </row>
    <row r="124" spans="1:10">
      <c r="A124">
        <f>B124*IF(Calc!$D$105="?",0,1)</f>
        <v>6</v>
      </c>
      <c r="B124" s="36">
        <v>6</v>
      </c>
      <c r="C124" t="str">
        <f t="shared" si="1"/>
        <v>37.60.06.0160</v>
      </c>
      <c r="D124" t="str">
        <f t="shared" si="2"/>
        <v>Domino - Gutter G - L1890 - 7Ø13 - Galvanized</v>
      </c>
      <c r="E124" t="str">
        <f t="shared" si="2"/>
        <v>2</v>
      </c>
      <c r="F124" s="37" t="str">
        <f t="shared" si="2"/>
        <v>st</v>
      </c>
      <c r="G124" s="51">
        <f>_xlfn.XLOOKUP(C124,Articles!A:A,Articles!D:D,0,0)</f>
        <v>110.02</v>
      </c>
      <c r="H124" s="52">
        <f t="shared" si="3"/>
        <v>220.04</v>
      </c>
      <c r="I124" s="51">
        <f>_xlfn.XLOOKUP(C124,Articles!A:A,Articles!E:E,0,0)</f>
        <v>0.4</v>
      </c>
      <c r="J124" s="37">
        <f t="shared" si="4"/>
        <v>0.8</v>
      </c>
    </row>
    <row r="125" spans="1:10">
      <c r="A125">
        <f>B125*IF(Calc!$D$105="?",0,1)</f>
        <v>7</v>
      </c>
      <c r="B125" s="36">
        <v>7</v>
      </c>
      <c r="C125" t="str">
        <f t="shared" si="1"/>
        <v>37.60.06.0168</v>
      </c>
      <c r="D125" t="str">
        <f t="shared" si="2"/>
        <v>Domino - U-Profile - 80x50x3 - L1890 - 3Ø13 - Galvanized</v>
      </c>
      <c r="E125" t="str">
        <f t="shared" si="2"/>
        <v>1</v>
      </c>
      <c r="F125" s="37" t="str">
        <f t="shared" si="2"/>
        <v>st</v>
      </c>
      <c r="G125" s="51">
        <f>_xlfn.XLOOKUP(C125,Articles!A:A,Articles!D:D,0,0)</f>
        <v>38.340000000000003</v>
      </c>
      <c r="H125" s="52">
        <f t="shared" si="3"/>
        <v>38.340000000000003</v>
      </c>
      <c r="I125" s="51">
        <f>_xlfn.XLOOKUP(C125,Articles!A:A,Articles!E:E,0,0)</f>
        <v>0.2</v>
      </c>
      <c r="J125" s="37">
        <f t="shared" si="4"/>
        <v>0.2</v>
      </c>
    </row>
    <row r="126" spans="1:10">
      <c r="A126">
        <f>B126*IF(Calc!$D$105="?",0,1)</f>
        <v>8</v>
      </c>
      <c r="B126" s="36">
        <v>8</v>
      </c>
      <c r="C126" t="str">
        <f t="shared" si="1"/>
        <v>43.13.07.0011</v>
      </c>
      <c r="D126" t="str">
        <f t="shared" si="2"/>
        <v>Domino - Beam - 120x60x3 - L1890 - 8Ø13 - Galvanized</v>
      </c>
      <c r="E126" t="str">
        <f t="shared" si="2"/>
        <v>1</v>
      </c>
      <c r="F126" s="37" t="str">
        <f t="shared" si="2"/>
        <v>st</v>
      </c>
      <c r="G126" s="51">
        <f>_xlfn.XLOOKUP(C126,Articles!A:A,Articles!D:D,0,0)</f>
        <v>83.88</v>
      </c>
      <c r="H126" s="52">
        <f t="shared" si="3"/>
        <v>83.88</v>
      </c>
      <c r="I126" s="51">
        <f>_xlfn.XLOOKUP(C126,Articles!A:A,Articles!E:E,0,0)</f>
        <v>0.2</v>
      </c>
      <c r="J126" s="37">
        <f t="shared" si="4"/>
        <v>0.2</v>
      </c>
    </row>
    <row r="127" spans="1:10">
      <c r="A127">
        <f>B127*IF(Calc!$D$105="?",0,1)</f>
        <v>9</v>
      </c>
      <c r="B127" s="36">
        <v>9</v>
      </c>
      <c r="C127" t="str">
        <f t="shared" si="1"/>
        <v>43.09.06.0015</v>
      </c>
      <c r="D127" t="str">
        <f t="shared" si="2"/>
        <v>Domino - Beam Connector - Bracket - Galvanized</v>
      </c>
      <c r="E127" t="str">
        <f t="shared" si="2"/>
        <v>2</v>
      </c>
      <c r="F127" s="37" t="str">
        <f t="shared" si="2"/>
        <v>st</v>
      </c>
      <c r="G127" s="51">
        <f>_xlfn.XLOOKUP(C127,Articles!A:A,Articles!D:D,0,0)</f>
        <v>10.34</v>
      </c>
      <c r="H127" s="52">
        <f t="shared" si="3"/>
        <v>20.68</v>
      </c>
      <c r="I127" s="51">
        <f>_xlfn.XLOOKUP(C127,Articles!A:A,Articles!E:E,0,0)</f>
        <v>0</v>
      </c>
      <c r="J127" s="37">
        <f t="shared" si="4"/>
        <v>0</v>
      </c>
    </row>
    <row r="128" spans="1:10">
      <c r="A128">
        <f>B128*IF(Calc!$D$105="?",0,1)</f>
        <v>10</v>
      </c>
      <c r="B128" s="36">
        <v>10</v>
      </c>
      <c r="C128" t="str">
        <f t="shared" si="1"/>
        <v>44.02.06.0005</v>
      </c>
      <c r="D128" t="str">
        <f t="shared" si="2"/>
        <v>Domino - Girder - 50x2 - L1948 - 6Ø13 - 6M10 - Galvanized</v>
      </c>
      <c r="E128" t="str">
        <f t="shared" si="2"/>
        <v>4</v>
      </c>
      <c r="F128" s="37" t="str">
        <f t="shared" si="2"/>
        <v>st</v>
      </c>
      <c r="G128" s="51">
        <f>_xlfn.XLOOKUP(C128,Articles!A:A,Articles!D:D,0,0)</f>
        <v>39.71</v>
      </c>
      <c r="H128" s="52">
        <f t="shared" si="3"/>
        <v>158.84</v>
      </c>
      <c r="I128" s="51">
        <f>_xlfn.XLOOKUP(C128,Articles!A:A,Articles!E:E,0,0)</f>
        <v>0.2</v>
      </c>
      <c r="J128" s="37">
        <f t="shared" si="4"/>
        <v>0.8</v>
      </c>
    </row>
    <row r="129" spans="1:10">
      <c r="A129">
        <f>B129*IF(Calc!$D$105="?",0,1)</f>
        <v>11</v>
      </c>
      <c r="B129" s="36">
        <v>11</v>
      </c>
      <c r="C129" t="str">
        <f t="shared" si="1"/>
        <v>44.02.06.0006</v>
      </c>
      <c r="D129" t="str">
        <f t="shared" si="2"/>
        <v>Domino - Girder - 50x2 - L2448 - 6Ø13 - 6M10 - Galvanized</v>
      </c>
      <c r="E129" t="str">
        <f t="shared" si="2"/>
        <v>2</v>
      </c>
      <c r="F129" s="37" t="str">
        <f t="shared" si="2"/>
        <v>st</v>
      </c>
      <c r="G129" s="51">
        <f>_xlfn.XLOOKUP(C129,Articles!A:A,Articles!D:D,0,0)</f>
        <v>68.959999999999994</v>
      </c>
      <c r="H129" s="52">
        <f t="shared" si="3"/>
        <v>137.91999999999999</v>
      </c>
      <c r="I129" s="51">
        <f>_xlfn.XLOOKUP(C129,Articles!A:A,Articles!E:E,0,0)</f>
        <v>0.2</v>
      </c>
      <c r="J129" s="37">
        <f t="shared" si="4"/>
        <v>0.4</v>
      </c>
    </row>
    <row r="130" spans="1:10">
      <c r="A130">
        <f>B130*IF(Calc!$D$105="?",0,1)</f>
        <v>12</v>
      </c>
      <c r="B130" s="36">
        <v>12</v>
      </c>
      <c r="C130" t="str">
        <f t="shared" si="1"/>
        <v>44.02.06.0030</v>
      </c>
      <c r="D130" t="str">
        <f t="shared" si="2"/>
        <v xml:space="preserve">Domino - Girder - 50x2 - L543mm - 2Ø13 - 2M10 - Galvanized </v>
      </c>
      <c r="E130" t="str">
        <f t="shared" si="2"/>
        <v>4</v>
      </c>
      <c r="F130" s="37" t="str">
        <f t="shared" si="2"/>
        <v>st</v>
      </c>
      <c r="G130" s="51">
        <f>_xlfn.XLOOKUP(C130,Articles!A:A,Articles!D:D,0,0)</f>
        <v>16.14</v>
      </c>
      <c r="H130" s="52">
        <f t="shared" si="3"/>
        <v>64.56</v>
      </c>
      <c r="I130" s="51">
        <f>_xlfn.XLOOKUP(C130,Articles!A:A,Articles!E:E,0,0)</f>
        <v>0.2</v>
      </c>
      <c r="J130" s="37">
        <f t="shared" si="4"/>
        <v>0.8</v>
      </c>
    </row>
    <row r="131" spans="1:10">
      <c r="A131">
        <f>B131*IF(Calc!$D$105="?",0,1)</f>
        <v>13</v>
      </c>
      <c r="B131" s="36">
        <v>13</v>
      </c>
      <c r="C131" t="str">
        <f t="shared" si="1"/>
        <v>43.07.18.0001</v>
      </c>
      <c r="D131" t="str">
        <f t="shared" si="2"/>
        <v>Domino - Wall Connector - Galvanized</v>
      </c>
      <c r="E131" t="str">
        <f t="shared" si="2"/>
        <v>20</v>
      </c>
      <c r="F131" s="37" t="str">
        <f t="shared" si="2"/>
        <v>st</v>
      </c>
      <c r="G131" s="51">
        <f>_xlfn.XLOOKUP(C131,Articles!A:A,Articles!D:D,0,0)</f>
        <v>4.76</v>
      </c>
      <c r="H131" s="52">
        <f t="shared" si="3"/>
        <v>95.199999999999989</v>
      </c>
      <c r="I131" s="51">
        <f>_xlfn.XLOOKUP(C131,Articles!A:A,Articles!E:E,0,0)</f>
        <v>0</v>
      </c>
      <c r="J131" s="37">
        <f t="shared" si="4"/>
        <v>0</v>
      </c>
    </row>
    <row r="132" spans="1:10">
      <c r="A132">
        <f>B132*IF(Calc!$D$105="?",0,1)</f>
        <v>14</v>
      </c>
      <c r="B132" s="36">
        <v>14</v>
      </c>
      <c r="C132" t="str">
        <f t="shared" si="1"/>
        <v>43.06.14.0049</v>
      </c>
      <c r="D132" t="str">
        <f t="shared" si="2"/>
        <v>Domino - Gate Column - 80x60x3 - L2260 - Galvanized</v>
      </c>
      <c r="E132" t="str">
        <f t="shared" si="2"/>
        <v>2</v>
      </c>
      <c r="F132" s="37" t="str">
        <f t="shared" si="2"/>
        <v>st</v>
      </c>
      <c r="G132" s="51">
        <f>_xlfn.XLOOKUP(C132,Articles!A:A,Articles!D:D,0,0)</f>
        <v>97.22</v>
      </c>
      <c r="H132" s="52">
        <f t="shared" si="3"/>
        <v>194.44</v>
      </c>
      <c r="I132" s="51">
        <f>_xlfn.XLOOKUP(C132,Articles!A:A,Articles!E:E,0,0)</f>
        <v>0.87</v>
      </c>
      <c r="J132" s="37">
        <f t="shared" si="4"/>
        <v>1.74</v>
      </c>
    </row>
    <row r="133" spans="1:10">
      <c r="A133">
        <f>B133*IF(Calc!$D$105="?",0,1)</f>
        <v>15</v>
      </c>
      <c r="B133" s="36">
        <v>15</v>
      </c>
      <c r="C133" t="str">
        <f t="shared" si="1"/>
        <v>43.32.03.0054</v>
      </c>
      <c r="D133" t="str">
        <f t="shared" si="2"/>
        <v>Domino - Gate Frame - W1180 - H2030 - Galvanized</v>
      </c>
      <c r="E133" t="str">
        <f t="shared" si="2"/>
        <v>1</v>
      </c>
      <c r="F133" s="37" t="str">
        <f t="shared" si="2"/>
        <v>st</v>
      </c>
      <c r="G133" s="51">
        <f>_xlfn.XLOOKUP(C133,Articles!A:A,Articles!D:D,0,0)</f>
        <v>186.96</v>
      </c>
      <c r="H133" s="52">
        <f t="shared" si="3"/>
        <v>186.96</v>
      </c>
      <c r="I133" s="51">
        <f>_xlfn.XLOOKUP(C133,Articles!A:A,Articles!E:E,0,0)</f>
        <v>2.25</v>
      </c>
      <c r="J133" s="37">
        <f t="shared" si="4"/>
        <v>2.25</v>
      </c>
    </row>
    <row r="134" spans="1:10">
      <c r="A134">
        <f>B134*IF(Calc!$D$105="?",0,1)</f>
        <v>16</v>
      </c>
      <c r="B134" s="36">
        <v>16</v>
      </c>
      <c r="C134" t="str">
        <f t="shared" si="1"/>
        <v>43.32.03.0048</v>
      </c>
      <c r="D134" t="str">
        <f t="shared" si="2"/>
        <v xml:space="preserve">Domino - Hinge Bracket - Galvanized  </v>
      </c>
      <c r="E134" t="str">
        <f t="shared" si="2"/>
        <v>2</v>
      </c>
      <c r="F134" s="37" t="str">
        <f t="shared" si="2"/>
        <v>st</v>
      </c>
      <c r="G134" s="51">
        <f>_xlfn.XLOOKUP(C134,Articles!A:A,Articles!D:D,0,0)</f>
        <v>16.3</v>
      </c>
      <c r="H134" s="52">
        <f t="shared" si="3"/>
        <v>32.6</v>
      </c>
      <c r="I134" s="51">
        <f>_xlfn.XLOOKUP(C134,Articles!A:A,Articles!E:E,0,0)</f>
        <v>0</v>
      </c>
      <c r="J134" s="37">
        <f t="shared" si="4"/>
        <v>0</v>
      </c>
    </row>
    <row r="135" spans="1:10">
      <c r="A135">
        <f>B135*IF(Calc!$D$105="?",0,1)</f>
        <v>17</v>
      </c>
      <c r="B135" s="36">
        <v>17</v>
      </c>
      <c r="C135" t="str">
        <f t="shared" si="1"/>
        <v>43.32.03.0050</v>
      </c>
      <c r="D135" t="str">
        <f t="shared" si="1"/>
        <v xml:space="preserve">Domino - Hinge L-Profile - Galvanized </v>
      </c>
      <c r="E135" t="str">
        <f t="shared" ref="E135:F198" si="5">_xlfn.XLOOKUP($A135,$B$2:$B$89,E$2:E$89,"",0)&amp;_xlfn.XLOOKUP($A135,$A$90:$A$118,E$90:E$118,"",0)</f>
        <v>2</v>
      </c>
      <c r="F135" s="37" t="str">
        <f t="shared" si="5"/>
        <v>st</v>
      </c>
      <c r="G135" s="51">
        <f>_xlfn.XLOOKUP(C135,Articles!A:A,Articles!D:D,0,0)</f>
        <v>16.100000000000001</v>
      </c>
      <c r="H135" s="52">
        <f t="shared" si="3"/>
        <v>32.200000000000003</v>
      </c>
      <c r="I135" s="51">
        <f>_xlfn.XLOOKUP(C135,Articles!A:A,Articles!E:E,0,0)</f>
        <v>0</v>
      </c>
      <c r="J135" s="37">
        <f t="shared" si="4"/>
        <v>0</v>
      </c>
    </row>
    <row r="136" spans="1:10">
      <c r="A136">
        <f>B136*IF(Calc!$D$105="?",0,1)</f>
        <v>18</v>
      </c>
      <c r="B136" s="36">
        <v>18</v>
      </c>
      <c r="C136" t="str">
        <f t="shared" si="1"/>
        <v>20.07.04.0009</v>
      </c>
      <c r="D136" t="str">
        <f t="shared" si="1"/>
        <v>Keep - Locinox SFKO-QF-ALUM</v>
      </c>
      <c r="E136" t="str">
        <f t="shared" si="5"/>
        <v>1</v>
      </c>
      <c r="F136" s="37" t="str">
        <f t="shared" si="5"/>
        <v>st</v>
      </c>
      <c r="G136" s="51">
        <f>_xlfn.XLOOKUP(C136,Articles!A:A,Articles!D:D,0,0)</f>
        <v>43.82</v>
      </c>
      <c r="H136" s="52">
        <f t="shared" si="3"/>
        <v>43.82</v>
      </c>
      <c r="I136" s="51">
        <f>_xlfn.XLOOKUP(C136,Articles!A:A,Articles!E:E,0,0)</f>
        <v>0</v>
      </c>
      <c r="J136" s="37">
        <f t="shared" si="4"/>
        <v>0</v>
      </c>
    </row>
    <row r="137" spans="1:10">
      <c r="A137">
        <f>B137*IF(Calc!$D$105="?",0,1)</f>
        <v>19</v>
      </c>
      <c r="B137" s="36">
        <v>19</v>
      </c>
      <c r="C137" t="str">
        <f t="shared" si="1"/>
        <v>20.08.03.0117</v>
      </c>
      <c r="D137" t="str">
        <f t="shared" si="1"/>
        <v>Eyebolt set - Locinox 1039SET-M16-65</v>
      </c>
      <c r="E137" t="str">
        <f t="shared" si="5"/>
        <v>2</v>
      </c>
      <c r="F137" s="37" t="str">
        <f t="shared" si="5"/>
        <v>st</v>
      </c>
      <c r="G137" s="51">
        <f>_xlfn.XLOOKUP(C137,Articles!A:A,Articles!D:D,0,0)</f>
        <v>8.49</v>
      </c>
      <c r="H137" s="52">
        <f t="shared" si="3"/>
        <v>16.98</v>
      </c>
      <c r="I137" s="51">
        <f>_xlfn.XLOOKUP(C137,Articles!A:A,Articles!E:E,0,0)</f>
        <v>0</v>
      </c>
      <c r="J137" s="37">
        <f t="shared" si="4"/>
        <v>0</v>
      </c>
    </row>
    <row r="138" spans="1:10">
      <c r="A138">
        <f>B138*IF(Calc!$D$105="?",0,1)</f>
        <v>20</v>
      </c>
      <c r="B138" s="36">
        <v>20</v>
      </c>
      <c r="C138" t="str">
        <f t="shared" si="1"/>
        <v>20.10.01.0017</v>
      </c>
      <c r="D138" t="str">
        <f t="shared" si="1"/>
        <v>Cover shield (2 pcs) - Locinox 3020-HYB-ALU-SILV</v>
      </c>
      <c r="E138" t="str">
        <f t="shared" si="5"/>
        <v>1</v>
      </c>
      <c r="F138" s="37" t="str">
        <f t="shared" si="5"/>
        <v>st</v>
      </c>
      <c r="G138" s="51">
        <f>_xlfn.XLOOKUP(C138,Articles!A:A,Articles!D:D,0,0)</f>
        <v>19.45</v>
      </c>
      <c r="H138" s="52">
        <f t="shared" si="3"/>
        <v>19.45</v>
      </c>
      <c r="I138" s="51">
        <f>_xlfn.XLOOKUP(C138,Articles!A:A,Articles!E:E,0,0)</f>
        <v>0</v>
      </c>
      <c r="J138" s="37">
        <f t="shared" si="4"/>
        <v>0</v>
      </c>
    </row>
    <row r="139" spans="1:10">
      <c r="A139">
        <f>B139*IF(Calc!$D$105="?",0,1)</f>
        <v>21</v>
      </c>
      <c r="B139" s="36">
        <v>21</v>
      </c>
      <c r="C139" t="str">
        <f t="shared" si="1"/>
        <v>20.10.03.0013</v>
      </c>
      <c r="D139" t="str">
        <f t="shared" si="1"/>
        <v>Handle pair - Locinox 3006M-H</v>
      </c>
      <c r="E139" t="str">
        <f t="shared" si="5"/>
        <v>1</v>
      </c>
      <c r="F139" s="37" t="str">
        <f t="shared" si="5"/>
        <v>st</v>
      </c>
      <c r="G139" s="51">
        <f>_xlfn.XLOOKUP(C139,Articles!A:A,Articles!D:D,0,0)</f>
        <v>31.75</v>
      </c>
      <c r="H139" s="52">
        <f t="shared" si="3"/>
        <v>31.75</v>
      </c>
      <c r="I139" s="51">
        <f>_xlfn.XLOOKUP(C139,Articles!A:A,Articles!E:E,0,0)</f>
        <v>0</v>
      </c>
      <c r="J139" s="37">
        <f t="shared" si="4"/>
        <v>0</v>
      </c>
    </row>
    <row r="140" spans="1:10">
      <c r="A140">
        <f>B140*IF(Calc!$D$105="?",0,1)</f>
        <v>22</v>
      </c>
      <c r="B140" s="36">
        <v>22</v>
      </c>
      <c r="C140" t="str">
        <f t="shared" si="1"/>
        <v>20.10.09.0017</v>
      </c>
      <c r="D140" t="str">
        <f t="shared" si="1"/>
        <v>Lock case - Locinox SIXTYLOCK</v>
      </c>
      <c r="E140" t="str">
        <f t="shared" si="5"/>
        <v>1</v>
      </c>
      <c r="F140" s="37" t="str">
        <f t="shared" si="5"/>
        <v>st</v>
      </c>
      <c r="G140" s="51">
        <f>_xlfn.XLOOKUP(C140,Articles!A:A,Articles!D:D,0,0)</f>
        <v>118.31</v>
      </c>
      <c r="H140" s="52">
        <f t="shared" si="3"/>
        <v>118.31</v>
      </c>
      <c r="I140" s="51">
        <f>_xlfn.XLOOKUP(C140,Articles!A:A,Articles!E:E,0,0)</f>
        <v>0</v>
      </c>
      <c r="J140" s="37">
        <f t="shared" si="4"/>
        <v>0</v>
      </c>
    </row>
    <row r="141" spans="1:10">
      <c r="A141">
        <f>B141*IF(Calc!$D$105="?",0,1)</f>
        <v>23</v>
      </c>
      <c r="B141" s="36">
        <v>23</v>
      </c>
      <c r="C141" t="str">
        <f t="shared" si="1"/>
        <v>20.10.02.0023</v>
      </c>
      <c r="D141" t="str">
        <f t="shared" si="1"/>
        <v>Euro Cylinder with 3 keys - 30/50mm</v>
      </c>
      <c r="E141" t="str">
        <f t="shared" si="5"/>
        <v>1</v>
      </c>
      <c r="F141" s="37" t="str">
        <f t="shared" si="5"/>
        <v>st</v>
      </c>
      <c r="G141" s="51">
        <f>_xlfn.XLOOKUP(C141,Articles!A:A,Articles!D:D,0,0)</f>
        <v>23.88</v>
      </c>
      <c r="H141" s="52">
        <f t="shared" si="3"/>
        <v>23.88</v>
      </c>
      <c r="I141" s="51">
        <f>_xlfn.XLOOKUP(C141,Articles!A:A,Articles!E:E,0,0)</f>
        <v>0</v>
      </c>
      <c r="J141" s="37">
        <f t="shared" si="4"/>
        <v>0</v>
      </c>
    </row>
    <row r="142" spans="1:10">
      <c r="A142">
        <f>B142*IF(Calc!$D$105="?",0,1)</f>
        <v>24</v>
      </c>
      <c r="B142" s="36">
        <v>24</v>
      </c>
      <c r="C142" t="str">
        <f t="shared" si="1"/>
        <v>40.01.01.0014</v>
      </c>
      <c r="D142" t="str">
        <f t="shared" si="1"/>
        <v>Wooden panel - Type A1 - Thermowood - WxH=950x2150mm</v>
      </c>
      <c r="E142" t="str">
        <f t="shared" si="5"/>
        <v>4</v>
      </c>
      <c r="F142" s="37" t="str">
        <f t="shared" si="5"/>
        <v>st</v>
      </c>
      <c r="G142" s="51">
        <f>_xlfn.XLOOKUP(C142,Articles!A:A,Articles!D:D,0,0)</f>
        <v>94.13</v>
      </c>
      <c r="H142" s="52">
        <f t="shared" si="3"/>
        <v>376.52</v>
      </c>
      <c r="I142" s="51">
        <f>_xlfn.XLOOKUP(C142,Articles!A:A,Articles!E:E,0,0)</f>
        <v>0.2</v>
      </c>
      <c r="J142" s="37">
        <f t="shared" si="4"/>
        <v>0.8</v>
      </c>
    </row>
    <row r="143" spans="1:10">
      <c r="A143">
        <f>B143*IF(Calc!$D$105="?",0,1)</f>
        <v>25</v>
      </c>
      <c r="B143" s="36">
        <v>25</v>
      </c>
      <c r="C143" t="str">
        <f t="shared" si="1"/>
        <v>40.01.01.0016</v>
      </c>
      <c r="D143" t="str">
        <f t="shared" si="1"/>
        <v>Wooden panel - Type B1 - Thermowood - WxH=1195x2150mm</v>
      </c>
      <c r="E143" t="str">
        <f t="shared" si="5"/>
        <v>2</v>
      </c>
      <c r="F143" s="37" t="str">
        <f t="shared" si="5"/>
        <v>st</v>
      </c>
      <c r="G143" s="51">
        <f>_xlfn.XLOOKUP(C143,Articles!A:A,Articles!D:D,0,0)</f>
        <v>115.95</v>
      </c>
      <c r="H143" s="52">
        <f t="shared" si="3"/>
        <v>231.9</v>
      </c>
      <c r="I143" s="51">
        <f>_xlfn.XLOOKUP(C143,Articles!A:A,Articles!E:E,0,0)</f>
        <v>0.2</v>
      </c>
      <c r="J143" s="37">
        <f t="shared" si="4"/>
        <v>0.4</v>
      </c>
    </row>
    <row r="144" spans="1:10">
      <c r="A144">
        <f>B144*IF(Calc!$D$105="?",0,1)</f>
        <v>26</v>
      </c>
      <c r="B144" s="36">
        <v>26</v>
      </c>
      <c r="C144" t="str">
        <f t="shared" si="1"/>
        <v>09.01.06.0012</v>
      </c>
      <c r="D144" t="str">
        <f t="shared" si="1"/>
        <v>Thermowood - 90x20x2150mm - 4-sided planed - rounded edges</v>
      </c>
      <c r="E144" t="str">
        <f t="shared" si="5"/>
        <v>28</v>
      </c>
      <c r="F144" s="37" t="str">
        <f t="shared" si="5"/>
        <v>st</v>
      </c>
      <c r="G144" s="51">
        <f>_xlfn.XLOOKUP(C144,Articles!A:A,Articles!D:D,0,0)</f>
        <v>8.02</v>
      </c>
      <c r="H144" s="52">
        <f t="shared" si="3"/>
        <v>224.56</v>
      </c>
      <c r="I144" s="51">
        <f>_xlfn.XLOOKUP(C144,Articles!A:A,Articles!E:E,0,0)</f>
        <v>0</v>
      </c>
      <c r="J144" s="37">
        <f t="shared" si="4"/>
        <v>0</v>
      </c>
    </row>
    <row r="145" spans="1:10">
      <c r="A145">
        <f>B145*IF(Calc!$D$105="?",0,1)</f>
        <v>27</v>
      </c>
      <c r="B145" s="36">
        <v>27</v>
      </c>
      <c r="C145" t="str">
        <f t="shared" si="1"/>
        <v>09.01.06.0014</v>
      </c>
      <c r="D145" t="str">
        <f t="shared" si="1"/>
        <v>Thermowood - 44x22x950mm - 4-sided planed</v>
      </c>
      <c r="E145" t="str">
        <f t="shared" si="5"/>
        <v>1</v>
      </c>
      <c r="F145" s="37" t="str">
        <f t="shared" si="5"/>
        <v>st</v>
      </c>
      <c r="G145" s="51">
        <f>_xlfn.XLOOKUP(C145,Articles!A:A,Articles!D:D,0,0)</f>
        <v>2.02</v>
      </c>
      <c r="H145" s="52">
        <f t="shared" si="3"/>
        <v>2.02</v>
      </c>
      <c r="I145" s="51">
        <f>_xlfn.XLOOKUP(C145,Articles!A:A,Articles!E:E,0,0)</f>
        <v>0</v>
      </c>
      <c r="J145" s="37">
        <f t="shared" si="4"/>
        <v>0</v>
      </c>
    </row>
    <row r="146" spans="1:10">
      <c r="A146">
        <f>B146*IF(Calc!$D$105="?",0,1)</f>
        <v>28</v>
      </c>
      <c r="B146" s="36">
        <v>28</v>
      </c>
      <c r="C146" t="str">
        <f t="shared" si="1"/>
        <v>09.01.06.0015</v>
      </c>
      <c r="D146" t="str">
        <f t="shared" si="1"/>
        <v>Thermowood - 44x22x1195mm - 4-sided planed</v>
      </c>
      <c r="E146" t="str">
        <f t="shared" si="5"/>
        <v>4</v>
      </c>
      <c r="F146" s="37" t="str">
        <f t="shared" si="5"/>
        <v>st</v>
      </c>
      <c r="G146" s="51">
        <f>_xlfn.XLOOKUP(C146,Articles!A:A,Articles!D:D,0,0)</f>
        <v>2.52</v>
      </c>
      <c r="H146" s="52">
        <f t="shared" si="3"/>
        <v>10.08</v>
      </c>
      <c r="I146" s="51">
        <f>_xlfn.XLOOKUP(C146,Articles!A:A,Articles!E:E,0,0)</f>
        <v>0</v>
      </c>
      <c r="J146" s="37">
        <f t="shared" si="4"/>
        <v>0</v>
      </c>
    </row>
    <row r="147" spans="1:10">
      <c r="A147">
        <f>B147*IF(Calc!$D$105="?",0,1)</f>
        <v>29</v>
      </c>
      <c r="B147" s="36">
        <v>29</v>
      </c>
      <c r="C147" t="str">
        <f t="shared" si="1"/>
        <v>01.06.11.0012</v>
      </c>
      <c r="D147" t="str">
        <f t="shared" si="1"/>
        <v>Steel Roof Sheet - RAL7016 - L=2520mm</v>
      </c>
      <c r="E147" t="str">
        <f t="shared" si="5"/>
        <v>3</v>
      </c>
      <c r="F147" s="37" t="str">
        <f t="shared" si="5"/>
        <v>st</v>
      </c>
      <c r="G147" s="51">
        <f>_xlfn.XLOOKUP(C147,Articles!A:A,Articles!D:D,0,0)</f>
        <v>96.85</v>
      </c>
      <c r="H147" s="52">
        <f t="shared" si="3"/>
        <v>290.54999999999995</v>
      </c>
      <c r="I147" s="51">
        <f>_xlfn.XLOOKUP(C147,Articles!A:A,Articles!E:E,0,0)</f>
        <v>0.5</v>
      </c>
      <c r="J147" s="37">
        <f t="shared" si="4"/>
        <v>1.5</v>
      </c>
    </row>
    <row r="148" spans="1:10">
      <c r="A148">
        <f>B148*IF(Calc!$D$105="?",0,1)</f>
        <v>30</v>
      </c>
      <c r="B148" s="36">
        <v>30</v>
      </c>
      <c r="C148" t="str">
        <f t="shared" si="1"/>
        <v>37.44.06.0001</v>
      </c>
      <c r="D148" t="str">
        <f t="shared" si="1"/>
        <v>Alu L-profile - 125x50x2 - Perfo R5T8 - L=3000mm</v>
      </c>
      <c r="E148" t="str">
        <f t="shared" si="5"/>
        <v>1</v>
      </c>
      <c r="F148" s="37" t="str">
        <f t="shared" si="5"/>
        <v>st</v>
      </c>
      <c r="G148" s="51">
        <f>_xlfn.XLOOKUP(C148,Articles!A:A,Articles!D:D,0,0)</f>
        <v>49.24</v>
      </c>
      <c r="H148" s="52">
        <f t="shared" si="3"/>
        <v>49.24</v>
      </c>
      <c r="I148" s="51">
        <f>_xlfn.XLOOKUP(C148,Articles!A:A,Articles!E:E,0,0)</f>
        <v>0.1</v>
      </c>
      <c r="J148" s="37">
        <f t="shared" si="4"/>
        <v>0.1</v>
      </c>
    </row>
    <row r="149" spans="1:10">
      <c r="A149">
        <f>B149*IF(Calc!$D$105="?",0,1)</f>
        <v>31</v>
      </c>
      <c r="B149" s="36">
        <v>31</v>
      </c>
      <c r="C149" t="str">
        <f t="shared" si="1"/>
        <v>37.44.04.0002</v>
      </c>
      <c r="D149" t="str">
        <f t="shared" si="1"/>
        <v>Alu L-profile - 50x50x2 - Perfo R5T8 - L=3000mm</v>
      </c>
      <c r="E149" t="str">
        <f t="shared" si="5"/>
        <v>1</v>
      </c>
      <c r="F149" s="37" t="str">
        <f t="shared" si="5"/>
        <v>st</v>
      </c>
      <c r="G149" s="51">
        <f>_xlfn.XLOOKUP(C149,Articles!A:A,Articles!D:D,0,0)</f>
        <v>30.02</v>
      </c>
      <c r="H149" s="52">
        <f t="shared" si="3"/>
        <v>30.02</v>
      </c>
      <c r="I149" s="51">
        <f>_xlfn.XLOOKUP(C149,Articles!A:A,Articles!E:E,0,0)</f>
        <v>0.1</v>
      </c>
      <c r="J149" s="37">
        <f t="shared" si="4"/>
        <v>0.1</v>
      </c>
    </row>
    <row r="150" spans="1:10">
      <c r="A150">
        <f>B150*IF(Calc!$D$105="?",0,1)</f>
        <v>32</v>
      </c>
      <c r="B150" s="36">
        <v>32</v>
      </c>
      <c r="C150" t="str">
        <f t="shared" si="1"/>
        <v>15.02.02.0124</v>
      </c>
      <c r="D150" t="str">
        <f t="shared" si="1"/>
        <v>Hexagon head bolt - DIN933 - M10X30</v>
      </c>
      <c r="E150" t="str">
        <f t="shared" si="5"/>
        <v>50</v>
      </c>
      <c r="F150" s="37" t="str">
        <f t="shared" si="5"/>
        <v>st</v>
      </c>
      <c r="G150" s="51">
        <f>_xlfn.XLOOKUP(C150,Articles!A:A,Articles!D:D,0,0)</f>
        <v>0.22</v>
      </c>
      <c r="H150" s="52">
        <f t="shared" si="3"/>
        <v>11</v>
      </c>
      <c r="I150" s="51">
        <f>_xlfn.XLOOKUP(C150,Articles!A:A,Articles!E:E,0,0)</f>
        <v>0</v>
      </c>
      <c r="J150" s="37">
        <f t="shared" si="4"/>
        <v>0</v>
      </c>
    </row>
    <row r="151" spans="1:10">
      <c r="A151">
        <f>B151*IF(Calc!$D$105="?",0,1)</f>
        <v>33</v>
      </c>
      <c r="B151" s="36">
        <v>33</v>
      </c>
      <c r="C151" t="str">
        <f t="shared" si="1"/>
        <v>15.02.02.0135</v>
      </c>
      <c r="D151" t="str">
        <f t="shared" si="1"/>
        <v>Hexagon head bolt - DIN933 - M10X80</v>
      </c>
      <c r="E151" t="str">
        <f t="shared" si="5"/>
        <v>5</v>
      </c>
      <c r="F151" s="37" t="str">
        <f t="shared" si="5"/>
        <v>st</v>
      </c>
      <c r="G151" s="51">
        <f>_xlfn.XLOOKUP(C151,Articles!A:A,Articles!D:D,0,0)</f>
        <v>0.82</v>
      </c>
      <c r="H151" s="52">
        <f t="shared" si="3"/>
        <v>4.0999999999999996</v>
      </c>
      <c r="I151" s="51">
        <f>_xlfn.XLOOKUP(C151,Articles!A:A,Articles!E:E,0,0)</f>
        <v>0</v>
      </c>
      <c r="J151" s="37">
        <f t="shared" si="4"/>
        <v>0</v>
      </c>
    </row>
    <row r="152" spans="1:10">
      <c r="A152">
        <f>B152*IF(Calc!$D$105="?",0,1)</f>
        <v>34</v>
      </c>
      <c r="B152" s="36">
        <v>34</v>
      </c>
      <c r="C152" t="str">
        <f t="shared" si="1"/>
        <v>15.02.02.0136</v>
      </c>
      <c r="D152" t="str">
        <f t="shared" si="1"/>
        <v>Hexagon head bolt - DIN933 - M10X90</v>
      </c>
      <c r="E152" t="str">
        <f t="shared" si="5"/>
        <v>3</v>
      </c>
      <c r="F152" s="37" t="str">
        <f t="shared" si="5"/>
        <v>st</v>
      </c>
      <c r="G152" s="51">
        <f>_xlfn.XLOOKUP(C152,Articles!A:A,Articles!D:D,0,0)</f>
        <v>0.66</v>
      </c>
      <c r="H152" s="52">
        <f t="shared" si="3"/>
        <v>1.98</v>
      </c>
      <c r="I152" s="51">
        <f>_xlfn.XLOOKUP(C152,Articles!A:A,Articles!E:E,0,0)</f>
        <v>0</v>
      </c>
      <c r="J152" s="37">
        <f t="shared" si="4"/>
        <v>0</v>
      </c>
    </row>
    <row r="153" spans="1:10">
      <c r="A153">
        <f>B153*IF(Calc!$D$105="?",0,1)</f>
        <v>35</v>
      </c>
      <c r="B153" s="36">
        <v>35</v>
      </c>
      <c r="C153" t="str">
        <f t="shared" si="1"/>
        <v>15.02.02.0137</v>
      </c>
      <c r="D153" t="str">
        <f t="shared" si="1"/>
        <v>Hexagon head bolt - DIN933 - M10X100</v>
      </c>
      <c r="E153" t="str">
        <f t="shared" si="5"/>
        <v>5</v>
      </c>
      <c r="F153" s="37" t="str">
        <f t="shared" si="5"/>
        <v>st</v>
      </c>
      <c r="G153" s="51">
        <f>_xlfn.XLOOKUP(C153,Articles!A:A,Articles!D:D,0,0)</f>
        <v>0.62</v>
      </c>
      <c r="H153" s="52">
        <f t="shared" si="3"/>
        <v>3.1</v>
      </c>
      <c r="I153" s="51">
        <f>_xlfn.XLOOKUP(C153,Articles!A:A,Articles!E:E,0,0)</f>
        <v>0</v>
      </c>
      <c r="J153" s="37">
        <f t="shared" si="4"/>
        <v>0</v>
      </c>
    </row>
    <row r="154" spans="1:10">
      <c r="A154">
        <f>B154*IF(Calc!$D$105="?",0,1)</f>
        <v>36</v>
      </c>
      <c r="B154" s="36">
        <v>36</v>
      </c>
      <c r="C154" t="str">
        <f t="shared" si="1"/>
        <v>15.03.01.0009</v>
      </c>
      <c r="D154" t="str">
        <f t="shared" si="1"/>
        <v>Hexagon nut - DIN934 - M10</v>
      </c>
      <c r="E154" t="str">
        <f t="shared" si="5"/>
        <v>39</v>
      </c>
      <c r="F154" s="37" t="str">
        <f t="shared" si="5"/>
        <v>st</v>
      </c>
      <c r="G154" s="51">
        <f>_xlfn.XLOOKUP(C154,Articles!A:A,Articles!D:D,0,0)</f>
        <v>0.06</v>
      </c>
      <c r="H154" s="52">
        <f t="shared" si="3"/>
        <v>2.34</v>
      </c>
      <c r="I154" s="51">
        <f>_xlfn.XLOOKUP(C154,Articles!A:A,Articles!E:E,0,0)</f>
        <v>0</v>
      </c>
      <c r="J154" s="37">
        <f t="shared" si="4"/>
        <v>0</v>
      </c>
    </row>
    <row r="155" spans="1:10">
      <c r="A155">
        <f>B155*IF(Calc!$D$105="?",0,1)</f>
        <v>37</v>
      </c>
      <c r="B155" s="36">
        <v>37</v>
      </c>
      <c r="C155" t="str">
        <f t="shared" si="1"/>
        <v>15.08.03.0006</v>
      </c>
      <c r="D155" t="str">
        <f t="shared" ref="D155:F218" si="6">_xlfn.XLOOKUP($A155,$B$2:$B$89,D$2:D$89,"",0)&amp;_xlfn.XLOOKUP($A155,$A$90:$A$118,D$90:D$118,"",0)</f>
        <v>Plain washer - DIN125-1A - M10</v>
      </c>
      <c r="E155" t="str">
        <f t="shared" si="5"/>
        <v>99</v>
      </c>
      <c r="F155" s="37" t="str">
        <f t="shared" si="5"/>
        <v>st</v>
      </c>
      <c r="G155" s="51">
        <f>_xlfn.XLOOKUP(C155,Articles!A:A,Articles!D:D,0,0)</f>
        <v>7.0000000000000007E-2</v>
      </c>
      <c r="H155" s="52">
        <f t="shared" si="3"/>
        <v>6.9300000000000006</v>
      </c>
      <c r="I155" s="51">
        <f>_xlfn.XLOOKUP(C155,Articles!A:A,Articles!E:E,0,0)</f>
        <v>0</v>
      </c>
      <c r="J155" s="37">
        <f t="shared" si="4"/>
        <v>0</v>
      </c>
    </row>
    <row r="156" spans="1:10">
      <c r="A156">
        <f>B156*IF(Calc!$D$105="?",0,1)</f>
        <v>38</v>
      </c>
      <c r="B156" s="36">
        <v>38</v>
      </c>
      <c r="C156" t="str">
        <f t="shared" si="1"/>
        <v>15.02.11.0141</v>
      </c>
      <c r="D156" t="str">
        <f t="shared" si="6"/>
        <v>Thread forming bolt - DIN7500D - M10x30</v>
      </c>
      <c r="E156" t="str">
        <f t="shared" si="5"/>
        <v>84</v>
      </c>
      <c r="F156" s="37" t="str">
        <f t="shared" si="5"/>
        <v>st</v>
      </c>
      <c r="G156" s="51">
        <f>_xlfn.XLOOKUP(C156,Articles!A:A,Articles!D:D,0,0)</f>
        <v>0.87</v>
      </c>
      <c r="H156" s="52">
        <f t="shared" si="3"/>
        <v>73.08</v>
      </c>
      <c r="I156" s="51">
        <f>_xlfn.XLOOKUP(C156,Articles!A:A,Articles!E:E,0,0)</f>
        <v>0</v>
      </c>
      <c r="J156" s="37">
        <f t="shared" si="4"/>
        <v>0</v>
      </c>
    </row>
    <row r="157" spans="1:10">
      <c r="A157">
        <f>B157*IF(Calc!$D$105="?",0,1)</f>
        <v>39</v>
      </c>
      <c r="B157" s="36">
        <v>39</v>
      </c>
      <c r="C157" t="str">
        <f t="shared" si="1"/>
        <v>15.02.05.0066</v>
      </c>
      <c r="D157" t="str">
        <f t="shared" si="6"/>
        <v>Hexagon socket button head screw - ISO 7380-2 - M10x40</v>
      </c>
      <c r="E157" t="str">
        <f t="shared" si="5"/>
        <v>27</v>
      </c>
      <c r="F157" s="37" t="str">
        <f t="shared" si="5"/>
        <v>st</v>
      </c>
      <c r="G157" s="51">
        <f>_xlfn.XLOOKUP(C157,Articles!A:A,Articles!D:D,0,0)</f>
        <v>0.49</v>
      </c>
      <c r="H157" s="52">
        <f t="shared" si="3"/>
        <v>13.23</v>
      </c>
      <c r="I157" s="51">
        <f>_xlfn.XLOOKUP(C157,Articles!A:A,Articles!E:E,0,0)</f>
        <v>0</v>
      </c>
      <c r="J157" s="37">
        <f t="shared" si="4"/>
        <v>0</v>
      </c>
    </row>
    <row r="158" spans="1:10">
      <c r="A158">
        <f>B158*IF(Calc!$D$105="?",0,1)</f>
        <v>40</v>
      </c>
      <c r="B158" s="36">
        <v>40</v>
      </c>
      <c r="C158" t="str">
        <f t="shared" si="1"/>
        <v>15.06.02.0050</v>
      </c>
      <c r="D158" t="str">
        <f t="shared" si="6"/>
        <v>Self-drilling screw - neoprene washer - DIN7504K - 6,3x25</v>
      </c>
      <c r="E158" t="str">
        <f t="shared" si="5"/>
        <v>76</v>
      </c>
      <c r="F158" s="37" t="str">
        <f t="shared" si="5"/>
        <v>st</v>
      </c>
      <c r="G158" s="51">
        <f>_xlfn.XLOOKUP(C158,Articles!A:A,Articles!D:D,0,0)</f>
        <v>0.24</v>
      </c>
      <c r="H158" s="52">
        <f t="shared" si="3"/>
        <v>18.239999999999998</v>
      </c>
      <c r="I158" s="51">
        <f>_xlfn.XLOOKUP(C158,Articles!A:A,Articles!E:E,0,0)</f>
        <v>0</v>
      </c>
      <c r="J158" s="37">
        <f t="shared" si="4"/>
        <v>0</v>
      </c>
    </row>
    <row r="159" spans="1:10">
      <c r="A159">
        <f>B159*IF(Calc!$D$105="?",0,1)</f>
        <v>41</v>
      </c>
      <c r="B159" s="36">
        <v>41</v>
      </c>
      <c r="C159" t="str">
        <f t="shared" si="1"/>
        <v>16.04.03.0124</v>
      </c>
      <c r="D159" t="str">
        <f t="shared" si="6"/>
        <v>Wood screw - Stainless A2 - 4x35mm</v>
      </c>
      <c r="E159" t="str">
        <f t="shared" si="5"/>
        <v>185</v>
      </c>
      <c r="F159" s="37" t="str">
        <f t="shared" si="5"/>
        <v>st</v>
      </c>
      <c r="G159" s="51">
        <f>_xlfn.XLOOKUP(C159,Articles!A:A,Articles!D:D,0,0)</f>
        <v>0.24</v>
      </c>
      <c r="H159" s="52">
        <f t="shared" si="3"/>
        <v>44.4</v>
      </c>
      <c r="I159" s="51">
        <f>_xlfn.XLOOKUP(C159,Articles!A:A,Articles!E:E,0,0)</f>
        <v>0</v>
      </c>
      <c r="J159" s="37">
        <f t="shared" si="4"/>
        <v>0</v>
      </c>
    </row>
    <row r="160" spans="1:10">
      <c r="A160">
        <f>B160*IF(Calc!$D$105="?",0,1)</f>
        <v>42</v>
      </c>
      <c r="B160" s="36">
        <v>42</v>
      </c>
      <c r="C160" t="str">
        <f t="shared" si="1"/>
        <v>14.09.01.0002</v>
      </c>
      <c r="D160" t="str">
        <f t="shared" si="6"/>
        <v>Self-drilling screw with wings - 5,5x50mm</v>
      </c>
      <c r="E160" t="str">
        <f t="shared" si="5"/>
        <v>73</v>
      </c>
      <c r="F160" s="37" t="str">
        <f t="shared" si="5"/>
        <v>st</v>
      </c>
      <c r="G160" s="51">
        <f>_xlfn.XLOOKUP(C160,Articles!A:A,Articles!D:D,0,0)</f>
        <v>0.33</v>
      </c>
      <c r="H160" s="52">
        <f t="shared" si="3"/>
        <v>24.09</v>
      </c>
      <c r="I160" s="51">
        <f>_xlfn.XLOOKUP(C160,Articles!A:A,Articles!E:E,0,0)</f>
        <v>0</v>
      </c>
      <c r="J160" s="37">
        <f t="shared" si="4"/>
        <v>0</v>
      </c>
    </row>
    <row r="161" spans="1:10">
      <c r="A161">
        <f>B161*IF(Calc!$D$105="?",0,1)</f>
        <v>43</v>
      </c>
      <c r="B161" s="36">
        <v>43</v>
      </c>
      <c r="C161" t="str">
        <f t="shared" si="1"/>
        <v>27.05.01.0001</v>
      </c>
      <c r="D161" t="str">
        <f t="shared" si="6"/>
        <v>Leafguard - Ø50/70mm</v>
      </c>
      <c r="E161" t="str">
        <f t="shared" si="5"/>
        <v>5</v>
      </c>
      <c r="F161" s="37" t="str">
        <f t="shared" si="5"/>
        <v>st</v>
      </c>
      <c r="G161" s="51">
        <f>_xlfn.XLOOKUP(C161,Articles!A:A,Articles!D:D,0,0)</f>
        <v>5.64</v>
      </c>
      <c r="H161" s="52">
        <f t="shared" si="3"/>
        <v>28.2</v>
      </c>
      <c r="I161" s="51">
        <f>_xlfn.XLOOKUP(C161,Articles!A:A,Articles!E:E,0,0)</f>
        <v>0</v>
      </c>
      <c r="J161" s="37">
        <f t="shared" si="4"/>
        <v>0</v>
      </c>
    </row>
    <row r="162" spans="1:10">
      <c r="A162">
        <f>B162*IF(Calc!$D$105="?",0,1)</f>
        <v>44</v>
      </c>
      <c r="B162" s="36">
        <v>44</v>
      </c>
      <c r="C162" t="str">
        <f t="shared" si="1"/>
        <v>18.01.18.0001</v>
      </c>
      <c r="D162" t="str">
        <f t="shared" si="6"/>
        <v>Anchor rod - Zinc plated M12x160-5.8 - Würth W-VD-A/S</v>
      </c>
      <c r="E162" t="str">
        <f t="shared" si="5"/>
        <v>22</v>
      </c>
      <c r="F162" s="37" t="str">
        <f t="shared" si="5"/>
        <v>st</v>
      </c>
      <c r="G162" s="51">
        <f>_xlfn.XLOOKUP(C162,Articles!A:A,Articles!D:D,0,0)</f>
        <v>4.8</v>
      </c>
      <c r="H162" s="52">
        <f t="shared" si="3"/>
        <v>105.6</v>
      </c>
      <c r="I162" s="51">
        <f>_xlfn.XLOOKUP(C162,Articles!A:A,Articles!E:E,0,0)</f>
        <v>0</v>
      </c>
      <c r="J162" s="37">
        <f t="shared" si="4"/>
        <v>0</v>
      </c>
    </row>
    <row r="163" spans="1:10">
      <c r="A163">
        <f>B163*IF(Calc!$D$105="?",0,1)</f>
        <v>45</v>
      </c>
      <c r="B163" s="36">
        <v>45</v>
      </c>
      <c r="C163" t="str">
        <f t="shared" si="1"/>
        <v>18.03.03.0001</v>
      </c>
      <c r="D163" t="str">
        <f t="shared" si="6"/>
        <v>Chemical anchor - capsule M12x95 - Würth W-VPZ 12</v>
      </c>
      <c r="E163" t="str">
        <f t="shared" si="5"/>
        <v>22</v>
      </c>
      <c r="F163" s="37" t="str">
        <f t="shared" si="5"/>
        <v>st</v>
      </c>
      <c r="G163" s="51">
        <f>_xlfn.XLOOKUP(C163,Articles!A:A,Articles!D:D,0,0)</f>
        <v>4.74</v>
      </c>
      <c r="H163" s="52">
        <f t="shared" si="3"/>
        <v>104.28</v>
      </c>
      <c r="I163" s="51">
        <f>_xlfn.XLOOKUP(C163,Articles!A:A,Articles!E:E,0,0)</f>
        <v>0</v>
      </c>
      <c r="J163" s="37">
        <f t="shared" si="4"/>
        <v>0</v>
      </c>
    </row>
    <row r="164" spans="1:10">
      <c r="A164">
        <f>B164*IF(Calc!$D$105="?",0,1)</f>
        <v>46</v>
      </c>
      <c r="B164" s="36">
        <v>46</v>
      </c>
      <c r="C164" t="str">
        <f t="shared" si="1"/>
        <v>15.03.04.0006</v>
      </c>
      <c r="D164" t="str">
        <f t="shared" si="6"/>
        <v>Hexagon domed cap nut - Zinc plated M12</v>
      </c>
      <c r="E164" t="str">
        <f t="shared" si="5"/>
        <v>22</v>
      </c>
      <c r="F164" s="37" t="str">
        <f t="shared" si="5"/>
        <v>st</v>
      </c>
      <c r="G164" s="51">
        <f>_xlfn.XLOOKUP(C164,Articles!A:A,Articles!D:D,0,0)</f>
        <v>0.28999999999999998</v>
      </c>
      <c r="H164" s="52">
        <f t="shared" si="3"/>
        <v>6.38</v>
      </c>
      <c r="I164" s="51">
        <f>_xlfn.XLOOKUP(C164,Articles!A:A,Articles!E:E,0,0)</f>
        <v>0</v>
      </c>
      <c r="J164" s="37">
        <f t="shared" si="4"/>
        <v>0</v>
      </c>
    </row>
    <row r="165" spans="1:10">
      <c r="A165">
        <f>B165*IF(Calc!$D$105="?",0,1)</f>
        <v>47</v>
      </c>
      <c r="B165" s="36">
        <v>47</v>
      </c>
      <c r="C165" t="str">
        <f t="shared" si="1"/>
        <v/>
      </c>
      <c r="D165" t="str">
        <f t="shared" si="6"/>
        <v/>
      </c>
      <c r="E165" t="str">
        <f t="shared" si="5"/>
        <v/>
      </c>
      <c r="F165" s="37" t="str">
        <f t="shared" si="5"/>
        <v/>
      </c>
      <c r="G165" s="51">
        <f>_xlfn.XLOOKUP(C165,Articles!A:A,Articles!D:D,0,0)</f>
        <v>0</v>
      </c>
      <c r="H165" s="52">
        <f t="shared" si="3"/>
        <v>0</v>
      </c>
      <c r="I165" s="51">
        <f>_xlfn.XLOOKUP(C165,Articles!A:A,Articles!E:E,0,0)</f>
        <v>0</v>
      </c>
      <c r="J165" s="37">
        <f t="shared" si="4"/>
        <v>0</v>
      </c>
    </row>
    <row r="166" spans="1:10">
      <c r="A166">
        <f>B166*IF(Calc!$D$105="?",0,1)</f>
        <v>48</v>
      </c>
      <c r="B166" s="36">
        <v>48</v>
      </c>
      <c r="C166" t="str">
        <f t="shared" si="1"/>
        <v/>
      </c>
      <c r="D166" t="str">
        <f t="shared" si="6"/>
        <v/>
      </c>
      <c r="E166" t="str">
        <f t="shared" si="5"/>
        <v/>
      </c>
      <c r="F166" s="37" t="str">
        <f t="shared" si="5"/>
        <v/>
      </c>
      <c r="G166" s="51">
        <f>_xlfn.XLOOKUP(C166,Articles!A:A,Articles!D:D,0,0)</f>
        <v>0</v>
      </c>
      <c r="H166" s="52">
        <f t="shared" si="3"/>
        <v>0</v>
      </c>
      <c r="I166" s="51">
        <f>_xlfn.XLOOKUP(C166,Articles!A:A,Articles!E:E,0,0)</f>
        <v>0</v>
      </c>
      <c r="J166" s="37">
        <f t="shared" si="4"/>
        <v>0</v>
      </c>
    </row>
    <row r="167" spans="1:10">
      <c r="A167">
        <f>B167*IF(Calc!$D$105="?",0,1)</f>
        <v>49</v>
      </c>
      <c r="B167" s="36">
        <v>49</v>
      </c>
      <c r="C167" t="str">
        <f t="shared" si="1"/>
        <v/>
      </c>
      <c r="D167" t="str">
        <f t="shared" si="6"/>
        <v/>
      </c>
      <c r="E167" t="str">
        <f t="shared" si="5"/>
        <v/>
      </c>
      <c r="F167" s="37" t="str">
        <f t="shared" si="5"/>
        <v/>
      </c>
      <c r="G167" s="51">
        <f>_xlfn.XLOOKUP(C167,Articles!A:A,Articles!D:D,0,0)</f>
        <v>0</v>
      </c>
      <c r="H167" s="52">
        <f t="shared" si="3"/>
        <v>0</v>
      </c>
      <c r="I167" s="51">
        <f>_xlfn.XLOOKUP(C167,Articles!A:A,Articles!E:E,0,0)</f>
        <v>0</v>
      </c>
      <c r="J167" s="37">
        <f t="shared" si="4"/>
        <v>0</v>
      </c>
    </row>
    <row r="168" spans="1:10">
      <c r="A168">
        <f>B168*IF(Calc!$D$105="?",0,1)</f>
        <v>50</v>
      </c>
      <c r="B168" s="36">
        <v>50</v>
      </c>
      <c r="C168" t="str">
        <f t="shared" si="1"/>
        <v/>
      </c>
      <c r="D168" t="str">
        <f t="shared" si="6"/>
        <v/>
      </c>
      <c r="E168" t="str">
        <f t="shared" si="5"/>
        <v/>
      </c>
      <c r="F168" s="37" t="str">
        <f t="shared" si="5"/>
        <v/>
      </c>
      <c r="G168" s="51">
        <f>_xlfn.XLOOKUP(C168,Articles!A:A,Articles!D:D,0,0)</f>
        <v>0</v>
      </c>
      <c r="H168" s="52">
        <f t="shared" si="3"/>
        <v>0</v>
      </c>
      <c r="I168" s="51">
        <f>_xlfn.XLOOKUP(C168,Articles!A:A,Articles!E:E,0,0)</f>
        <v>0</v>
      </c>
      <c r="J168" s="37">
        <f t="shared" si="4"/>
        <v>0</v>
      </c>
    </row>
    <row r="169" spans="1:10">
      <c r="A169">
        <f>B169*IF(Calc!$D$105="?",0,1)</f>
        <v>51</v>
      </c>
      <c r="B169" s="36">
        <v>51</v>
      </c>
      <c r="C169" t="str">
        <f t="shared" si="1"/>
        <v/>
      </c>
      <c r="D169" t="str">
        <f t="shared" si="6"/>
        <v/>
      </c>
      <c r="E169" t="str">
        <f t="shared" si="5"/>
        <v/>
      </c>
      <c r="F169" s="37" t="str">
        <f t="shared" si="5"/>
        <v/>
      </c>
      <c r="G169" s="51">
        <f>_xlfn.XLOOKUP(C169,Articles!A:A,Articles!D:D,0,0)</f>
        <v>0</v>
      </c>
      <c r="H169" s="52">
        <f t="shared" si="3"/>
        <v>0</v>
      </c>
      <c r="I169" s="51">
        <f>_xlfn.XLOOKUP(C169,Articles!A:A,Articles!E:E,0,0)</f>
        <v>0</v>
      </c>
      <c r="J169" s="37">
        <f t="shared" si="4"/>
        <v>0</v>
      </c>
    </row>
    <row r="170" spans="1:10">
      <c r="A170">
        <f>B170*IF(Calc!$D$105="?",0,1)</f>
        <v>52</v>
      </c>
      <c r="B170" s="36">
        <v>52</v>
      </c>
      <c r="C170" t="str">
        <f t="shared" si="1"/>
        <v/>
      </c>
      <c r="D170" t="str">
        <f t="shared" si="6"/>
        <v/>
      </c>
      <c r="E170" t="str">
        <f t="shared" si="5"/>
        <v/>
      </c>
      <c r="F170" s="37" t="str">
        <f t="shared" si="5"/>
        <v/>
      </c>
      <c r="G170" s="51">
        <f>_xlfn.XLOOKUP(C170,Articles!A:A,Articles!D:D,0,0)</f>
        <v>0</v>
      </c>
      <c r="H170" s="52">
        <f t="shared" si="3"/>
        <v>0</v>
      </c>
      <c r="I170" s="51">
        <f>_xlfn.XLOOKUP(C170,Articles!A:A,Articles!E:E,0,0)</f>
        <v>0</v>
      </c>
      <c r="J170" s="37">
        <f t="shared" si="4"/>
        <v>0</v>
      </c>
    </row>
    <row r="171" spans="1:10">
      <c r="A171">
        <f>B171*IF(Calc!$D$105="?",0,1)</f>
        <v>53</v>
      </c>
      <c r="B171" s="36">
        <v>53</v>
      </c>
      <c r="C171" t="str">
        <f t="shared" si="1"/>
        <v/>
      </c>
      <c r="D171" t="str">
        <f t="shared" si="6"/>
        <v/>
      </c>
      <c r="E171" t="str">
        <f t="shared" si="5"/>
        <v/>
      </c>
      <c r="F171" s="37" t="str">
        <f t="shared" si="5"/>
        <v/>
      </c>
      <c r="G171" s="51">
        <f>_xlfn.XLOOKUP(C171,Articles!A:A,Articles!D:D,0,0)</f>
        <v>0</v>
      </c>
      <c r="H171" s="52">
        <f t="shared" si="3"/>
        <v>0</v>
      </c>
      <c r="I171" s="51">
        <f>_xlfn.XLOOKUP(C171,Articles!A:A,Articles!E:E,0,0)</f>
        <v>0</v>
      </c>
      <c r="J171" s="37">
        <f t="shared" si="4"/>
        <v>0</v>
      </c>
    </row>
    <row r="172" spans="1:10">
      <c r="A172">
        <f>B172*IF(Calc!$D$105="?",0,1)</f>
        <v>54</v>
      </c>
      <c r="B172" s="36">
        <v>54</v>
      </c>
      <c r="C172" t="str">
        <f t="shared" si="1"/>
        <v/>
      </c>
      <c r="D172" t="str">
        <f t="shared" si="6"/>
        <v/>
      </c>
      <c r="E172" t="str">
        <f t="shared" si="5"/>
        <v/>
      </c>
      <c r="F172" s="37" t="str">
        <f t="shared" si="5"/>
        <v/>
      </c>
      <c r="G172" s="51">
        <f>_xlfn.XLOOKUP(C172,Articles!A:A,Articles!D:D,0,0)</f>
        <v>0</v>
      </c>
      <c r="H172" s="52">
        <f t="shared" si="3"/>
        <v>0</v>
      </c>
      <c r="I172" s="51">
        <f>_xlfn.XLOOKUP(C172,Articles!A:A,Articles!E:E,0,0)</f>
        <v>0</v>
      </c>
      <c r="J172" s="37">
        <f t="shared" si="4"/>
        <v>0</v>
      </c>
    </row>
    <row r="173" spans="1:10">
      <c r="A173">
        <f>B173*IF(Calc!$D$105="?",0,1)</f>
        <v>55</v>
      </c>
      <c r="B173" s="36">
        <v>55</v>
      </c>
      <c r="C173" t="str">
        <f t="shared" si="1"/>
        <v/>
      </c>
      <c r="D173" t="str">
        <f t="shared" si="6"/>
        <v/>
      </c>
      <c r="E173" t="str">
        <f t="shared" si="5"/>
        <v/>
      </c>
      <c r="F173" s="37" t="str">
        <f t="shared" si="5"/>
        <v/>
      </c>
      <c r="G173" s="51">
        <f>_xlfn.XLOOKUP(C173,Articles!A:A,Articles!D:D,0,0)</f>
        <v>0</v>
      </c>
      <c r="H173" s="52">
        <f t="shared" si="3"/>
        <v>0</v>
      </c>
      <c r="I173" s="51">
        <f>_xlfn.XLOOKUP(C173,Articles!A:A,Articles!E:E,0,0)</f>
        <v>0</v>
      </c>
      <c r="J173" s="37">
        <f t="shared" si="4"/>
        <v>0</v>
      </c>
    </row>
    <row r="174" spans="1:10">
      <c r="A174">
        <f>B174*IF(Calc!$D$105="?",0,1)</f>
        <v>56</v>
      </c>
      <c r="B174" s="36">
        <v>56</v>
      </c>
      <c r="C174" t="str">
        <f t="shared" si="1"/>
        <v/>
      </c>
      <c r="D174" t="str">
        <f t="shared" si="6"/>
        <v/>
      </c>
      <c r="E174" t="str">
        <f t="shared" si="5"/>
        <v/>
      </c>
      <c r="F174" s="37" t="str">
        <f t="shared" si="5"/>
        <v/>
      </c>
      <c r="G174" s="51">
        <f>_xlfn.XLOOKUP(C174,Articles!A:A,Articles!D:D,0,0)</f>
        <v>0</v>
      </c>
      <c r="H174" s="52">
        <f t="shared" si="3"/>
        <v>0</v>
      </c>
      <c r="I174" s="51">
        <f>_xlfn.XLOOKUP(C174,Articles!A:A,Articles!E:E,0,0)</f>
        <v>0</v>
      </c>
      <c r="J174" s="37">
        <f t="shared" si="4"/>
        <v>0</v>
      </c>
    </row>
    <row r="175" spans="1:10">
      <c r="A175">
        <f>B175*IF(Calc!$D$105="?",0,1)</f>
        <v>57</v>
      </c>
      <c r="B175" s="36">
        <v>57</v>
      </c>
      <c r="C175" t="str">
        <f t="shared" si="1"/>
        <v/>
      </c>
      <c r="D175" t="str">
        <f t="shared" si="6"/>
        <v/>
      </c>
      <c r="E175" t="str">
        <f t="shared" si="5"/>
        <v/>
      </c>
      <c r="F175" s="37" t="str">
        <f t="shared" si="5"/>
        <v/>
      </c>
      <c r="G175" s="51">
        <f>_xlfn.XLOOKUP(C175,Articles!A:A,Articles!D:D,0,0)</f>
        <v>0</v>
      </c>
      <c r="H175" s="52">
        <f t="shared" si="3"/>
        <v>0</v>
      </c>
      <c r="I175" s="51">
        <f>_xlfn.XLOOKUP(C175,Articles!A:A,Articles!E:E,0,0)</f>
        <v>0</v>
      </c>
      <c r="J175" s="37">
        <f t="shared" si="4"/>
        <v>0</v>
      </c>
    </row>
    <row r="176" spans="1:10">
      <c r="A176">
        <f>B176*IF(Calc!$D$105="?",0,1)</f>
        <v>58</v>
      </c>
      <c r="B176" s="36">
        <v>58</v>
      </c>
      <c r="C176" t="str">
        <f t="shared" si="1"/>
        <v/>
      </c>
      <c r="D176" t="str">
        <f t="shared" si="6"/>
        <v/>
      </c>
      <c r="E176" t="str">
        <f t="shared" si="5"/>
        <v/>
      </c>
      <c r="F176" s="37" t="str">
        <f t="shared" si="5"/>
        <v/>
      </c>
      <c r="G176" s="51">
        <f>_xlfn.XLOOKUP(C176,Articles!A:A,Articles!D:D,0,0)</f>
        <v>0</v>
      </c>
      <c r="H176" s="52">
        <f t="shared" si="3"/>
        <v>0</v>
      </c>
      <c r="I176" s="51">
        <f>_xlfn.XLOOKUP(C176,Articles!A:A,Articles!E:E,0,0)</f>
        <v>0</v>
      </c>
      <c r="J176" s="37">
        <f t="shared" si="4"/>
        <v>0</v>
      </c>
    </row>
    <row r="177" spans="1:10">
      <c r="A177">
        <f>B177*IF(Calc!$D$105="?",0,1)</f>
        <v>59</v>
      </c>
      <c r="B177" s="36">
        <v>59</v>
      </c>
      <c r="C177" t="str">
        <f t="shared" si="1"/>
        <v/>
      </c>
      <c r="D177" t="str">
        <f t="shared" si="6"/>
        <v/>
      </c>
      <c r="E177" t="str">
        <f t="shared" si="5"/>
        <v/>
      </c>
      <c r="F177" s="37" t="str">
        <f t="shared" si="5"/>
        <v/>
      </c>
      <c r="G177" s="51">
        <f>_xlfn.XLOOKUP(C177,Articles!A:A,Articles!D:D,0,0)</f>
        <v>0</v>
      </c>
      <c r="H177" s="52">
        <f t="shared" si="3"/>
        <v>0</v>
      </c>
      <c r="I177" s="51">
        <f>_xlfn.XLOOKUP(C177,Articles!A:A,Articles!E:E,0,0)</f>
        <v>0</v>
      </c>
      <c r="J177" s="37">
        <f t="shared" si="4"/>
        <v>0</v>
      </c>
    </row>
    <row r="178" spans="1:10">
      <c r="A178">
        <f>B178*IF(Calc!$D$105="?",0,1)</f>
        <v>60</v>
      </c>
      <c r="B178" s="36">
        <v>60</v>
      </c>
      <c r="C178" t="str">
        <f t="shared" si="1"/>
        <v/>
      </c>
      <c r="D178" t="str">
        <f t="shared" si="6"/>
        <v/>
      </c>
      <c r="E178" t="str">
        <f t="shared" si="5"/>
        <v/>
      </c>
      <c r="F178" s="37" t="str">
        <f t="shared" si="5"/>
        <v/>
      </c>
      <c r="G178" s="51">
        <f>_xlfn.XLOOKUP(C178,Articles!A:A,Articles!D:D,0,0)</f>
        <v>0</v>
      </c>
      <c r="H178" s="52">
        <f t="shared" si="3"/>
        <v>0</v>
      </c>
      <c r="I178" s="51">
        <f>_xlfn.XLOOKUP(C178,Articles!A:A,Articles!E:E,0,0)</f>
        <v>0</v>
      </c>
      <c r="J178" s="37">
        <f t="shared" si="4"/>
        <v>0</v>
      </c>
    </row>
    <row r="179" spans="1:10">
      <c r="A179">
        <f>B179*IF(Calc!$D$105="?",0,1)</f>
        <v>61</v>
      </c>
      <c r="B179" s="36">
        <v>61</v>
      </c>
      <c r="C179" t="str">
        <f t="shared" si="1"/>
        <v/>
      </c>
      <c r="D179" t="str">
        <f t="shared" si="6"/>
        <v/>
      </c>
      <c r="E179" t="str">
        <f t="shared" si="5"/>
        <v/>
      </c>
      <c r="F179" s="37" t="str">
        <f t="shared" si="5"/>
        <v/>
      </c>
      <c r="G179" s="51">
        <f>_xlfn.XLOOKUP(C179,Articles!A:A,Articles!D:D,0,0)</f>
        <v>0</v>
      </c>
      <c r="H179" s="52">
        <f t="shared" si="3"/>
        <v>0</v>
      </c>
      <c r="I179" s="51">
        <f>_xlfn.XLOOKUP(C179,Articles!A:A,Articles!E:E,0,0)</f>
        <v>0</v>
      </c>
      <c r="J179" s="37">
        <f t="shared" si="4"/>
        <v>0</v>
      </c>
    </row>
    <row r="180" spans="1:10">
      <c r="A180">
        <f>B180*IF(Calc!$D$105="?",0,1)</f>
        <v>62</v>
      </c>
      <c r="B180" s="36">
        <v>62</v>
      </c>
      <c r="C180" t="str">
        <f t="shared" si="1"/>
        <v/>
      </c>
      <c r="D180" t="str">
        <f t="shared" si="6"/>
        <v/>
      </c>
      <c r="E180" t="str">
        <f t="shared" si="5"/>
        <v/>
      </c>
      <c r="F180" s="37" t="str">
        <f t="shared" si="5"/>
        <v/>
      </c>
      <c r="G180" s="51">
        <f>_xlfn.XLOOKUP(C180,Articles!A:A,Articles!D:D,0,0)</f>
        <v>0</v>
      </c>
      <c r="H180" s="52">
        <f t="shared" si="3"/>
        <v>0</v>
      </c>
      <c r="I180" s="51">
        <f>_xlfn.XLOOKUP(C180,Articles!A:A,Articles!E:E,0,0)</f>
        <v>0</v>
      </c>
      <c r="J180" s="37">
        <f t="shared" si="4"/>
        <v>0</v>
      </c>
    </row>
    <row r="181" spans="1:10">
      <c r="A181">
        <f>B181*IF(Calc!$D$105="?",0,1)</f>
        <v>63</v>
      </c>
      <c r="B181" s="36">
        <v>63</v>
      </c>
      <c r="C181" t="str">
        <f t="shared" si="1"/>
        <v/>
      </c>
      <c r="D181" t="str">
        <f t="shared" si="6"/>
        <v/>
      </c>
      <c r="E181" t="str">
        <f t="shared" si="5"/>
        <v/>
      </c>
      <c r="F181" s="37" t="str">
        <f t="shared" si="5"/>
        <v/>
      </c>
      <c r="G181" s="51">
        <f>_xlfn.XLOOKUP(C181,Articles!A:A,Articles!D:D,0,0)</f>
        <v>0</v>
      </c>
      <c r="H181" s="52">
        <f t="shared" si="3"/>
        <v>0</v>
      </c>
      <c r="I181" s="51">
        <f>_xlfn.XLOOKUP(C181,Articles!A:A,Articles!E:E,0,0)</f>
        <v>0</v>
      </c>
      <c r="J181" s="37">
        <f t="shared" si="4"/>
        <v>0</v>
      </c>
    </row>
    <row r="182" spans="1:10">
      <c r="A182">
        <f>B182*IF(Calc!$D$105="?",0,1)</f>
        <v>64</v>
      </c>
      <c r="B182" s="36">
        <v>64</v>
      </c>
      <c r="C182" t="str">
        <f t="shared" si="1"/>
        <v/>
      </c>
      <c r="D182" t="str">
        <f t="shared" si="6"/>
        <v/>
      </c>
      <c r="E182" t="str">
        <f t="shared" si="5"/>
        <v/>
      </c>
      <c r="F182" s="37" t="str">
        <f t="shared" si="5"/>
        <v/>
      </c>
      <c r="G182" s="51">
        <f>_xlfn.XLOOKUP(C182,Articles!A:A,Articles!D:D,0,0)</f>
        <v>0</v>
      </c>
      <c r="H182" s="52">
        <f t="shared" si="3"/>
        <v>0</v>
      </c>
      <c r="I182" s="51">
        <f>_xlfn.XLOOKUP(C182,Articles!A:A,Articles!E:E,0,0)</f>
        <v>0</v>
      </c>
      <c r="J182" s="37">
        <f t="shared" si="4"/>
        <v>0</v>
      </c>
    </row>
    <row r="183" spans="1:10">
      <c r="A183">
        <f>B183*IF(Calc!$D$105="?",0,1)</f>
        <v>65</v>
      </c>
      <c r="B183" s="36">
        <v>65</v>
      </c>
      <c r="C183" t="str">
        <f t="shared" si="1"/>
        <v/>
      </c>
      <c r="D183" t="str">
        <f t="shared" si="6"/>
        <v/>
      </c>
      <c r="E183" t="str">
        <f t="shared" si="5"/>
        <v/>
      </c>
      <c r="F183" s="37" t="str">
        <f t="shared" si="5"/>
        <v/>
      </c>
      <c r="G183" s="51">
        <f>_xlfn.XLOOKUP(C183,Articles!A:A,Articles!D:D,0,0)</f>
        <v>0</v>
      </c>
      <c r="H183" s="52">
        <f t="shared" si="3"/>
        <v>0</v>
      </c>
      <c r="I183" s="51">
        <f>_xlfn.XLOOKUP(C183,Articles!A:A,Articles!E:E,0,0)</f>
        <v>0</v>
      </c>
      <c r="J183" s="37">
        <f t="shared" si="4"/>
        <v>0</v>
      </c>
    </row>
    <row r="184" spans="1:10">
      <c r="A184">
        <f>B184*IF(Calc!$D$105="?",0,1)</f>
        <v>66</v>
      </c>
      <c r="B184" s="36">
        <v>66</v>
      </c>
      <c r="C184" t="str">
        <f t="shared" si="1"/>
        <v/>
      </c>
      <c r="D184" t="str">
        <f t="shared" si="6"/>
        <v/>
      </c>
      <c r="E184" t="str">
        <f t="shared" si="5"/>
        <v/>
      </c>
      <c r="F184" s="37" t="str">
        <f t="shared" si="5"/>
        <v/>
      </c>
      <c r="G184" s="51">
        <f>_xlfn.XLOOKUP(C184,Articles!A:A,Articles!D:D,0,0)</f>
        <v>0</v>
      </c>
      <c r="H184" s="52">
        <f t="shared" ref="H184:H235" si="7">IF(E184&lt;&gt;"",E184*G184,0)</f>
        <v>0</v>
      </c>
      <c r="I184" s="51">
        <f>_xlfn.XLOOKUP(C184,Articles!A:A,Articles!E:E,0,0)</f>
        <v>0</v>
      </c>
      <c r="J184" s="37">
        <f t="shared" ref="J184:J235" si="8">IF(E184&lt;&gt;"",I184*E184,0)</f>
        <v>0</v>
      </c>
    </row>
    <row r="185" spans="1:10">
      <c r="A185">
        <f>B185*IF(Calc!$D$105="?",0,1)</f>
        <v>67</v>
      </c>
      <c r="B185" s="36">
        <v>67</v>
      </c>
      <c r="C185" t="str">
        <f t="shared" si="1"/>
        <v/>
      </c>
      <c r="D185" t="str">
        <f t="shared" si="6"/>
        <v/>
      </c>
      <c r="E185" t="str">
        <f t="shared" si="5"/>
        <v/>
      </c>
      <c r="F185" s="37" t="str">
        <f t="shared" si="5"/>
        <v/>
      </c>
      <c r="G185" s="51">
        <f>_xlfn.XLOOKUP(C185,Articles!A:A,Articles!D:D,0,0)</f>
        <v>0</v>
      </c>
      <c r="H185" s="52">
        <f t="shared" si="7"/>
        <v>0</v>
      </c>
      <c r="I185" s="51">
        <f>_xlfn.XLOOKUP(C185,Articles!A:A,Articles!E:E,0,0)</f>
        <v>0</v>
      </c>
      <c r="J185" s="37">
        <f t="shared" si="8"/>
        <v>0</v>
      </c>
    </row>
    <row r="186" spans="1:10">
      <c r="A186">
        <f>B186*IF(Calc!$D$105="?",0,1)</f>
        <v>68</v>
      </c>
      <c r="B186" s="36">
        <v>68</v>
      </c>
      <c r="C186" t="str">
        <f t="shared" si="1"/>
        <v/>
      </c>
      <c r="D186" t="str">
        <f t="shared" si="6"/>
        <v/>
      </c>
      <c r="E186" t="str">
        <f t="shared" si="5"/>
        <v/>
      </c>
      <c r="F186" s="37" t="str">
        <f t="shared" si="5"/>
        <v/>
      </c>
      <c r="G186" s="51">
        <f>_xlfn.XLOOKUP(C186,Articles!A:A,Articles!D:D,0,0)</f>
        <v>0</v>
      </c>
      <c r="H186" s="52">
        <f t="shared" si="7"/>
        <v>0</v>
      </c>
      <c r="I186" s="51">
        <f>_xlfn.XLOOKUP(C186,Articles!A:A,Articles!E:E,0,0)</f>
        <v>0</v>
      </c>
      <c r="J186" s="37">
        <f t="shared" si="8"/>
        <v>0</v>
      </c>
    </row>
    <row r="187" spans="1:10">
      <c r="A187">
        <f>B187*IF(Calc!$D$105="?",0,1)</f>
        <v>69</v>
      </c>
      <c r="B187" s="36">
        <v>69</v>
      </c>
      <c r="C187" t="str">
        <f t="shared" si="1"/>
        <v/>
      </c>
      <c r="D187" t="str">
        <f t="shared" si="6"/>
        <v/>
      </c>
      <c r="E187" t="str">
        <f t="shared" si="5"/>
        <v/>
      </c>
      <c r="F187" s="37" t="str">
        <f t="shared" si="5"/>
        <v/>
      </c>
      <c r="G187" s="51">
        <f>_xlfn.XLOOKUP(C187,Articles!A:A,Articles!D:D,0,0)</f>
        <v>0</v>
      </c>
      <c r="H187" s="52">
        <f t="shared" si="7"/>
        <v>0</v>
      </c>
      <c r="I187" s="51">
        <f>_xlfn.XLOOKUP(C187,Articles!A:A,Articles!E:E,0,0)</f>
        <v>0</v>
      </c>
      <c r="J187" s="37">
        <f t="shared" si="8"/>
        <v>0</v>
      </c>
    </row>
    <row r="188" spans="1:10">
      <c r="A188">
        <f>B188*IF(Calc!$D$105="?",0,1)</f>
        <v>70</v>
      </c>
      <c r="B188" s="36">
        <v>70</v>
      </c>
      <c r="C188" t="str">
        <f t="shared" si="1"/>
        <v/>
      </c>
      <c r="D188" t="str">
        <f t="shared" si="6"/>
        <v/>
      </c>
      <c r="E188" t="str">
        <f t="shared" si="5"/>
        <v/>
      </c>
      <c r="F188" s="37" t="str">
        <f t="shared" si="5"/>
        <v/>
      </c>
      <c r="G188" s="51">
        <f>_xlfn.XLOOKUP(C188,Articles!A:A,Articles!D:D,0,0)</f>
        <v>0</v>
      </c>
      <c r="H188" s="52">
        <f t="shared" si="7"/>
        <v>0</v>
      </c>
      <c r="I188" s="51">
        <f>_xlfn.XLOOKUP(C188,Articles!A:A,Articles!E:E,0,0)</f>
        <v>0</v>
      </c>
      <c r="J188" s="37">
        <f t="shared" si="8"/>
        <v>0</v>
      </c>
    </row>
    <row r="189" spans="1:10">
      <c r="A189">
        <f>B189*IF(Calc!$D$105="?",0,1)</f>
        <v>71</v>
      </c>
      <c r="B189" s="36">
        <v>71</v>
      </c>
      <c r="C189" t="str">
        <f t="shared" si="1"/>
        <v/>
      </c>
      <c r="D189" t="str">
        <f t="shared" si="6"/>
        <v/>
      </c>
      <c r="E189" t="str">
        <f t="shared" si="5"/>
        <v/>
      </c>
      <c r="F189" s="37" t="str">
        <f t="shared" si="5"/>
        <v/>
      </c>
      <c r="G189" s="51">
        <f>_xlfn.XLOOKUP(C189,Articles!A:A,Articles!D:D,0,0)</f>
        <v>0</v>
      </c>
      <c r="H189" s="52">
        <f t="shared" si="7"/>
        <v>0</v>
      </c>
      <c r="I189" s="51">
        <f>_xlfn.XLOOKUP(C189,Articles!A:A,Articles!E:E,0,0)</f>
        <v>0</v>
      </c>
      <c r="J189" s="37">
        <f t="shared" si="8"/>
        <v>0</v>
      </c>
    </row>
    <row r="190" spans="1:10">
      <c r="A190">
        <f>B190*IF(Calc!$D$105="?",0,1)</f>
        <v>72</v>
      </c>
      <c r="B190" s="36">
        <v>72</v>
      </c>
      <c r="C190" t="str">
        <f t="shared" si="1"/>
        <v/>
      </c>
      <c r="D190" t="str">
        <f t="shared" si="6"/>
        <v/>
      </c>
      <c r="E190" t="str">
        <f t="shared" si="5"/>
        <v/>
      </c>
      <c r="F190" s="37" t="str">
        <f t="shared" si="5"/>
        <v/>
      </c>
      <c r="G190" s="51">
        <f>_xlfn.XLOOKUP(C190,Articles!A:A,Articles!D:D,0,0)</f>
        <v>0</v>
      </c>
      <c r="H190" s="52">
        <f t="shared" si="7"/>
        <v>0</v>
      </c>
      <c r="I190" s="51">
        <f>_xlfn.XLOOKUP(C190,Articles!A:A,Articles!E:E,0,0)</f>
        <v>0</v>
      </c>
      <c r="J190" s="37">
        <f t="shared" si="8"/>
        <v>0</v>
      </c>
    </row>
    <row r="191" spans="1:10">
      <c r="A191">
        <f>B191*IF(Calc!$D$105="?",0,1)</f>
        <v>73</v>
      </c>
      <c r="B191" s="36">
        <v>73</v>
      </c>
      <c r="C191" t="str">
        <f t="shared" si="1"/>
        <v/>
      </c>
      <c r="D191" t="str">
        <f t="shared" si="6"/>
        <v/>
      </c>
      <c r="E191" t="str">
        <f t="shared" si="5"/>
        <v/>
      </c>
      <c r="F191" s="37" t="str">
        <f t="shared" si="5"/>
        <v/>
      </c>
      <c r="G191" s="51">
        <f>_xlfn.XLOOKUP(C191,Articles!A:A,Articles!D:D,0,0)</f>
        <v>0</v>
      </c>
      <c r="H191" s="52">
        <f t="shared" si="7"/>
        <v>0</v>
      </c>
      <c r="I191" s="51">
        <f>_xlfn.XLOOKUP(C191,Articles!A:A,Articles!E:E,0,0)</f>
        <v>0</v>
      </c>
      <c r="J191" s="37">
        <f t="shared" si="8"/>
        <v>0</v>
      </c>
    </row>
    <row r="192" spans="1:10">
      <c r="A192">
        <f>B192*IF(Calc!$D$105="?",0,1)</f>
        <v>74</v>
      </c>
      <c r="B192" s="36">
        <v>74</v>
      </c>
      <c r="C192" t="str">
        <f t="shared" si="1"/>
        <v/>
      </c>
      <c r="D192" t="str">
        <f t="shared" si="6"/>
        <v/>
      </c>
      <c r="E192" t="str">
        <f t="shared" si="5"/>
        <v/>
      </c>
      <c r="F192" s="37" t="str">
        <f t="shared" si="5"/>
        <v/>
      </c>
      <c r="G192" s="51">
        <f>_xlfn.XLOOKUP(C192,Articles!A:A,Articles!D:D,0,0)</f>
        <v>0</v>
      </c>
      <c r="H192" s="52">
        <f t="shared" si="7"/>
        <v>0</v>
      </c>
      <c r="I192" s="51">
        <f>_xlfn.XLOOKUP(C192,Articles!A:A,Articles!E:E,0,0)</f>
        <v>0</v>
      </c>
      <c r="J192" s="37">
        <f t="shared" si="8"/>
        <v>0</v>
      </c>
    </row>
    <row r="193" spans="1:10">
      <c r="A193">
        <f>B193*IF(Calc!$D$105="?",0,1)</f>
        <v>75</v>
      </c>
      <c r="B193" s="36">
        <v>75</v>
      </c>
      <c r="C193" t="str">
        <f t="shared" si="1"/>
        <v/>
      </c>
      <c r="D193" t="str">
        <f t="shared" si="6"/>
        <v/>
      </c>
      <c r="E193" t="str">
        <f t="shared" si="5"/>
        <v/>
      </c>
      <c r="F193" s="37" t="str">
        <f t="shared" si="5"/>
        <v/>
      </c>
      <c r="G193" s="51">
        <f>_xlfn.XLOOKUP(C193,Articles!A:A,Articles!D:D,0,0)</f>
        <v>0</v>
      </c>
      <c r="H193" s="52">
        <f t="shared" si="7"/>
        <v>0</v>
      </c>
      <c r="I193" s="51">
        <f>_xlfn.XLOOKUP(C193,Articles!A:A,Articles!E:E,0,0)</f>
        <v>0</v>
      </c>
      <c r="J193" s="37">
        <f t="shared" si="8"/>
        <v>0</v>
      </c>
    </row>
    <row r="194" spans="1:10">
      <c r="A194">
        <f>B194*IF(Calc!$D$105="?",0,1)</f>
        <v>76</v>
      </c>
      <c r="B194" s="36">
        <v>76</v>
      </c>
      <c r="C194" t="str">
        <f t="shared" si="1"/>
        <v/>
      </c>
      <c r="D194" t="str">
        <f t="shared" si="6"/>
        <v/>
      </c>
      <c r="E194" t="str">
        <f t="shared" si="5"/>
        <v/>
      </c>
      <c r="F194" s="37" t="str">
        <f t="shared" si="5"/>
        <v/>
      </c>
      <c r="G194" s="51">
        <f>_xlfn.XLOOKUP(C194,Articles!A:A,Articles!D:D,0,0)</f>
        <v>0</v>
      </c>
      <c r="H194" s="52">
        <f t="shared" si="7"/>
        <v>0</v>
      </c>
      <c r="I194" s="51">
        <f>_xlfn.XLOOKUP(C194,Articles!A:A,Articles!E:E,0,0)</f>
        <v>0</v>
      </c>
      <c r="J194" s="37">
        <f t="shared" si="8"/>
        <v>0</v>
      </c>
    </row>
    <row r="195" spans="1:10">
      <c r="A195">
        <f>B195*IF(Calc!$D$105="?",0,1)</f>
        <v>77</v>
      </c>
      <c r="B195" s="36">
        <v>77</v>
      </c>
      <c r="C195" t="str">
        <f t="shared" si="1"/>
        <v/>
      </c>
      <c r="D195" t="str">
        <f t="shared" si="6"/>
        <v/>
      </c>
      <c r="E195" t="str">
        <f t="shared" si="5"/>
        <v/>
      </c>
      <c r="F195" s="37" t="str">
        <f t="shared" si="5"/>
        <v/>
      </c>
      <c r="G195" s="51">
        <f>_xlfn.XLOOKUP(C195,Articles!A:A,Articles!D:D,0,0)</f>
        <v>0</v>
      </c>
      <c r="H195" s="52">
        <f t="shared" si="7"/>
        <v>0</v>
      </c>
      <c r="I195" s="51">
        <f>_xlfn.XLOOKUP(C195,Articles!A:A,Articles!E:E,0,0)</f>
        <v>0</v>
      </c>
      <c r="J195" s="37">
        <f t="shared" si="8"/>
        <v>0</v>
      </c>
    </row>
    <row r="196" spans="1:10">
      <c r="A196">
        <f>B196*IF(Calc!$D$105="?",0,1)</f>
        <v>78</v>
      </c>
      <c r="B196" s="36">
        <v>78</v>
      </c>
      <c r="C196" t="str">
        <f t="shared" si="1"/>
        <v/>
      </c>
      <c r="D196" t="str">
        <f t="shared" si="6"/>
        <v/>
      </c>
      <c r="E196" t="str">
        <f t="shared" si="5"/>
        <v/>
      </c>
      <c r="F196" s="37" t="str">
        <f t="shared" si="5"/>
        <v/>
      </c>
      <c r="G196" s="51">
        <f>_xlfn.XLOOKUP(C196,Articles!A:A,Articles!D:D,0,0)</f>
        <v>0</v>
      </c>
      <c r="H196" s="52">
        <f t="shared" si="7"/>
        <v>0</v>
      </c>
      <c r="I196" s="51">
        <f>_xlfn.XLOOKUP(C196,Articles!A:A,Articles!E:E,0,0)</f>
        <v>0</v>
      </c>
      <c r="J196" s="37">
        <f t="shared" si="8"/>
        <v>0</v>
      </c>
    </row>
    <row r="197" spans="1:10">
      <c r="A197">
        <f>B197*IF(Calc!$D$105="?",0,1)</f>
        <v>79</v>
      </c>
      <c r="B197" s="36">
        <v>79</v>
      </c>
      <c r="C197" t="str">
        <f t="shared" si="1"/>
        <v/>
      </c>
      <c r="D197" t="str">
        <f t="shared" si="6"/>
        <v/>
      </c>
      <c r="E197" t="str">
        <f t="shared" si="5"/>
        <v/>
      </c>
      <c r="F197" s="37" t="str">
        <f t="shared" si="5"/>
        <v/>
      </c>
      <c r="G197" s="51">
        <f>_xlfn.XLOOKUP(C197,Articles!A:A,Articles!D:D,0,0)</f>
        <v>0</v>
      </c>
      <c r="H197" s="52">
        <f t="shared" si="7"/>
        <v>0</v>
      </c>
      <c r="I197" s="51">
        <f>_xlfn.XLOOKUP(C197,Articles!A:A,Articles!E:E,0,0)</f>
        <v>0</v>
      </c>
      <c r="J197" s="37">
        <f t="shared" si="8"/>
        <v>0</v>
      </c>
    </row>
    <row r="198" spans="1:10">
      <c r="A198">
        <f>B198*IF(Calc!$D$105="?",0,1)</f>
        <v>80</v>
      </c>
      <c r="B198" s="36">
        <v>80</v>
      </c>
      <c r="C198" t="str">
        <f t="shared" si="1"/>
        <v/>
      </c>
      <c r="D198" t="str">
        <f t="shared" si="6"/>
        <v/>
      </c>
      <c r="E198" t="str">
        <f t="shared" si="5"/>
        <v/>
      </c>
      <c r="F198" s="37" t="str">
        <f t="shared" si="5"/>
        <v/>
      </c>
      <c r="G198" s="51">
        <f>_xlfn.XLOOKUP(C198,Articles!A:A,Articles!D:D,0,0)</f>
        <v>0</v>
      </c>
      <c r="H198" s="52">
        <f t="shared" si="7"/>
        <v>0</v>
      </c>
      <c r="I198" s="51">
        <f>_xlfn.XLOOKUP(C198,Articles!A:A,Articles!E:E,0,0)</f>
        <v>0</v>
      </c>
      <c r="J198" s="37">
        <f t="shared" si="8"/>
        <v>0</v>
      </c>
    </row>
    <row r="199" spans="1:10">
      <c r="A199">
        <f>B199*IF(Calc!$D$105="?",0,1)</f>
        <v>81</v>
      </c>
      <c r="B199" s="36">
        <v>81</v>
      </c>
      <c r="C199" t="str">
        <f t="shared" si="1"/>
        <v/>
      </c>
      <c r="D199" t="str">
        <f t="shared" si="6"/>
        <v/>
      </c>
      <c r="E199" t="str">
        <f t="shared" si="6"/>
        <v/>
      </c>
      <c r="F199" s="37" t="str">
        <f t="shared" si="6"/>
        <v/>
      </c>
      <c r="G199" s="51">
        <f>_xlfn.XLOOKUP(C199,Articles!A:A,Articles!D:D,0,0)</f>
        <v>0</v>
      </c>
      <c r="H199" s="52">
        <f t="shared" si="7"/>
        <v>0</v>
      </c>
      <c r="I199" s="51">
        <f>_xlfn.XLOOKUP(C199,Articles!A:A,Articles!E:E,0,0)</f>
        <v>0</v>
      </c>
      <c r="J199" s="37">
        <f t="shared" si="8"/>
        <v>0</v>
      </c>
    </row>
    <row r="200" spans="1:10">
      <c r="A200">
        <f>B200*IF(Calc!$D$105="?",0,1)</f>
        <v>82</v>
      </c>
      <c r="B200" s="36">
        <v>82</v>
      </c>
      <c r="C200" t="str">
        <f t="shared" si="1"/>
        <v/>
      </c>
      <c r="D200" t="str">
        <f t="shared" si="6"/>
        <v/>
      </c>
      <c r="E200" t="str">
        <f t="shared" si="6"/>
        <v/>
      </c>
      <c r="F200" s="37" t="str">
        <f t="shared" si="6"/>
        <v/>
      </c>
      <c r="G200" s="51">
        <f>_xlfn.XLOOKUP(C200,Articles!A:A,Articles!D:D,0,0)</f>
        <v>0</v>
      </c>
      <c r="H200" s="52">
        <f t="shared" si="7"/>
        <v>0</v>
      </c>
      <c r="I200" s="51">
        <f>_xlfn.XLOOKUP(C200,Articles!A:A,Articles!E:E,0,0)</f>
        <v>0</v>
      </c>
      <c r="J200" s="37">
        <f t="shared" si="8"/>
        <v>0</v>
      </c>
    </row>
    <row r="201" spans="1:10">
      <c r="A201">
        <f>B201*IF(Calc!$D$105="?",0,1)</f>
        <v>83</v>
      </c>
      <c r="B201" s="36">
        <v>83</v>
      </c>
      <c r="C201" t="str">
        <f t="shared" si="1"/>
        <v/>
      </c>
      <c r="D201" t="str">
        <f t="shared" si="6"/>
        <v/>
      </c>
      <c r="E201" t="str">
        <f t="shared" si="6"/>
        <v/>
      </c>
      <c r="F201" s="37" t="str">
        <f t="shared" si="6"/>
        <v/>
      </c>
      <c r="G201" s="51">
        <f>_xlfn.XLOOKUP(C201,Articles!A:A,Articles!D:D,0,0)</f>
        <v>0</v>
      </c>
      <c r="H201" s="52">
        <f t="shared" si="7"/>
        <v>0</v>
      </c>
      <c r="I201" s="51">
        <f>_xlfn.XLOOKUP(C201,Articles!A:A,Articles!E:E,0,0)</f>
        <v>0</v>
      </c>
      <c r="J201" s="37">
        <f t="shared" si="8"/>
        <v>0</v>
      </c>
    </row>
    <row r="202" spans="1:10">
      <c r="A202">
        <f>B202*IF(Calc!$D$105="?",0,1)</f>
        <v>84</v>
      </c>
      <c r="B202" s="36">
        <v>84</v>
      </c>
      <c r="C202" t="str">
        <f t="shared" si="1"/>
        <v/>
      </c>
      <c r="D202" t="str">
        <f t="shared" si="6"/>
        <v/>
      </c>
      <c r="E202" t="str">
        <f t="shared" si="6"/>
        <v/>
      </c>
      <c r="F202" s="37" t="str">
        <f t="shared" si="6"/>
        <v/>
      </c>
      <c r="G202" s="51">
        <f>_xlfn.XLOOKUP(C202,Articles!A:A,Articles!D:D,0,0)</f>
        <v>0</v>
      </c>
      <c r="H202" s="52">
        <f t="shared" si="7"/>
        <v>0</v>
      </c>
      <c r="I202" s="51">
        <f>_xlfn.XLOOKUP(C202,Articles!A:A,Articles!E:E,0,0)</f>
        <v>0</v>
      </c>
      <c r="J202" s="37">
        <f t="shared" si="8"/>
        <v>0</v>
      </c>
    </row>
    <row r="203" spans="1:10">
      <c r="A203">
        <f>B203*IF(Calc!$D$105="?",0,1)</f>
        <v>85</v>
      </c>
      <c r="B203" s="36">
        <v>85</v>
      </c>
      <c r="C203" t="str">
        <f t="shared" si="1"/>
        <v/>
      </c>
      <c r="D203" t="str">
        <f t="shared" si="6"/>
        <v/>
      </c>
      <c r="E203" t="str">
        <f t="shared" si="6"/>
        <v/>
      </c>
      <c r="F203" s="37" t="str">
        <f t="shared" si="6"/>
        <v/>
      </c>
      <c r="G203" s="51">
        <f>_xlfn.XLOOKUP(C203,Articles!A:A,Articles!D:D,0,0)</f>
        <v>0</v>
      </c>
      <c r="H203" s="52">
        <f t="shared" si="7"/>
        <v>0</v>
      </c>
      <c r="I203" s="51">
        <f>_xlfn.XLOOKUP(C203,Articles!A:A,Articles!E:E,0,0)</f>
        <v>0</v>
      </c>
      <c r="J203" s="37">
        <f t="shared" si="8"/>
        <v>0</v>
      </c>
    </row>
    <row r="204" spans="1:10">
      <c r="A204">
        <f>B204*IF(Calc!$D$105="?",0,1)</f>
        <v>86</v>
      </c>
      <c r="B204" s="36">
        <v>86</v>
      </c>
      <c r="C204" t="str">
        <f t="shared" si="1"/>
        <v/>
      </c>
      <c r="D204" t="str">
        <f t="shared" si="6"/>
        <v/>
      </c>
      <c r="E204" t="str">
        <f t="shared" si="6"/>
        <v/>
      </c>
      <c r="F204" s="37" t="str">
        <f t="shared" si="6"/>
        <v/>
      </c>
      <c r="G204" s="51">
        <f>_xlfn.XLOOKUP(C204,Articles!A:A,Articles!D:D,0,0)</f>
        <v>0</v>
      </c>
      <c r="H204" s="52">
        <f t="shared" si="7"/>
        <v>0</v>
      </c>
      <c r="I204" s="51">
        <f>_xlfn.XLOOKUP(C204,Articles!A:A,Articles!E:E,0,0)</f>
        <v>0</v>
      </c>
      <c r="J204" s="37">
        <f t="shared" si="8"/>
        <v>0</v>
      </c>
    </row>
    <row r="205" spans="1:10">
      <c r="A205">
        <f>B205*IF(Calc!$D$105="?",0,1)</f>
        <v>87</v>
      </c>
      <c r="B205" s="36">
        <v>87</v>
      </c>
      <c r="C205" t="str">
        <f t="shared" si="1"/>
        <v/>
      </c>
      <c r="D205" t="str">
        <f t="shared" si="6"/>
        <v/>
      </c>
      <c r="E205" t="str">
        <f t="shared" si="6"/>
        <v/>
      </c>
      <c r="F205" s="37" t="str">
        <f t="shared" si="6"/>
        <v/>
      </c>
      <c r="G205" s="51">
        <f>_xlfn.XLOOKUP(C205,Articles!A:A,Articles!D:D,0,0)</f>
        <v>0</v>
      </c>
      <c r="H205" s="52">
        <f t="shared" si="7"/>
        <v>0</v>
      </c>
      <c r="I205" s="51">
        <f>_xlfn.XLOOKUP(C205,Articles!A:A,Articles!E:E,0,0)</f>
        <v>0</v>
      </c>
      <c r="J205" s="37">
        <f t="shared" si="8"/>
        <v>0</v>
      </c>
    </row>
    <row r="206" spans="1:10">
      <c r="A206">
        <f>B206*IF(Calc!$D$105="?",0,1)</f>
        <v>88</v>
      </c>
      <c r="B206" s="36">
        <v>88</v>
      </c>
      <c r="C206" t="str">
        <f t="shared" si="1"/>
        <v/>
      </c>
      <c r="D206" t="str">
        <f t="shared" si="6"/>
        <v/>
      </c>
      <c r="E206" t="str">
        <f t="shared" si="6"/>
        <v/>
      </c>
      <c r="F206" s="37" t="str">
        <f t="shared" si="6"/>
        <v/>
      </c>
      <c r="G206" s="51">
        <f>_xlfn.XLOOKUP(C206,Articles!A:A,Articles!D:D,0,0)</f>
        <v>0</v>
      </c>
      <c r="H206" s="52">
        <f t="shared" si="7"/>
        <v>0</v>
      </c>
      <c r="I206" s="51">
        <f>_xlfn.XLOOKUP(C206,Articles!A:A,Articles!E:E,0,0)</f>
        <v>0</v>
      </c>
      <c r="J206" s="37">
        <f t="shared" si="8"/>
        <v>0</v>
      </c>
    </row>
    <row r="207" spans="1:10">
      <c r="A207">
        <f>B207*IF(Calc!$D$105="?",0,1)</f>
        <v>89</v>
      </c>
      <c r="B207" s="36">
        <v>89</v>
      </c>
      <c r="C207" t="str">
        <f t="shared" si="1"/>
        <v/>
      </c>
      <c r="D207" t="str">
        <f t="shared" si="6"/>
        <v/>
      </c>
      <c r="E207" t="str">
        <f t="shared" si="6"/>
        <v/>
      </c>
      <c r="F207" s="37" t="str">
        <f t="shared" si="6"/>
        <v/>
      </c>
      <c r="G207" s="51">
        <f>_xlfn.XLOOKUP(C207,Articles!A:A,Articles!D:D,0,0)</f>
        <v>0</v>
      </c>
      <c r="H207" s="52">
        <f t="shared" si="7"/>
        <v>0</v>
      </c>
      <c r="I207" s="51">
        <f>_xlfn.XLOOKUP(C207,Articles!A:A,Articles!E:E,0,0)</f>
        <v>0</v>
      </c>
      <c r="J207" s="37">
        <f t="shared" si="8"/>
        <v>0</v>
      </c>
    </row>
    <row r="208" spans="1:10">
      <c r="A208">
        <f>B208*IF(Calc!$D$105="?",0,1)</f>
        <v>90</v>
      </c>
      <c r="B208" s="36">
        <v>90</v>
      </c>
      <c r="C208" t="str">
        <f t="shared" si="1"/>
        <v/>
      </c>
      <c r="D208" t="str">
        <f t="shared" si="6"/>
        <v/>
      </c>
      <c r="E208" t="str">
        <f t="shared" si="6"/>
        <v/>
      </c>
      <c r="F208" s="37" t="str">
        <f t="shared" si="6"/>
        <v/>
      </c>
      <c r="G208" s="51">
        <f>_xlfn.XLOOKUP(C208,Articles!A:A,Articles!D:D,0,0)</f>
        <v>0</v>
      </c>
      <c r="H208" s="52">
        <f t="shared" si="7"/>
        <v>0</v>
      </c>
      <c r="I208" s="51">
        <f>_xlfn.XLOOKUP(C208,Articles!A:A,Articles!E:E,0,0)</f>
        <v>0</v>
      </c>
      <c r="J208" s="37">
        <f t="shared" si="8"/>
        <v>0</v>
      </c>
    </row>
    <row r="209" spans="1:10">
      <c r="A209">
        <f>B209*IF(Calc!$D$105="?",0,1)</f>
        <v>91</v>
      </c>
      <c r="B209" s="36">
        <v>91</v>
      </c>
      <c r="C209" t="str">
        <f t="shared" si="1"/>
        <v/>
      </c>
      <c r="D209" t="str">
        <f t="shared" si="6"/>
        <v/>
      </c>
      <c r="E209" t="str">
        <f t="shared" si="6"/>
        <v/>
      </c>
      <c r="F209" s="37" t="str">
        <f t="shared" si="6"/>
        <v/>
      </c>
      <c r="G209" s="51">
        <f>_xlfn.XLOOKUP(C209,Articles!A:A,Articles!D:D,0,0)</f>
        <v>0</v>
      </c>
      <c r="H209" s="52">
        <f t="shared" si="7"/>
        <v>0</v>
      </c>
      <c r="I209" s="51">
        <f>_xlfn.XLOOKUP(C209,Articles!A:A,Articles!E:E,0,0)</f>
        <v>0</v>
      </c>
      <c r="J209" s="37">
        <f t="shared" si="8"/>
        <v>0</v>
      </c>
    </row>
    <row r="210" spans="1:10">
      <c r="A210">
        <f>B210*IF(Calc!$D$105="?",0,1)</f>
        <v>92</v>
      </c>
      <c r="B210" s="36">
        <v>92</v>
      </c>
      <c r="C210" t="str">
        <f t="shared" si="1"/>
        <v/>
      </c>
      <c r="D210" t="str">
        <f t="shared" si="6"/>
        <v/>
      </c>
      <c r="E210" t="str">
        <f t="shared" si="6"/>
        <v/>
      </c>
      <c r="F210" s="37" t="str">
        <f t="shared" si="6"/>
        <v/>
      </c>
      <c r="G210" s="51">
        <f>_xlfn.XLOOKUP(C210,Articles!A:A,Articles!D:D,0,0)</f>
        <v>0</v>
      </c>
      <c r="H210" s="52">
        <f t="shared" si="7"/>
        <v>0</v>
      </c>
      <c r="I210" s="51">
        <f>_xlfn.XLOOKUP(C210,Articles!A:A,Articles!E:E,0,0)</f>
        <v>0</v>
      </c>
      <c r="J210" s="37">
        <f t="shared" si="8"/>
        <v>0</v>
      </c>
    </row>
    <row r="211" spans="1:10">
      <c r="A211">
        <f>B211*IF(Calc!$D$105="?",0,1)</f>
        <v>93</v>
      </c>
      <c r="B211" s="36">
        <v>93</v>
      </c>
      <c r="C211" t="str">
        <f t="shared" si="1"/>
        <v/>
      </c>
      <c r="D211" t="str">
        <f t="shared" si="6"/>
        <v/>
      </c>
      <c r="E211" t="str">
        <f t="shared" si="6"/>
        <v/>
      </c>
      <c r="F211" s="37" t="str">
        <f t="shared" si="6"/>
        <v/>
      </c>
      <c r="G211" s="51">
        <f>_xlfn.XLOOKUP(C211,Articles!A:A,Articles!D:D,0,0)</f>
        <v>0</v>
      </c>
      <c r="H211" s="52">
        <f t="shared" si="7"/>
        <v>0</v>
      </c>
      <c r="I211" s="51">
        <f>_xlfn.XLOOKUP(C211,Articles!A:A,Articles!E:E,0,0)</f>
        <v>0</v>
      </c>
      <c r="J211" s="37">
        <f t="shared" si="8"/>
        <v>0</v>
      </c>
    </row>
    <row r="212" spans="1:10">
      <c r="A212">
        <f>B212*IF(Calc!$D$105="?",0,1)</f>
        <v>94</v>
      </c>
      <c r="B212" s="36">
        <v>94</v>
      </c>
      <c r="C212" t="str">
        <f t="shared" si="1"/>
        <v/>
      </c>
      <c r="D212" t="str">
        <f t="shared" si="6"/>
        <v/>
      </c>
      <c r="E212" t="str">
        <f t="shared" si="6"/>
        <v/>
      </c>
      <c r="F212" s="37" t="str">
        <f t="shared" si="6"/>
        <v/>
      </c>
      <c r="G212" s="51">
        <f>_xlfn.XLOOKUP(C212,Articles!A:A,Articles!D:D,0,0)</f>
        <v>0</v>
      </c>
      <c r="H212" s="52">
        <f t="shared" si="7"/>
        <v>0</v>
      </c>
      <c r="I212" s="51">
        <f>_xlfn.XLOOKUP(C212,Articles!A:A,Articles!E:E,0,0)</f>
        <v>0</v>
      </c>
      <c r="J212" s="37">
        <f t="shared" si="8"/>
        <v>0</v>
      </c>
    </row>
    <row r="213" spans="1:10">
      <c r="A213">
        <f>B213*IF(Calc!$D$105="?",0,1)</f>
        <v>95</v>
      </c>
      <c r="B213" s="36">
        <v>95</v>
      </c>
      <c r="C213" t="str">
        <f t="shared" ref="C213:F235" si="9">_xlfn.XLOOKUP($A213,$B$2:$B$89,C$2:C$89,"",0)&amp;_xlfn.XLOOKUP($A213,$A$90:$A$118,C$90:C$118,"",0)</f>
        <v/>
      </c>
      <c r="D213" t="str">
        <f t="shared" si="6"/>
        <v/>
      </c>
      <c r="E213" t="str">
        <f t="shared" si="6"/>
        <v/>
      </c>
      <c r="F213" s="37" t="str">
        <f t="shared" si="6"/>
        <v/>
      </c>
      <c r="G213" s="51">
        <f>_xlfn.XLOOKUP(C213,Articles!A:A,Articles!D:D,0,0)</f>
        <v>0</v>
      </c>
      <c r="H213" s="52">
        <f t="shared" si="7"/>
        <v>0</v>
      </c>
      <c r="I213" s="51">
        <f>_xlfn.XLOOKUP(C213,Articles!A:A,Articles!E:E,0,0)</f>
        <v>0</v>
      </c>
      <c r="J213" s="37">
        <f t="shared" si="8"/>
        <v>0</v>
      </c>
    </row>
    <row r="214" spans="1:10">
      <c r="A214">
        <f>B214*IF(Calc!$D$105="?",0,1)</f>
        <v>96</v>
      </c>
      <c r="B214" s="36">
        <v>96</v>
      </c>
      <c r="C214" t="str">
        <f t="shared" si="9"/>
        <v/>
      </c>
      <c r="D214" t="str">
        <f t="shared" si="6"/>
        <v/>
      </c>
      <c r="E214" t="str">
        <f t="shared" si="6"/>
        <v/>
      </c>
      <c r="F214" s="37" t="str">
        <f t="shared" si="6"/>
        <v/>
      </c>
      <c r="G214" s="51">
        <f>_xlfn.XLOOKUP(C214,Articles!A:A,Articles!D:D,0,0)</f>
        <v>0</v>
      </c>
      <c r="H214" s="52">
        <f t="shared" si="7"/>
        <v>0</v>
      </c>
      <c r="I214" s="51">
        <f>_xlfn.XLOOKUP(C214,Articles!A:A,Articles!E:E,0,0)</f>
        <v>0</v>
      </c>
      <c r="J214" s="37">
        <f t="shared" si="8"/>
        <v>0</v>
      </c>
    </row>
    <row r="215" spans="1:10">
      <c r="A215">
        <f>B215*IF(Calc!$D$105="?",0,1)</f>
        <v>97</v>
      </c>
      <c r="B215" s="36">
        <v>97</v>
      </c>
      <c r="C215" t="str">
        <f t="shared" si="9"/>
        <v/>
      </c>
      <c r="D215" t="str">
        <f t="shared" si="6"/>
        <v/>
      </c>
      <c r="E215" t="str">
        <f t="shared" si="6"/>
        <v/>
      </c>
      <c r="F215" s="37" t="str">
        <f t="shared" si="6"/>
        <v/>
      </c>
      <c r="G215" s="51">
        <f>_xlfn.XLOOKUP(C215,Articles!A:A,Articles!D:D,0,0)</f>
        <v>0</v>
      </c>
      <c r="H215" s="52">
        <f t="shared" si="7"/>
        <v>0</v>
      </c>
      <c r="I215" s="51">
        <f>_xlfn.XLOOKUP(C215,Articles!A:A,Articles!E:E,0,0)</f>
        <v>0</v>
      </c>
      <c r="J215" s="37">
        <f t="shared" si="8"/>
        <v>0</v>
      </c>
    </row>
    <row r="216" spans="1:10">
      <c r="A216">
        <f>B216*IF(Calc!$D$105="?",0,1)</f>
        <v>98</v>
      </c>
      <c r="B216" s="36">
        <v>98</v>
      </c>
      <c r="C216" t="str">
        <f t="shared" si="9"/>
        <v/>
      </c>
      <c r="D216" t="str">
        <f t="shared" si="6"/>
        <v/>
      </c>
      <c r="E216" t="str">
        <f t="shared" si="6"/>
        <v/>
      </c>
      <c r="F216" s="37" t="str">
        <f t="shared" si="6"/>
        <v/>
      </c>
      <c r="G216" s="51">
        <f>_xlfn.XLOOKUP(C216,Articles!A:A,Articles!D:D,0,0)</f>
        <v>0</v>
      </c>
      <c r="H216" s="52">
        <f t="shared" si="7"/>
        <v>0</v>
      </c>
      <c r="I216" s="51">
        <f>_xlfn.XLOOKUP(C216,Articles!A:A,Articles!E:E,0,0)</f>
        <v>0</v>
      </c>
      <c r="J216" s="37">
        <f t="shared" si="8"/>
        <v>0</v>
      </c>
    </row>
    <row r="217" spans="1:10">
      <c r="A217">
        <f>B217*IF(Calc!$D$105="?",0,1)</f>
        <v>99</v>
      </c>
      <c r="B217" s="36">
        <v>99</v>
      </c>
      <c r="C217" t="str">
        <f t="shared" si="9"/>
        <v/>
      </c>
      <c r="D217" t="str">
        <f t="shared" si="6"/>
        <v/>
      </c>
      <c r="E217" t="str">
        <f t="shared" si="6"/>
        <v/>
      </c>
      <c r="F217" s="37" t="str">
        <f t="shared" si="6"/>
        <v/>
      </c>
      <c r="G217" s="51">
        <f>_xlfn.XLOOKUP(C217,Articles!A:A,Articles!D:D,0,0)</f>
        <v>0</v>
      </c>
      <c r="H217" s="52">
        <f t="shared" si="7"/>
        <v>0</v>
      </c>
      <c r="I217" s="51">
        <f>_xlfn.XLOOKUP(C217,Articles!A:A,Articles!E:E,0,0)</f>
        <v>0</v>
      </c>
      <c r="J217" s="37">
        <f t="shared" si="8"/>
        <v>0</v>
      </c>
    </row>
    <row r="218" spans="1:10">
      <c r="A218">
        <f>B218*IF(Calc!$D$105="?",0,1)</f>
        <v>100</v>
      </c>
      <c r="B218" s="36">
        <v>100</v>
      </c>
      <c r="C218" t="str">
        <f t="shared" si="9"/>
        <v/>
      </c>
      <c r="D218" t="str">
        <f t="shared" si="6"/>
        <v/>
      </c>
      <c r="E218" t="str">
        <f t="shared" si="6"/>
        <v/>
      </c>
      <c r="F218" s="37" t="str">
        <f t="shared" si="6"/>
        <v/>
      </c>
      <c r="G218" s="51">
        <f>_xlfn.XLOOKUP(C218,Articles!A:A,Articles!D:D,0,0)</f>
        <v>0</v>
      </c>
      <c r="H218" s="52">
        <f t="shared" si="7"/>
        <v>0</v>
      </c>
      <c r="I218" s="51">
        <f>_xlfn.XLOOKUP(C218,Articles!A:A,Articles!E:E,0,0)</f>
        <v>0</v>
      </c>
      <c r="J218" s="37">
        <f t="shared" si="8"/>
        <v>0</v>
      </c>
    </row>
    <row r="219" spans="1:10">
      <c r="A219">
        <f>B219*IF(Calc!$D$105="?",0,1)</f>
        <v>101</v>
      </c>
      <c r="B219" s="36">
        <v>101</v>
      </c>
      <c r="C219" t="str">
        <f t="shared" si="9"/>
        <v/>
      </c>
      <c r="D219" t="str">
        <f t="shared" si="9"/>
        <v/>
      </c>
      <c r="E219" t="str">
        <f t="shared" si="9"/>
        <v/>
      </c>
      <c r="F219" s="37" t="str">
        <f t="shared" si="9"/>
        <v/>
      </c>
      <c r="G219" s="51">
        <f>_xlfn.XLOOKUP(C219,Articles!A:A,Articles!D:D,0,0)</f>
        <v>0</v>
      </c>
      <c r="H219" s="52">
        <f t="shared" si="7"/>
        <v>0</v>
      </c>
      <c r="I219" s="51">
        <f>_xlfn.XLOOKUP(C219,Articles!A:A,Articles!E:E,0,0)</f>
        <v>0</v>
      </c>
      <c r="J219" s="37">
        <f t="shared" si="8"/>
        <v>0</v>
      </c>
    </row>
    <row r="220" spans="1:10">
      <c r="A220">
        <f>B220*IF(Calc!$D$105="?",0,1)</f>
        <v>102</v>
      </c>
      <c r="B220" s="36">
        <v>102</v>
      </c>
      <c r="C220" t="str">
        <f t="shared" si="9"/>
        <v/>
      </c>
      <c r="D220" t="str">
        <f t="shared" si="9"/>
        <v/>
      </c>
      <c r="E220" t="str">
        <f t="shared" si="9"/>
        <v/>
      </c>
      <c r="F220" s="37" t="str">
        <f t="shared" si="9"/>
        <v/>
      </c>
      <c r="G220" s="51">
        <f>_xlfn.XLOOKUP(C220,Articles!A:A,Articles!D:D,0,0)</f>
        <v>0</v>
      </c>
      <c r="H220" s="52">
        <f t="shared" si="7"/>
        <v>0</v>
      </c>
      <c r="I220" s="51">
        <f>_xlfn.XLOOKUP(C220,Articles!A:A,Articles!E:E,0,0)</f>
        <v>0</v>
      </c>
      <c r="J220" s="37">
        <f t="shared" si="8"/>
        <v>0</v>
      </c>
    </row>
    <row r="221" spans="1:10">
      <c r="A221">
        <f>B221*IF(Calc!$D$105="?",0,1)</f>
        <v>103</v>
      </c>
      <c r="B221" s="36">
        <v>103</v>
      </c>
      <c r="C221" t="str">
        <f t="shared" si="9"/>
        <v/>
      </c>
      <c r="D221" t="str">
        <f t="shared" si="9"/>
        <v/>
      </c>
      <c r="E221" t="str">
        <f t="shared" si="9"/>
        <v/>
      </c>
      <c r="F221" s="37" t="str">
        <f t="shared" si="9"/>
        <v/>
      </c>
      <c r="G221" s="51">
        <f>_xlfn.XLOOKUP(C221,Articles!A:A,Articles!D:D,0,0)</f>
        <v>0</v>
      </c>
      <c r="H221" s="52">
        <f t="shared" si="7"/>
        <v>0</v>
      </c>
      <c r="I221" s="51">
        <f>_xlfn.XLOOKUP(C221,Articles!A:A,Articles!E:E,0,0)</f>
        <v>0</v>
      </c>
      <c r="J221" s="37">
        <f t="shared" si="8"/>
        <v>0</v>
      </c>
    </row>
    <row r="222" spans="1:10">
      <c r="A222">
        <f>B222*IF(Calc!$D$105="?",0,1)</f>
        <v>104</v>
      </c>
      <c r="B222" s="36">
        <v>104</v>
      </c>
      <c r="C222" t="str">
        <f t="shared" si="9"/>
        <v/>
      </c>
      <c r="D222" t="str">
        <f t="shared" si="9"/>
        <v/>
      </c>
      <c r="E222" t="str">
        <f t="shared" si="9"/>
        <v/>
      </c>
      <c r="F222" s="37" t="str">
        <f t="shared" si="9"/>
        <v/>
      </c>
      <c r="G222" s="51">
        <f>_xlfn.XLOOKUP(C222,Articles!A:A,Articles!D:D,0,0)</f>
        <v>0</v>
      </c>
      <c r="H222" s="52">
        <f t="shared" si="7"/>
        <v>0</v>
      </c>
      <c r="I222" s="51">
        <f>_xlfn.XLOOKUP(C222,Articles!A:A,Articles!E:E,0,0)</f>
        <v>0</v>
      </c>
      <c r="J222" s="37">
        <f t="shared" si="8"/>
        <v>0</v>
      </c>
    </row>
    <row r="223" spans="1:10">
      <c r="A223">
        <f>B223*IF(Calc!$D$105="?",0,1)</f>
        <v>105</v>
      </c>
      <c r="B223" s="36">
        <v>105</v>
      </c>
      <c r="C223" t="str">
        <f t="shared" si="9"/>
        <v/>
      </c>
      <c r="D223" t="str">
        <f t="shared" si="9"/>
        <v/>
      </c>
      <c r="E223" t="str">
        <f t="shared" si="9"/>
        <v/>
      </c>
      <c r="F223" s="37" t="str">
        <f t="shared" si="9"/>
        <v/>
      </c>
      <c r="G223" s="51">
        <f>_xlfn.XLOOKUP(C223,Articles!A:A,Articles!D:D,0,0)</f>
        <v>0</v>
      </c>
      <c r="H223" s="52">
        <f t="shared" si="7"/>
        <v>0</v>
      </c>
      <c r="I223" s="51">
        <f>_xlfn.XLOOKUP(C223,Articles!A:A,Articles!E:E,0,0)</f>
        <v>0</v>
      </c>
      <c r="J223" s="37">
        <f t="shared" si="8"/>
        <v>0</v>
      </c>
    </row>
    <row r="224" spans="1:10">
      <c r="A224">
        <f>B224*IF(Calc!$D$105="?",0,1)</f>
        <v>106</v>
      </c>
      <c r="B224" s="36">
        <v>106</v>
      </c>
      <c r="C224" t="str">
        <f t="shared" si="9"/>
        <v/>
      </c>
      <c r="D224" t="str">
        <f t="shared" si="9"/>
        <v/>
      </c>
      <c r="E224" t="str">
        <f t="shared" si="9"/>
        <v/>
      </c>
      <c r="F224" s="37" t="str">
        <f t="shared" si="9"/>
        <v/>
      </c>
      <c r="G224" s="51">
        <f>_xlfn.XLOOKUP(C224,Articles!A:A,Articles!D:D,0,0)</f>
        <v>0</v>
      </c>
      <c r="H224" s="52">
        <f t="shared" si="7"/>
        <v>0</v>
      </c>
      <c r="I224" s="51">
        <f>_xlfn.XLOOKUP(C224,Articles!A:A,Articles!E:E,0,0)</f>
        <v>0</v>
      </c>
      <c r="J224" s="37">
        <f t="shared" si="8"/>
        <v>0</v>
      </c>
    </row>
    <row r="225" spans="1:10">
      <c r="A225">
        <f>B225*IF(Calc!$D$105="?",0,1)</f>
        <v>107</v>
      </c>
      <c r="B225" s="36">
        <v>107</v>
      </c>
      <c r="C225" t="str">
        <f t="shared" si="9"/>
        <v/>
      </c>
      <c r="D225" t="str">
        <f t="shared" si="9"/>
        <v/>
      </c>
      <c r="E225" t="str">
        <f t="shared" si="9"/>
        <v/>
      </c>
      <c r="F225" s="37" t="str">
        <f t="shared" si="9"/>
        <v/>
      </c>
      <c r="G225" s="51">
        <f>_xlfn.XLOOKUP(C225,Articles!A:A,Articles!D:D,0,0)</f>
        <v>0</v>
      </c>
      <c r="H225" s="52">
        <f t="shared" si="7"/>
        <v>0</v>
      </c>
      <c r="I225" s="51">
        <f>_xlfn.XLOOKUP(C225,Articles!A:A,Articles!E:E,0,0)</f>
        <v>0</v>
      </c>
      <c r="J225" s="37">
        <f t="shared" si="8"/>
        <v>0</v>
      </c>
    </row>
    <row r="226" spans="1:10">
      <c r="A226">
        <f>B226*IF(Calc!$D$105="?",0,1)</f>
        <v>108</v>
      </c>
      <c r="B226" s="36">
        <v>108</v>
      </c>
      <c r="C226" t="str">
        <f t="shared" si="9"/>
        <v/>
      </c>
      <c r="D226" t="str">
        <f t="shared" si="9"/>
        <v/>
      </c>
      <c r="E226" t="str">
        <f t="shared" si="9"/>
        <v/>
      </c>
      <c r="F226" s="37" t="str">
        <f t="shared" si="9"/>
        <v/>
      </c>
      <c r="G226" s="51">
        <f>_xlfn.XLOOKUP(C226,Articles!A:A,Articles!D:D,0,0)</f>
        <v>0</v>
      </c>
      <c r="H226" s="52">
        <f t="shared" si="7"/>
        <v>0</v>
      </c>
      <c r="I226" s="51">
        <f>_xlfn.XLOOKUP(C226,Articles!A:A,Articles!E:E,0,0)</f>
        <v>0</v>
      </c>
      <c r="J226" s="37">
        <f t="shared" si="8"/>
        <v>0</v>
      </c>
    </row>
    <row r="227" spans="1:10">
      <c r="A227">
        <f>B227*IF(Calc!$D$105="?",0,1)</f>
        <v>109</v>
      </c>
      <c r="B227" s="36">
        <v>109</v>
      </c>
      <c r="C227" t="str">
        <f t="shared" si="9"/>
        <v/>
      </c>
      <c r="D227" t="str">
        <f t="shared" si="9"/>
        <v/>
      </c>
      <c r="E227" t="str">
        <f t="shared" si="9"/>
        <v/>
      </c>
      <c r="F227" s="37" t="str">
        <f t="shared" si="9"/>
        <v/>
      </c>
      <c r="G227" s="51">
        <f>_xlfn.XLOOKUP(C227,Articles!A:A,Articles!D:D,0,0)</f>
        <v>0</v>
      </c>
      <c r="H227" s="52">
        <f t="shared" si="7"/>
        <v>0</v>
      </c>
      <c r="I227" s="51">
        <f>_xlfn.XLOOKUP(C227,Articles!A:A,Articles!E:E,0,0)</f>
        <v>0</v>
      </c>
      <c r="J227" s="37">
        <f t="shared" si="8"/>
        <v>0</v>
      </c>
    </row>
    <row r="228" spans="1:10">
      <c r="A228">
        <f>B228*IF(Calc!$D$105="?",0,1)</f>
        <v>110</v>
      </c>
      <c r="B228" s="36">
        <v>110</v>
      </c>
      <c r="C228" t="str">
        <f t="shared" si="9"/>
        <v/>
      </c>
      <c r="D228" t="str">
        <f t="shared" si="9"/>
        <v/>
      </c>
      <c r="E228" t="str">
        <f t="shared" si="9"/>
        <v/>
      </c>
      <c r="F228" s="37" t="str">
        <f t="shared" si="9"/>
        <v/>
      </c>
      <c r="G228" s="51">
        <f>_xlfn.XLOOKUP(C228,Articles!A:A,Articles!D:D,0,0)</f>
        <v>0</v>
      </c>
      <c r="H228" s="52">
        <f t="shared" si="7"/>
        <v>0</v>
      </c>
      <c r="I228" s="51">
        <f>_xlfn.XLOOKUP(C228,Articles!A:A,Articles!E:E,0,0)</f>
        <v>0</v>
      </c>
      <c r="J228" s="37">
        <f t="shared" si="8"/>
        <v>0</v>
      </c>
    </row>
    <row r="229" spans="1:10">
      <c r="A229">
        <f>B229*IF(Calc!$D$105="?",0,1)</f>
        <v>111</v>
      </c>
      <c r="B229" s="36">
        <v>111</v>
      </c>
      <c r="C229" t="str">
        <f t="shared" si="9"/>
        <v/>
      </c>
      <c r="D229" t="str">
        <f t="shared" si="9"/>
        <v/>
      </c>
      <c r="E229" t="str">
        <f t="shared" si="9"/>
        <v/>
      </c>
      <c r="F229" s="37" t="str">
        <f t="shared" si="9"/>
        <v/>
      </c>
      <c r="G229" s="51">
        <f>_xlfn.XLOOKUP(C229,Articles!A:A,Articles!D:D,0,0)</f>
        <v>0</v>
      </c>
      <c r="H229" s="52">
        <f t="shared" si="7"/>
        <v>0</v>
      </c>
      <c r="I229" s="51">
        <f>_xlfn.XLOOKUP(C229,Articles!A:A,Articles!E:E,0,0)</f>
        <v>0</v>
      </c>
      <c r="J229" s="37">
        <f t="shared" si="8"/>
        <v>0</v>
      </c>
    </row>
    <row r="230" spans="1:10">
      <c r="A230">
        <f>B230*IF(Calc!$D$105="?",0,1)</f>
        <v>112</v>
      </c>
      <c r="B230" s="36">
        <v>112</v>
      </c>
      <c r="C230" t="str">
        <f t="shared" si="9"/>
        <v/>
      </c>
      <c r="D230" t="str">
        <f t="shared" si="9"/>
        <v/>
      </c>
      <c r="E230" t="str">
        <f t="shared" si="9"/>
        <v/>
      </c>
      <c r="F230" s="37" t="str">
        <f t="shared" si="9"/>
        <v/>
      </c>
      <c r="G230" s="51">
        <f>_xlfn.XLOOKUP(C230,Articles!A:A,Articles!D:D,0,0)</f>
        <v>0</v>
      </c>
      <c r="H230" s="52">
        <f t="shared" si="7"/>
        <v>0</v>
      </c>
      <c r="I230" s="51">
        <f>_xlfn.XLOOKUP(C230,Articles!A:A,Articles!E:E,0,0)</f>
        <v>0</v>
      </c>
      <c r="J230" s="37">
        <f t="shared" si="8"/>
        <v>0</v>
      </c>
    </row>
    <row r="231" spans="1:10">
      <c r="A231">
        <f>B231*IF(Calc!$D$105="?",0,1)</f>
        <v>113</v>
      </c>
      <c r="B231" s="36">
        <v>113</v>
      </c>
      <c r="C231" t="str">
        <f t="shared" si="9"/>
        <v/>
      </c>
      <c r="D231" t="str">
        <f t="shared" si="9"/>
        <v/>
      </c>
      <c r="E231" t="str">
        <f t="shared" si="9"/>
        <v/>
      </c>
      <c r="F231" s="37" t="str">
        <f t="shared" si="9"/>
        <v/>
      </c>
      <c r="G231" s="51">
        <f>_xlfn.XLOOKUP(C231,Articles!A:A,Articles!D:D,0,0)</f>
        <v>0</v>
      </c>
      <c r="H231" s="52">
        <f t="shared" si="7"/>
        <v>0</v>
      </c>
      <c r="I231" s="51">
        <f>_xlfn.XLOOKUP(C231,Articles!A:A,Articles!E:E,0,0)</f>
        <v>0</v>
      </c>
      <c r="J231" s="37">
        <f t="shared" si="8"/>
        <v>0</v>
      </c>
    </row>
    <row r="232" spans="1:10">
      <c r="A232">
        <f>B232*IF(Calc!$D$105="?",0,1)</f>
        <v>114</v>
      </c>
      <c r="B232" s="36">
        <v>114</v>
      </c>
      <c r="C232" t="str">
        <f t="shared" si="9"/>
        <v/>
      </c>
      <c r="D232" t="str">
        <f t="shared" si="9"/>
        <v/>
      </c>
      <c r="E232" t="str">
        <f t="shared" si="9"/>
        <v/>
      </c>
      <c r="F232" s="37" t="str">
        <f t="shared" si="9"/>
        <v/>
      </c>
      <c r="G232" s="51">
        <f>_xlfn.XLOOKUP(C232,Articles!A:A,Articles!D:D,0,0)</f>
        <v>0</v>
      </c>
      <c r="H232" s="52">
        <f t="shared" si="7"/>
        <v>0</v>
      </c>
      <c r="I232" s="51">
        <f>_xlfn.XLOOKUP(C232,Articles!A:A,Articles!E:E,0,0)</f>
        <v>0</v>
      </c>
      <c r="J232" s="37">
        <f t="shared" si="8"/>
        <v>0</v>
      </c>
    </row>
    <row r="233" spans="1:10">
      <c r="A233">
        <f>B233*IF(Calc!$D$105="?",0,1)</f>
        <v>115</v>
      </c>
      <c r="B233" s="36">
        <v>115</v>
      </c>
      <c r="C233" t="str">
        <f t="shared" si="9"/>
        <v/>
      </c>
      <c r="D233" t="str">
        <f t="shared" si="9"/>
        <v/>
      </c>
      <c r="E233" t="str">
        <f t="shared" si="9"/>
        <v/>
      </c>
      <c r="F233" s="37" t="str">
        <f t="shared" si="9"/>
        <v/>
      </c>
      <c r="G233" s="51">
        <f>_xlfn.XLOOKUP(C233,Articles!A:A,Articles!D:D,0,0)</f>
        <v>0</v>
      </c>
      <c r="H233" s="52">
        <f t="shared" si="7"/>
        <v>0</v>
      </c>
      <c r="I233" s="51">
        <f>_xlfn.XLOOKUP(C233,Articles!A:A,Articles!E:E,0,0)</f>
        <v>0</v>
      </c>
      <c r="J233" s="37">
        <f t="shared" si="8"/>
        <v>0</v>
      </c>
    </row>
    <row r="234" spans="1:10">
      <c r="A234">
        <f>B234*IF(Calc!$D$105="?",0,1)</f>
        <v>116</v>
      </c>
      <c r="B234" s="36">
        <v>116</v>
      </c>
      <c r="C234" t="str">
        <f t="shared" si="9"/>
        <v/>
      </c>
      <c r="D234" t="str">
        <f t="shared" si="9"/>
        <v/>
      </c>
      <c r="E234" t="str">
        <f t="shared" si="9"/>
        <v/>
      </c>
      <c r="F234" s="37" t="str">
        <f t="shared" si="9"/>
        <v/>
      </c>
      <c r="G234" s="51">
        <f>_xlfn.XLOOKUP(C234,Articles!A:A,Articles!D:D,0,0)</f>
        <v>0</v>
      </c>
      <c r="H234" s="52">
        <f t="shared" si="7"/>
        <v>0</v>
      </c>
      <c r="I234" s="51">
        <f>_xlfn.XLOOKUP(C234,Articles!A:A,Articles!E:E,0,0)</f>
        <v>0</v>
      </c>
      <c r="J234" s="37">
        <f t="shared" si="8"/>
        <v>0</v>
      </c>
    </row>
    <row r="235" spans="1:10" ht="15.95" thickBot="1">
      <c r="A235">
        <f>B235*IF(Calc!$D$105="?",0,1)</f>
        <v>117</v>
      </c>
      <c r="B235" s="36">
        <v>117</v>
      </c>
      <c r="C235" s="39" t="str">
        <f t="shared" si="9"/>
        <v/>
      </c>
      <c r="D235" t="str">
        <f t="shared" si="9"/>
        <v/>
      </c>
      <c r="E235" t="str">
        <f t="shared" si="9"/>
        <v/>
      </c>
      <c r="F235" s="37" t="str">
        <f t="shared" si="9"/>
        <v/>
      </c>
      <c r="G235" s="53">
        <f>_xlfn.XLOOKUP(C235,Articles!A:A,Articles!D:D,0,0)</f>
        <v>0</v>
      </c>
      <c r="H235" s="54">
        <f t="shared" si="7"/>
        <v>0</v>
      </c>
      <c r="I235" s="53">
        <f>_xlfn.XLOOKUP(C235,Articles!A:A,Articles!E:E,0,0)</f>
        <v>0</v>
      </c>
      <c r="J235" s="40">
        <f t="shared" si="8"/>
        <v>0</v>
      </c>
    </row>
    <row r="236" spans="1:10">
      <c r="A236">
        <f>B236*IF(Calc!$D$105="?",0,1)</f>
        <v>1</v>
      </c>
      <c r="B236" s="33">
        <v>1</v>
      </c>
      <c r="C236" s="34"/>
      <c r="D236" s="34" t="str">
        <f>_xlfn.XLOOKUP(A236,Calc!$A$108:$A$117,Calc!$C$108:$C$117,"",0)</f>
        <v>Shelter 'Domino' - WxL=2.65x2.15m</v>
      </c>
      <c r="E236" s="34"/>
      <c r="F236" s="35"/>
    </row>
    <row r="237" spans="1:10">
      <c r="A237">
        <f>B237*IF(Calc!$D$105="?",0,1)</f>
        <v>2</v>
      </c>
      <c r="B237" s="36">
        <v>2</v>
      </c>
      <c r="D237" t="str">
        <f>_xlfn.XLOOKUP(A237,Calc!$A$108:$A$117,Calc!$C$108:$C$117,"",0)</f>
        <v>Roof in profiled steel sheet (bottom off-white - top RAL7016)</v>
      </c>
      <c r="F237" s="37"/>
    </row>
    <row r="238" spans="1:10">
      <c r="A238">
        <f>B238*IF(Calc!$D$105="?",0,1)</f>
        <v>3</v>
      </c>
      <c r="B238" s="36">
        <v>3</v>
      </c>
      <c r="D238" t="str">
        <f>_xlfn.XLOOKUP(A238,Calc!$A$108:$A$117,Calc!$C$108:$C$117,"",0)</f>
        <v>Surface treatment - galvanized</v>
      </c>
      <c r="F238" s="37"/>
    </row>
    <row r="239" spans="1:10">
      <c r="A239">
        <f>B239*IF(Calc!$D$105="?",0,1)</f>
        <v>4</v>
      </c>
      <c r="B239" s="36">
        <v>4</v>
      </c>
      <c r="D239" t="str">
        <f>_xlfn.XLOOKUP(A239,Calc!$A$108:$A$117,Calc!$C$108:$C$117,"",0)</f>
        <v>Wall cladding in Thermowood - H=2.15m - 2x L=2.53m - 2x L=2.03m</v>
      </c>
      <c r="F239" s="37"/>
    </row>
    <row r="240" spans="1:10">
      <c r="A240">
        <f>B240*IF(Calc!$D$105="?",0,1)</f>
        <v>5</v>
      </c>
      <c r="B240" s="36">
        <v>5</v>
      </c>
      <c r="D240" t="str">
        <f>_xlfn.XLOOKUP(A240,Calc!$A$108:$A$117,Calc!$C$108:$C$117,"",0)</f>
        <v>Entrance - 1x single swing gate 2,53m</v>
      </c>
      <c r="F240" s="37"/>
    </row>
    <row r="241" spans="1:6">
      <c r="A241">
        <f>B241*IF(Calc!$D$105="?",0,1)</f>
        <v>6</v>
      </c>
      <c r="B241" s="36">
        <v>6</v>
      </c>
      <c r="D241" t="str">
        <f>_xlfn.XLOOKUP(A241,Calc!$A$108:$A$117,Calc!$C$108:$C$117,"",0)</f>
        <v>With gate hardware - euro cylinder lock</v>
      </c>
      <c r="F241" s="37"/>
    </row>
    <row r="242" spans="1:6">
      <c r="A242">
        <f>B242*IF(Calc!$D$105="?",0,1)</f>
        <v>7</v>
      </c>
      <c r="B242" s="36">
        <v>7</v>
      </c>
      <c r="D242" t="str">
        <f>_xlfn.XLOOKUP(A242,Calc!$A$108:$A$117,Calc!$C$108:$C$117,"",0)</f>
        <v>Chemical anchoring - ETA-21/0168</v>
      </c>
      <c r="F242" s="37"/>
    </row>
    <row r="243" spans="1:6">
      <c r="A243">
        <f>B243*IF(Calc!$D$105="?",0,1)</f>
        <v>8</v>
      </c>
      <c r="B243" s="36">
        <v>8</v>
      </c>
      <c r="D243" t="str">
        <f>_xlfn.XLOOKUP(A243,Calc!$A$108:$A$117,Calc!$C$108:$C$117,"",0)</f>
        <v/>
      </c>
      <c r="F243" s="37"/>
    </row>
    <row r="244" spans="1:6">
      <c r="A244">
        <f>B244*IF(Calc!$D$105="?",0,1)</f>
        <v>9</v>
      </c>
      <c r="B244" s="36">
        <v>9</v>
      </c>
      <c r="D244" t="str">
        <f>_xlfn.XLOOKUP(A244,Calc!$A$108:$A$117,Calc!$C$108:$C$117,"",0)</f>
        <v/>
      </c>
      <c r="F244" s="37"/>
    </row>
    <row r="245" spans="1:6" ht="15.95" thickBot="1">
      <c r="A245">
        <f>B245*IF(Calc!$D$105="?",0,1)</f>
        <v>10</v>
      </c>
      <c r="B245" s="38">
        <v>10</v>
      </c>
      <c r="C245" s="39"/>
      <c r="D245" s="39" t="str">
        <f>_xlfn.XLOOKUP(A245,Calc!$A$108:$A$117,Calc!$C$108:$C$117,"",0)</f>
        <v/>
      </c>
      <c r="E245" s="39"/>
      <c r="F245" s="40"/>
    </row>
    <row r="246" spans="1:6">
      <c r="A246">
        <f>B246*IF(Calc!$D$105="?",0,1)</f>
        <v>1</v>
      </c>
      <c r="B246" s="33">
        <v>1</v>
      </c>
      <c r="C246" s="34">
        <f>_xlfn.XLOOKUP(A246,Calc!$A$120:$A$125,Calc!$C$120:$C$125,"",0)</f>
        <v>0</v>
      </c>
      <c r="D246" s="34" t="str">
        <f>_xlfn.XLOOKUP(A246,Calc!$A$120:$A$125,Calc!$D$120:$D$125,"",0)</f>
        <v>Installation and transport excluded</v>
      </c>
      <c r="E246" s="34">
        <f>_xlfn.XLOOKUP(A246,Calc!$A$120:$A$125,Calc!$E$120:$E$125,"",0)</f>
        <v>0</v>
      </c>
      <c r="F246" s="35">
        <f>_xlfn.XLOOKUP(A246,Calc!$A$120:$A$125,Calc!$F$120:$F$125,"",0)</f>
        <v>0</v>
      </c>
    </row>
    <row r="247" spans="1:6">
      <c r="A247">
        <f>B247*IF(Calc!$D$105="?",0,1)</f>
        <v>2</v>
      </c>
      <c r="B247" s="36">
        <v>2</v>
      </c>
      <c r="C247">
        <f>_xlfn.XLOOKUP(A247,Calc!$A$120:$A$125,Calc!$C$120:$C$125,"",0)</f>
        <v>0</v>
      </c>
      <c r="D247" t="str">
        <f>_xlfn.XLOOKUP(A247,Calc!$A$120:$A$125,Calc!$D$120:$D$125,"",0)</f>
        <v>Foundations excluded</v>
      </c>
      <c r="E247">
        <f>_xlfn.XLOOKUP(A247,Calc!$A$120:$A$125,Calc!$E$120:$E$125,"",0)</f>
        <v>0</v>
      </c>
      <c r="F247" s="37">
        <f>_xlfn.XLOOKUP(A247,Calc!$A$120:$A$125,Calc!$F$120:$F$125,"",0)</f>
        <v>0</v>
      </c>
    </row>
    <row r="248" spans="1:6">
      <c r="A248">
        <f>B248*IF(Calc!$D$105="?",0,1)</f>
        <v>3</v>
      </c>
      <c r="B248" s="36">
        <v>3</v>
      </c>
      <c r="C248" t="str">
        <f>_xlfn.XLOOKUP(A248,Calc!$A$120:$A$125,Calc!$C$120:$C$125,"",0)</f>
        <v/>
      </c>
      <c r="D248" t="str">
        <f>_xlfn.XLOOKUP(A248,Calc!$A$120:$A$125,Calc!$D$120:$D$125,"",0)</f>
        <v/>
      </c>
      <c r="E248" t="str">
        <f>_xlfn.XLOOKUP(A248,Calc!$A$120:$A$125,Calc!$E$120:$E$125,"",0)</f>
        <v/>
      </c>
      <c r="F248" s="37" t="str">
        <f>_xlfn.XLOOKUP(A248,Calc!$A$120:$A$125,Calc!$F$120:$F$125,"",0)</f>
        <v/>
      </c>
    </row>
    <row r="249" spans="1:6">
      <c r="A249">
        <f>B249*IF(Calc!$D$105="?",0,1)</f>
        <v>4</v>
      </c>
      <c r="B249" s="36">
        <v>4</v>
      </c>
      <c r="C249" t="str">
        <f>_xlfn.XLOOKUP(A249,Calc!$A$120:$A$125,Calc!$C$120:$C$125,"",0)</f>
        <v/>
      </c>
      <c r="D249" t="str">
        <f>_xlfn.XLOOKUP(A249,Calc!$A$120:$A$125,Calc!$D$120:$D$125,"",0)</f>
        <v/>
      </c>
      <c r="E249" t="str">
        <f>_xlfn.XLOOKUP(A249,Calc!$A$120:$A$125,Calc!$E$120:$E$125,"",0)</f>
        <v/>
      </c>
      <c r="F249" s="37" t="str">
        <f>_xlfn.XLOOKUP(A249,Calc!$A$120:$A$125,Calc!$F$120:$F$125,"",0)</f>
        <v/>
      </c>
    </row>
    <row r="250" spans="1:6">
      <c r="A250">
        <f>B250*IF(Calc!$D$105="?",0,1)</f>
        <v>5</v>
      </c>
      <c r="B250" s="36">
        <v>5</v>
      </c>
      <c r="C250" t="str">
        <f>_xlfn.XLOOKUP(A250,Calc!$A$120:$A$125,Calc!$C$120:$C$125,"",0)</f>
        <v/>
      </c>
      <c r="D250" t="str">
        <f>_xlfn.XLOOKUP(A250,Calc!$A$120:$A$125,Calc!$D$120:$D$125,"",0)</f>
        <v/>
      </c>
      <c r="E250" t="str">
        <f>_xlfn.XLOOKUP(A250,Calc!$A$120:$A$125,Calc!$E$120:$E$125,"",0)</f>
        <v/>
      </c>
      <c r="F250" s="37" t="str">
        <f>_xlfn.XLOOKUP(A250,Calc!$A$120:$A$125,Calc!$F$120:$F$125,"",0)</f>
        <v/>
      </c>
    </row>
    <row r="251" spans="1:6" ht="15.95" thickBot="1">
      <c r="A251">
        <f>B251*IF(Calc!$D$105="?",0,1)</f>
        <v>6</v>
      </c>
      <c r="B251" s="38">
        <v>6</v>
      </c>
      <c r="C251" s="39" t="str">
        <f>_xlfn.XLOOKUP(A251,Calc!$A$120:$A$125,Calc!$C$120:$C$125,"",0)</f>
        <v/>
      </c>
      <c r="D251" s="39" t="str">
        <f>_xlfn.XLOOKUP(A251,Calc!$A$120:$A$125,Calc!$D$120:$D$125,"",0)</f>
        <v/>
      </c>
      <c r="E251" s="39" t="str">
        <f>_xlfn.XLOOKUP(A251,Calc!$A$120:$A$125,Calc!$E$120:$E$125,"",0)</f>
        <v/>
      </c>
      <c r="F251" s="40" t="str">
        <f>_xlfn.XLOOKUP(A251,Calc!$A$120:$A$125,Calc!$F$120:$F$125,"",0)</f>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5223D-354E-45BC-A34F-0B5E6175E4EF}">
  <dimension ref="A1:E21"/>
  <sheetViews>
    <sheetView workbookViewId="0"/>
  </sheetViews>
  <sheetFormatPr defaultColWidth="9.140625" defaultRowHeight="15"/>
  <cols>
    <col min="1" max="1" width="11.28515625" style="1" bestFit="1" customWidth="1"/>
    <col min="2" max="5" width="80.7109375" style="1" customWidth="1"/>
    <col min="6" max="16384" width="9.140625" style="1"/>
  </cols>
  <sheetData>
    <row r="1" spans="1:5" s="2" customFormat="1" ht="15.95" thickBot="1">
      <c r="A1" s="11" t="s">
        <v>698</v>
      </c>
      <c r="B1" s="9" t="s">
        <v>699</v>
      </c>
      <c r="C1" s="9" t="s">
        <v>700</v>
      </c>
      <c r="D1" s="10" t="s">
        <v>8</v>
      </c>
      <c r="E1" s="11" t="s">
        <v>701</v>
      </c>
    </row>
    <row r="2" spans="1:5">
      <c r="B2" s="1" t="str">
        <f>"Overkapping 'Domino"&amp;IF(Calc!$D$18=1," PLUS","")&amp;"' - BxL="&amp;Configure!$G$15</f>
        <v>Overkapping 'Domino' - BxL=2.65x2.15m</v>
      </c>
      <c r="C2" s="1" t="str">
        <f>"Auvent 'Domino"&amp;IF(Calc!$D$18=1," PLUS","")&amp;"' - LxL="&amp;Configure!$G$15</f>
        <v>Auvent 'Domino' - LxL=2.65x2.15m</v>
      </c>
      <c r="D2" s="1" t="str">
        <f>"Shelter 'Domino"&amp;IF(Calc!$D$18=1," PLUS","")&amp;"' - WxL="&amp;Configure!$G$15</f>
        <v>Shelter 'Domino' - WxL=2.65x2.15m</v>
      </c>
      <c r="E2" s="1" t="str">
        <f>_xlfn.XLOOKUP('PRC import'!$H$3,LALIST,Language!B2:D2)</f>
        <v>Shelter 'Domino' - WxL=2.65x2.15m</v>
      </c>
    </row>
    <row r="3" spans="1:5">
      <c r="B3" s="1" t="s">
        <v>702</v>
      </c>
      <c r="C3" s="1" t="s">
        <v>703</v>
      </c>
      <c r="D3" s="1" t="s">
        <v>704</v>
      </c>
      <c r="E3" s="1" t="str">
        <f>_xlfn.XLOOKUP('PRC import'!$H$3,LALIST,Language!B3:D3)</f>
        <v>Surface treatment - galvanized</v>
      </c>
    </row>
    <row r="4" spans="1:5">
      <c r="B4" s="1" t="s">
        <v>705</v>
      </c>
      <c r="C4" s="1" t="s">
        <v>706</v>
      </c>
      <c r="D4" s="1" t="s">
        <v>707</v>
      </c>
      <c r="E4" s="1" t="str">
        <f>_xlfn.XLOOKUP('PRC import'!$H$3,LALIST,Language!B4:D4)</f>
        <v>Surface treatment - galvanized and powder coated</v>
      </c>
    </row>
    <row r="5" spans="1:5">
      <c r="B5" s="1" t="s">
        <v>708</v>
      </c>
      <c r="C5" s="1" t="s">
        <v>709</v>
      </c>
      <c r="D5" s="1" t="s">
        <v>710</v>
      </c>
      <c r="E5" s="1" t="str">
        <f>_xlfn.XLOOKUP('PRC import'!$H$3,LALIST,Language!B5:D5)</f>
        <v>Surface treatment - galvanized - only roof edge powder coated</v>
      </c>
    </row>
    <row r="6" spans="1:5">
      <c r="B6" s="1" t="s">
        <v>711</v>
      </c>
      <c r="C6" s="1" t="s">
        <v>712</v>
      </c>
      <c r="D6" s="1" t="s">
        <v>713</v>
      </c>
      <c r="E6" s="1" t="str">
        <f>_xlfn.XLOOKUP('PRC import'!$H$3,LALIST,Language!B6:D6)</f>
        <v>Roof in profiled steel sheet (bottom off-white - top RAL7016)</v>
      </c>
    </row>
    <row r="7" spans="1:5">
      <c r="B7" s="1" t="s">
        <v>714</v>
      </c>
      <c r="C7" s="1" t="s">
        <v>715</v>
      </c>
      <c r="D7" s="1" t="s">
        <v>716</v>
      </c>
      <c r="E7" s="1" t="str">
        <f>_xlfn.XLOOKUP('PRC import'!$H$3,LALIST,Language!B7:D7)</f>
        <v>Roof in profiled solid polycarbonate (clear)</v>
      </c>
    </row>
    <row r="8" spans="1:5">
      <c r="B8" s="1" t="str" cm="1">
        <f t="array" ref="B8">"Wandbekleding in Nylofor-2D ("&amp;_xlfn.SWITCH(Calc!D38, 1, "RAL6005", 2, "RAL7016", 3, "RAL9005", 4, "verzinkt", "")&amp;") - H="&amp;2.03+Calc!D18*0.65&amp;"m"&amp;IF((Calc!D40+Calc!D42)&gt;0," - "&amp;(Calc!D40+Calc!D42)&amp;"x L="&amp;Calc!D9&amp;"m","")&amp;IF((Calc!D39+Calc!D41)&gt;0," - "&amp;(Calc!D39+Calc!D41)&amp;"x L="&amp;Calc!D10&amp;"m","")</f>
        <v>Wandbekleding in Nylofor-2D () - H=2.03m - 2x L=2.53m - 2x L=2.03m</v>
      </c>
      <c r="C8" s="1" t="str" cm="1">
        <f t="array" ref="C8">"Parois en Nylofor-2D ("&amp;_xlfn.SWITCH(Calc!D38, 1, "RAL6005", 2, "RAL7016", 3, "RAL9005", 4, "galvanisé", "")&amp;") - H="&amp;2.03+Calc!D18*0.65&amp;"m"&amp;IF((Calc!D40+Calc!D42)&gt;0," - "&amp;(Calc!D40+Calc!D42)&amp;"x L="&amp;Calc!D9&amp;"m","")&amp;IF((Calc!D39+Calc!D41)&gt;0," - "&amp;(Calc!D39+Calc!D41)&amp;"x L="&amp;Calc!D10&amp;"m","")</f>
        <v>Parois en Nylofor-2D () - H=2.03m - 2x L=2.53m - 2x L=2.03m</v>
      </c>
      <c r="D8" s="1" t="str" cm="1">
        <f t="array" ref="D8">"Wall cladding in Nylofor-2D ("&amp;_xlfn.SWITCH(Calc!D38, 1, "RAL6005", 2, "RAL7016", 3, "RAL9005", 4, "galvanized", "")&amp;") - H="&amp;2.03+Calc!D18*0.65&amp;"m"&amp;IF((Calc!D40+Calc!D42)&gt;0," - "&amp;(Calc!D40+Calc!D42)&amp;"x L="&amp;Calc!D9&amp;"m","")&amp;IF((Calc!D39+Calc!D41)&gt;0," - "&amp;(Calc!D39+Calc!D41)&amp;"x L="&amp;Calc!D10&amp;"m","")</f>
        <v>Wall cladding in Nylofor-2D () - H=2.03m - 2x L=2.53m - 2x L=2.03m</v>
      </c>
      <c r="E8" s="1" t="str">
        <f>_xlfn.XLOOKUP('PRC import'!$H$3,LALIST,Language!B8:D8)</f>
        <v>Wall cladding in Nylofor-2D () - H=2.03m - 2x L=2.53m - 2x L=2.03m</v>
      </c>
    </row>
    <row r="9" spans="1:5">
      <c r="B9" s="1" t="str">
        <f>"Wandbekleding in Thermowood - H="&amp;2.15+Calc!D18*0.65&amp;"m"&amp;IF((Calc!D40+Calc!D42)&gt;0," - "&amp;(Calc!D40+Calc!D42)&amp;"x L="&amp;Calc!D9&amp;"m","")&amp;IF((Calc!D39+Calc!D41)&gt;0," - "&amp;(Calc!D39+Calc!D41)&amp;"x L="&amp;Calc!D10&amp;"m","")</f>
        <v>Wandbekleding in Thermowood - H=2.15m - 2x L=2.53m - 2x L=2.03m</v>
      </c>
      <c r="C9" s="1" t="str">
        <f>"Parois en Thermowood - H="&amp;2.15+Calc!D18*0.65&amp;"m"&amp;IF((Calc!D40+Calc!D42)&gt;0," - "&amp;(Calc!D40+Calc!D42)&amp;"x L="&amp;Calc!D9&amp;"m","")&amp;IF((Calc!D39+Calc!D41)&gt;0," - "&amp;(Calc!D39+Calc!D41)&amp;"x L="&amp;Calc!D10&amp;"m","")</f>
        <v>Parois en Thermowood - H=2.15m - 2x L=2.53m - 2x L=2.03m</v>
      </c>
      <c r="D9" s="1" t="str">
        <f>"Wall cladding in Thermowood - H="&amp;2.15+Calc!D18*0.65&amp;"m"&amp;IF((Calc!D40+Calc!D42)&gt;0," - "&amp;(Calc!D40+Calc!D42)&amp;"x L="&amp;Calc!D9&amp;"m","")&amp;IF((Calc!D39+Calc!D41)&gt;0," - "&amp;(Calc!D39+Calc!D41)&amp;"x L="&amp;Calc!D10&amp;"m","")</f>
        <v>Wall cladding in Thermowood - H=2.15m - 2x L=2.53m - 2x L=2.03m</v>
      </c>
      <c r="E9" s="1" t="str">
        <f>_xlfn.XLOOKUP('PRC import'!$H$3,LALIST,Language!B9:D9)</f>
        <v>Wall cladding in Thermowood - H=2.15m - 2x L=2.53m - 2x L=2.03m</v>
      </c>
    </row>
    <row r="10" spans="1:5">
      <c r="B10" s="1" t="str">
        <f>"Wandbekleding in gehard glas - H="&amp;2.15+Calc!D18*0.65&amp;"m"&amp;IF((Calc!D40+Calc!D42)&gt;0," - "&amp;(Calc!D40+Calc!D42)&amp;"x L="&amp;Calc!D9&amp;"m","")&amp;IF((Calc!D39+Calc!D41)&gt;0," - "&amp;(Calc!D39+Calc!D41)&amp;"x L="&amp;Calc!D10&amp;"m","")</f>
        <v>Wandbekleding in gehard glas - H=2.15m - 2x L=2.53m - 2x L=2.03m</v>
      </c>
      <c r="C10" s="1" t="str">
        <f>"Parois en verre trempé - H="&amp;2.15+Calc!D18*0.65&amp;"m"&amp;IF((Calc!D40+Calc!D42)&gt;0," - "&amp;(Calc!D40+Calc!D42)&amp;"x L="&amp;Calc!D9&amp;"m","")&amp;IF((Calc!D39+Calc!D41)&gt;0," - "&amp;(Calc!D39+Calc!D41)&amp;"x L="&amp;Calc!D10&amp;"m","")</f>
        <v>Parois en verre trempé - H=2.15m - 2x L=2.53m - 2x L=2.03m</v>
      </c>
      <c r="D10" s="1" t="str">
        <f>"Wall cladding in tempered glass - H="&amp;2.15+Calc!D18*0.65&amp;"m"&amp;IF((Calc!D40+Calc!D42)&gt;0," - "&amp;(Calc!D40+Calc!D42)&amp;"x L="&amp;Calc!D9&amp;"m","")&amp;IF((Calc!D39+Calc!D41)&gt;0," - "&amp;(Calc!D39+Calc!D41)&amp;"x L="&amp;Calc!D10&amp;"m","")</f>
        <v>Wall cladding in tempered glass - H=2.15m - 2x L=2.53m - 2x L=2.03m</v>
      </c>
      <c r="E10" s="1" t="str">
        <f>_xlfn.XLOOKUP('PRC import'!$H$3,LALIST,Language!B10:D10)</f>
        <v>Wall cladding in tempered glass - H=2.15m - 2x L=2.53m - 2x L=2.03m</v>
      </c>
    </row>
    <row r="11" spans="1:5">
      <c r="B11" s="1" t="str">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Ingang - 1x enkele draaipoort 2,53m</v>
      </c>
      <c r="C11" s="1" t="str">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Entrée - 1x portail battant simple 2,53m</v>
      </c>
      <c r="D11" s="1" t="str">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Entrance - 1x single swing gate 2,53m</v>
      </c>
      <c r="E11" s="1" t="str">
        <f>_xlfn.XLOOKUP('PRC import'!$H$3,LALIST,Language!B11:D11)</f>
        <v>Entrance - 1x single swing gate 2,53m</v>
      </c>
    </row>
    <row r="12" spans="1:5">
      <c r="B12" s="1" t="str" cm="1">
        <f t="array" ref="B12">"Zonder "&amp;_xlfn.SWITCH(Calc!D37,1,"Nylofor 2D",2,"Thermowood",3,"glas","")&amp;" - kolommen / gordingen blijven"</f>
        <v>Zonder Thermowood - kolommen / gordingen blijven</v>
      </c>
      <c r="C12" s="1" t="str" cm="1">
        <f t="array" ref="C12">"Sans "&amp;_xlfn.SWITCH(Calc!D37,1,"Nylofor 2D",2,"Thermowood",3,"verre","")&amp;" - colonnes / montants restent"</f>
        <v>Sans Thermowood - colonnes / montants restent</v>
      </c>
      <c r="D12" s="1" t="str" cm="1">
        <f t="array" ref="D12">"Without "&amp;_xlfn.SWITCH(Calc!D37,1,"Nylofor 2D",2,"Thermowood",3,"glass","")&amp;" - columns / girders remain"</f>
        <v>Without Thermowood - columns / girders remain</v>
      </c>
      <c r="E12" s="1" t="str">
        <f>_xlfn.XLOOKUP('PRC import'!$H$3,LALIST,Language!B12:D12)</f>
        <v>Without Thermowood - columns / girders remain</v>
      </c>
    </row>
    <row r="13" spans="1:5">
      <c r="B13" s="1" t="s">
        <v>717</v>
      </c>
      <c r="C13" s="1" t="s">
        <v>718</v>
      </c>
      <c r="D13" s="1" t="s">
        <v>719</v>
      </c>
      <c r="E13" s="1" t="str">
        <f>_xlfn.XLOOKUP('PRC import'!$H$3,LALIST,Language!B13:D13)</f>
        <v>With gate hardware - euro cylinder lock</v>
      </c>
    </row>
    <row r="14" spans="1:5">
      <c r="B14" s="1" t="s">
        <v>720</v>
      </c>
      <c r="C14" s="1" t="s">
        <v>721</v>
      </c>
      <c r="D14" s="1" t="s">
        <v>722</v>
      </c>
      <c r="E14" s="1" t="str">
        <f>_xlfn.XLOOKUP('PRC import'!$H$3,LALIST,Language!B14:D14)</f>
        <v>With gate hardware - mechanical code lock - double sided</v>
      </c>
    </row>
    <row r="15" spans="1:5">
      <c r="B15" s="1" t="s">
        <v>723</v>
      </c>
      <c r="C15" s="1" t="s">
        <v>724</v>
      </c>
      <c r="D15" s="1" t="s">
        <v>725</v>
      </c>
      <c r="E15" s="1" t="str">
        <f>_xlfn.XLOOKUP('PRC import'!$H$3,LALIST,Language!B15:D15)</f>
        <v>With gate hardware - battery powered code lock - double sided</v>
      </c>
    </row>
    <row r="16" spans="1:5">
      <c r="B16" s="1" t="s">
        <v>726</v>
      </c>
      <c r="C16" s="1" t="s">
        <v>727</v>
      </c>
      <c r="D16" s="1" t="s">
        <v>728</v>
      </c>
      <c r="E16" s="1" t="str">
        <f>_xlfn.XLOOKUP('PRC import'!$H$3,LALIST,Language!B16:D16)</f>
        <v>Without gate hardware (lock - keep - handles - drop bolt - cylinder)</v>
      </c>
    </row>
    <row r="17" spans="2:5">
      <c r="B17" s="1" t="str">
        <f>"LED verlichting - "&amp;Calc!D26*Calc!D29&amp;" "&amp;IF(Calc!D26*Calc!D29&gt;1,"armaturen","armatuur")&amp;" - bekabeling in opbouw"</f>
        <v>LED verlichting - 1 armatuur - bekabeling in opbouw</v>
      </c>
      <c r="C17" s="1" t="str">
        <f>"Eclairage LED - "&amp;Calc!D26*Calc!D29&amp;" "&amp;IF(Calc!D26*Calc!D29&gt;1,"luminaires","luminaire")&amp;" - câbles en apparent"</f>
        <v>Eclairage LED - 1 luminaire - câbles en apparent</v>
      </c>
      <c r="D17" s="1" t="str">
        <f>"LED lighting - "&amp;Calc!D26*Calc!D29&amp;" "&amp;IF(Calc!D26*Calc!D29&gt;1,"fixtures","fixture")&amp;" - surface-mounted wiring"</f>
        <v>LED lighting - 1 fixture - surface-mounted wiring</v>
      </c>
      <c r="E17" s="1" t="str">
        <f>_xlfn.XLOOKUP('PRC import'!$H$3,LALIST,Language!B17:D17)</f>
        <v>LED lighting - 1 fixture - surface-mounted wiring</v>
      </c>
    </row>
    <row r="18" spans="2:5">
      <c r="B18" s="1" t="str">
        <f>"Dakrand - aluminium L-profiel - H=80mm"&amp;IF(Calc!D15=1," - gepoedercoat","")</f>
        <v>Dakrand - aluminium L-profiel - H=80mm</v>
      </c>
      <c r="C18" s="1" t="str">
        <f>"Bordure de toit - cornière en aluminium - H=80mm"&amp;IF(Calc!D15=1," - thermolaqué","")</f>
        <v>Bordure de toit - cornière en aluminium - H=80mm</v>
      </c>
      <c r="D18" s="1" t="str">
        <f>"Roof edge trim - aluminium L-profile - H=80mm"&amp;IF(Calc!D15=1," - powder coated","")</f>
        <v>Roof edge trim - aluminium L-profile - H=80mm</v>
      </c>
      <c r="E18" s="1" t="str">
        <f>_xlfn.XLOOKUP('PRC import'!$H$3,LALIST,Language!B18:D18)</f>
        <v>Roof edge trim - aluminium L-profile - H=80mm</v>
      </c>
    </row>
    <row r="19" spans="2:5">
      <c r="B19" s="1" t="s">
        <v>729</v>
      </c>
      <c r="C19" s="1" t="s">
        <v>730</v>
      </c>
      <c r="D19" s="1" t="s">
        <v>731</v>
      </c>
      <c r="E19" s="1" t="str">
        <f>_xlfn.XLOOKUP('PRC import'!$H$3,LALIST,Language!B19:D19)</f>
        <v>Chemical anchoring - ETA-21/0168</v>
      </c>
    </row>
    <row r="20" spans="2:5">
      <c r="B20" s="1" t="str">
        <f>IF(Calc!D67=1,"Inclusief ","Exclusief ")&amp;"montage en transport"</f>
        <v>Exclusief montage en transport</v>
      </c>
      <c r="C20" s="1" t="str">
        <f>"Montage et transport"&amp;IF(Calc!D67=1," inclus"," exclus")</f>
        <v>Montage et transport exclus</v>
      </c>
      <c r="D20" s="1" t="str">
        <f>"Installation and transport"&amp;IF(Calc!D67=1," included"," excluded")</f>
        <v>Installation and transport excluded</v>
      </c>
      <c r="E20" s="1" t="str">
        <f>_xlfn.XLOOKUP('PRC import'!$H$3,LALIST,Language!B20:D20)</f>
        <v>Installation and transport excluded</v>
      </c>
    </row>
    <row r="21" spans="2:5">
      <c r="B21" s="1" t="s">
        <v>732</v>
      </c>
      <c r="C21" s="1" t="s">
        <v>733</v>
      </c>
      <c r="D21" s="1" t="s">
        <v>734</v>
      </c>
      <c r="E21" s="1" t="str">
        <f>_xlfn.XLOOKUP('PRC import'!$H$3,LALIST,Language!B21:D21)</f>
        <v>Foundations excluded</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798E2-B8E3-4461-84AB-9ED0C105C1D1}">
  <dimension ref="A1:M242"/>
  <sheetViews>
    <sheetView workbookViewId="0">
      <selection activeCell="C204" sqref="C204"/>
    </sheetView>
  </sheetViews>
  <sheetFormatPr defaultColWidth="8.85546875" defaultRowHeight="15"/>
  <cols>
    <col min="1" max="1" width="12.7109375" bestFit="1" customWidth="1"/>
    <col min="2" max="2" width="71.42578125" bestFit="1" customWidth="1"/>
    <col min="3" max="3" width="5.28515625" bestFit="1" customWidth="1"/>
    <col min="4" max="4" width="11.28515625" bestFit="1" customWidth="1"/>
    <col min="5" max="5" width="15.42578125" bestFit="1" customWidth="1"/>
    <col min="6" max="6" width="7" bestFit="1" customWidth="1"/>
  </cols>
  <sheetData>
    <row r="1" spans="1:5" s="2" customFormat="1">
      <c r="A1" s="2" t="s">
        <v>656</v>
      </c>
      <c r="B1" s="2" t="s">
        <v>657</v>
      </c>
      <c r="C1" s="2" t="s">
        <v>692</v>
      </c>
      <c r="D1" s="2" t="s">
        <v>735</v>
      </c>
      <c r="E1" s="2" t="s">
        <v>736</v>
      </c>
    </row>
    <row r="2" spans="1:5">
      <c r="A2" s="79" t="s">
        <v>303</v>
      </c>
      <c r="B2" s="79" t="s">
        <v>304</v>
      </c>
      <c r="C2" s="79" t="s">
        <v>6</v>
      </c>
      <c r="D2">
        <f>_xlfn.XLOOKUP(A2,Price!A:A,Price!C:C,0,0)</f>
        <v>83.88</v>
      </c>
      <c r="E2">
        <f>_xlfn.XLOOKUP(A2,Montage!A:A,Montage!C:C,0,0)+IF(Calc!$D$18=1,_xlfn.XLOOKUP(A2,Montage!A:A,Montage!D:D,0,0),0)</f>
        <v>0.2</v>
      </c>
    </row>
    <row r="3" spans="1:5">
      <c r="A3" s="79" t="s">
        <v>305</v>
      </c>
      <c r="B3" s="79" t="s">
        <v>306</v>
      </c>
      <c r="C3" s="79" t="s">
        <v>6</v>
      </c>
      <c r="D3">
        <f>_xlfn.XLOOKUP(A3,Price!A:A,Price!C:C,0,0)</f>
        <v>127.27</v>
      </c>
      <c r="E3">
        <f>_xlfn.XLOOKUP(A3,Montage!A:A,Montage!C:C,0,0)+IF(Calc!$D$18=1,_xlfn.XLOOKUP(A3,Montage!A:A,Montage!D:D,0,0),0)</f>
        <v>0.2</v>
      </c>
    </row>
    <row r="4" spans="1:5">
      <c r="A4" s="79" t="s">
        <v>307</v>
      </c>
      <c r="B4" s="79" t="s">
        <v>308</v>
      </c>
      <c r="C4" s="79" t="s">
        <v>6</v>
      </c>
      <c r="D4">
        <f>_xlfn.XLOOKUP(A4,Price!A:A,Price!C:C,0,0)</f>
        <v>98.35</v>
      </c>
      <c r="E4">
        <f>_xlfn.XLOOKUP(A4,Montage!A:A,Montage!C:C,0,0)+IF(Calc!$D$18=1,_xlfn.XLOOKUP(A4,Montage!A:A,Montage!D:D,0,0),0)</f>
        <v>0.2</v>
      </c>
    </row>
    <row r="5" spans="1:5">
      <c r="A5" s="79" t="s">
        <v>309</v>
      </c>
      <c r="B5" s="79" t="s">
        <v>310</v>
      </c>
      <c r="C5" s="79" t="s">
        <v>6</v>
      </c>
      <c r="D5">
        <f>_xlfn.XLOOKUP(A5,Price!A:A,Price!C:C,0,0)</f>
        <v>146.36000000000001</v>
      </c>
      <c r="E5">
        <f>_xlfn.XLOOKUP(A5,Montage!A:A,Montage!C:C,0,0)+IF(Calc!$D$18=1,_xlfn.XLOOKUP(A5,Montage!A:A,Montage!D:D,0,0),0)</f>
        <v>0.2</v>
      </c>
    </row>
    <row r="6" spans="1:5">
      <c r="A6" s="79" t="s">
        <v>311</v>
      </c>
      <c r="B6" s="79" t="s">
        <v>312</v>
      </c>
      <c r="C6" s="79" t="s">
        <v>6</v>
      </c>
      <c r="D6">
        <f>_xlfn.XLOOKUP(A6,Price!A:A,Price!C:C,0,0)</f>
        <v>100.12</v>
      </c>
      <c r="E6">
        <f>_xlfn.XLOOKUP(A6,Montage!A:A,Montage!C:C,0,0)+IF(Calc!$D$18=1,_xlfn.XLOOKUP(A6,Montage!A:A,Montage!D:D,0,0),0)</f>
        <v>0.2</v>
      </c>
    </row>
    <row r="7" spans="1:5">
      <c r="A7" s="79" t="s">
        <v>313</v>
      </c>
      <c r="B7" s="79" t="s">
        <v>314</v>
      </c>
      <c r="C7" s="79" t="s">
        <v>6</v>
      </c>
      <c r="D7">
        <f>_xlfn.XLOOKUP(A7,Price!A:A,Price!C:C,0,0)</f>
        <v>155.62</v>
      </c>
      <c r="E7">
        <f>_xlfn.XLOOKUP(A7,Montage!A:A,Montage!C:C,0,0)+IF(Calc!$D$18=1,_xlfn.XLOOKUP(A7,Montage!A:A,Montage!D:D,0,0),0)</f>
        <v>0.2</v>
      </c>
    </row>
    <row r="8" spans="1:5">
      <c r="A8" s="79" t="s">
        <v>315</v>
      </c>
      <c r="B8" s="79" t="s">
        <v>316</v>
      </c>
      <c r="C8" s="79" t="s">
        <v>6</v>
      </c>
      <c r="D8">
        <f>_xlfn.XLOOKUP(A8,Price!A:A,Price!C:C,0,0)</f>
        <v>164.58</v>
      </c>
      <c r="E8">
        <f>_xlfn.XLOOKUP(A8,Montage!A:A,Montage!C:C,0,0)+IF(Calc!$D$18=1,_xlfn.XLOOKUP(A8,Montage!A:A,Montage!D:D,0,0),0)</f>
        <v>0.2</v>
      </c>
    </row>
    <row r="9" spans="1:5">
      <c r="A9" s="79" t="s">
        <v>317</v>
      </c>
      <c r="B9" s="79" t="s">
        <v>318</v>
      </c>
      <c r="C9" s="79" t="s">
        <v>6</v>
      </c>
      <c r="D9">
        <f>_xlfn.XLOOKUP(A9,Price!A:A,Price!C:C,0,0)</f>
        <v>225.07</v>
      </c>
      <c r="E9">
        <f>_xlfn.XLOOKUP(A9,Montage!A:A,Montage!C:C,0,0)+IF(Calc!$D$18=1,_xlfn.XLOOKUP(A9,Montage!A:A,Montage!D:D,0,0),0)</f>
        <v>0.2</v>
      </c>
    </row>
    <row r="10" spans="1:5">
      <c r="A10" s="79" t="s">
        <v>319</v>
      </c>
      <c r="B10" s="79" t="s">
        <v>320</v>
      </c>
      <c r="C10" s="79" t="s">
        <v>6</v>
      </c>
      <c r="D10">
        <f>_xlfn.XLOOKUP(A10,Price!A:A,Price!C:C,0,0)</f>
        <v>194.69</v>
      </c>
      <c r="E10">
        <f>_xlfn.XLOOKUP(A10,Montage!A:A,Montage!C:C,0,0)+IF(Calc!$D$18=1,_xlfn.XLOOKUP(A10,Montage!A:A,Montage!D:D,0,0),0)</f>
        <v>0.27</v>
      </c>
    </row>
    <row r="11" spans="1:5">
      <c r="A11" s="79" t="s">
        <v>321</v>
      </c>
      <c r="B11" s="79" t="s">
        <v>322</v>
      </c>
      <c r="C11" s="79" t="s">
        <v>6</v>
      </c>
      <c r="D11">
        <f>_xlfn.XLOOKUP(A11,Price!A:A,Price!C:C,0,0)</f>
        <v>281.26</v>
      </c>
      <c r="E11">
        <f>_xlfn.XLOOKUP(A11,Montage!A:A,Montage!C:C,0,0)+IF(Calc!$D$18=1,_xlfn.XLOOKUP(A11,Montage!A:A,Montage!D:D,0,0),0)</f>
        <v>0.27</v>
      </c>
    </row>
    <row r="12" spans="1:5">
      <c r="A12" s="79" t="s">
        <v>323</v>
      </c>
      <c r="B12" s="79" t="s">
        <v>324</v>
      </c>
      <c r="C12" s="79" t="s">
        <v>6</v>
      </c>
      <c r="D12">
        <f>_xlfn.XLOOKUP(A12,Price!A:A,Price!C:C,0,0)</f>
        <v>209.17</v>
      </c>
      <c r="E12">
        <f>_xlfn.XLOOKUP(A12,Montage!A:A,Montage!C:C,0,0)+IF(Calc!$D$18=1,_xlfn.XLOOKUP(A12,Montage!A:A,Montage!D:D,0,0),0)</f>
        <v>0.27</v>
      </c>
    </row>
    <row r="13" spans="1:5">
      <c r="A13" s="79" t="s">
        <v>325</v>
      </c>
      <c r="B13" s="79" t="s">
        <v>326</v>
      </c>
      <c r="C13" s="79" t="s">
        <v>6</v>
      </c>
      <c r="D13">
        <f>_xlfn.XLOOKUP(A13,Price!A:A,Price!C:C,0,0)</f>
        <v>318.49</v>
      </c>
      <c r="E13">
        <f>_xlfn.XLOOKUP(A13,Montage!A:A,Montage!C:C,0,0)+IF(Calc!$D$18=1,_xlfn.XLOOKUP(A13,Montage!A:A,Montage!D:D,0,0),0)</f>
        <v>0.27</v>
      </c>
    </row>
    <row r="14" spans="1:5">
      <c r="A14" s="79" t="s">
        <v>327</v>
      </c>
      <c r="B14" s="79" t="s">
        <v>328</v>
      </c>
      <c r="C14" s="79" t="s">
        <v>6</v>
      </c>
      <c r="D14">
        <f>_xlfn.XLOOKUP(A14,Price!A:A,Price!C:C,0,0)</f>
        <v>236.49</v>
      </c>
      <c r="E14">
        <f>_xlfn.XLOOKUP(A14,Montage!A:A,Montage!C:C,0,0)+IF(Calc!$D$18=1,_xlfn.XLOOKUP(A14,Montage!A:A,Montage!D:D,0,0),0)</f>
        <v>0.27</v>
      </c>
    </row>
    <row r="15" spans="1:5">
      <c r="A15" s="79" t="s">
        <v>329</v>
      </c>
      <c r="B15" s="79" t="s">
        <v>330</v>
      </c>
      <c r="C15" s="79" t="s">
        <v>6</v>
      </c>
      <c r="D15">
        <f>_xlfn.XLOOKUP(A15,Price!A:A,Price!C:C,0,0)</f>
        <v>369.17</v>
      </c>
      <c r="E15">
        <f>_xlfn.XLOOKUP(A15,Montage!A:A,Montage!C:C,0,0)+IF(Calc!$D$18=1,_xlfn.XLOOKUP(A15,Montage!A:A,Montage!D:D,0,0),0)</f>
        <v>0.27</v>
      </c>
    </row>
    <row r="16" spans="1:5">
      <c r="A16" s="79" t="s">
        <v>331</v>
      </c>
      <c r="B16" s="79" t="s">
        <v>332</v>
      </c>
      <c r="C16" s="79" t="s">
        <v>6</v>
      </c>
      <c r="D16">
        <f>_xlfn.XLOOKUP(A16,Price!A:A,Price!C:C,0,0)</f>
        <v>10.34</v>
      </c>
      <c r="E16">
        <f>_xlfn.XLOOKUP(A16,Montage!A:A,Montage!C:C,0,0)+IF(Calc!$D$18=1,_xlfn.XLOOKUP(A16,Montage!A:A,Montage!D:D,0,0),0)</f>
        <v>0</v>
      </c>
    </row>
    <row r="17" spans="1:5">
      <c r="A17" s="79" t="s">
        <v>333</v>
      </c>
      <c r="B17" s="79" t="s">
        <v>334</v>
      </c>
      <c r="C17" s="79" t="s">
        <v>6</v>
      </c>
      <c r="D17">
        <f>_xlfn.XLOOKUP(A17,Price!A:A,Price!C:C,0,0)</f>
        <v>10.18</v>
      </c>
      <c r="E17">
        <f>_xlfn.XLOOKUP(A17,Montage!A:A,Montage!C:C,0,0)+IF(Calc!$D$18=1,_xlfn.XLOOKUP(A17,Montage!A:A,Montage!D:D,0,0),0)</f>
        <v>0</v>
      </c>
    </row>
    <row r="18" spans="1:5">
      <c r="A18" s="79" t="s">
        <v>335</v>
      </c>
      <c r="B18" s="79" t="s">
        <v>336</v>
      </c>
      <c r="C18" s="79" t="s">
        <v>6</v>
      </c>
      <c r="D18">
        <f>_xlfn.XLOOKUP(A18,Price!A:A,Price!C:C,0,0)</f>
        <v>16.88</v>
      </c>
      <c r="E18">
        <f>_xlfn.XLOOKUP(A18,Montage!A:A,Montage!C:C,0,0)+IF(Calc!$D$18=1,_xlfn.XLOOKUP(A18,Montage!A:A,Montage!D:D,0,0),0)</f>
        <v>0</v>
      </c>
    </row>
    <row r="19" spans="1:5">
      <c r="A19" s="79" t="s">
        <v>337</v>
      </c>
      <c r="B19" s="79" t="s">
        <v>338</v>
      </c>
      <c r="C19" s="79" t="s">
        <v>6</v>
      </c>
      <c r="D19">
        <f>_xlfn.XLOOKUP(A19,Price!A:A,Price!C:C,0,0)</f>
        <v>19.7</v>
      </c>
      <c r="E19">
        <f>_xlfn.XLOOKUP(A19,Montage!A:A,Montage!C:C,0,0)+IF(Calc!$D$18=1,_xlfn.XLOOKUP(A19,Montage!A:A,Montage!D:D,0,0),0)</f>
        <v>0</v>
      </c>
    </row>
    <row r="20" spans="1:5">
      <c r="A20" s="79" t="s">
        <v>364</v>
      </c>
      <c r="B20" s="79" t="s">
        <v>365</v>
      </c>
      <c r="C20" s="79" t="s">
        <v>6</v>
      </c>
      <c r="D20">
        <f>_xlfn.XLOOKUP(A20,Price!A:A,Price!C:C,0,0)</f>
        <v>80.64</v>
      </c>
      <c r="E20">
        <f>_xlfn.XLOOKUP(A20,Montage!A:A,Montage!C:C,0,0)+IF(Calc!$D$18=1,_xlfn.XLOOKUP(A20,Montage!A:A,Montage!D:D,0,0),0)</f>
        <v>0.4</v>
      </c>
    </row>
    <row r="21" spans="1:5">
      <c r="A21" s="79" t="s">
        <v>366</v>
      </c>
      <c r="B21" s="79" t="s">
        <v>367</v>
      </c>
      <c r="C21" s="79" t="s">
        <v>6</v>
      </c>
      <c r="D21">
        <f>_xlfn.XLOOKUP(A21,Price!A:A,Price!C:C,0,0)</f>
        <v>119.15</v>
      </c>
      <c r="E21">
        <f>_xlfn.XLOOKUP(A21,Montage!A:A,Montage!C:C,0,0)+IF(Calc!$D$18=1,_xlfn.XLOOKUP(A21,Montage!A:A,Montage!D:D,0,0),0)</f>
        <v>0.4</v>
      </c>
    </row>
    <row r="22" spans="1:5">
      <c r="A22" s="79" t="s">
        <v>368</v>
      </c>
      <c r="B22" s="79" t="s">
        <v>369</v>
      </c>
      <c r="C22" s="79" t="s">
        <v>6</v>
      </c>
      <c r="D22">
        <f>_xlfn.XLOOKUP(A22,Price!A:A,Price!C:C,0,0)</f>
        <v>102.54</v>
      </c>
      <c r="E22">
        <f>_xlfn.XLOOKUP(A22,Montage!A:A,Montage!C:C,0,0)+IF(Calc!$D$18=1,_xlfn.XLOOKUP(A22,Montage!A:A,Montage!D:D,0,0),0)</f>
        <v>0.4</v>
      </c>
    </row>
    <row r="23" spans="1:5">
      <c r="A23" s="79" t="s">
        <v>370</v>
      </c>
      <c r="B23" s="79" t="s">
        <v>371</v>
      </c>
      <c r="C23" s="79" t="s">
        <v>6</v>
      </c>
      <c r="D23">
        <f>_xlfn.XLOOKUP(A23,Price!A:A,Price!C:C,0,0)</f>
        <v>145.21</v>
      </c>
      <c r="E23">
        <f>_xlfn.XLOOKUP(A23,Montage!A:A,Montage!C:C,0,0)+IF(Calc!$D$18=1,_xlfn.XLOOKUP(A23,Montage!A:A,Montage!D:D,0,0),0)</f>
        <v>0.4</v>
      </c>
    </row>
    <row r="24" spans="1:5">
      <c r="A24" s="79" t="s">
        <v>372</v>
      </c>
      <c r="B24" s="79" t="s">
        <v>373</v>
      </c>
      <c r="C24" s="79" t="s">
        <v>6</v>
      </c>
      <c r="D24">
        <f>_xlfn.XLOOKUP(A24,Price!A:A,Price!C:C,0,0)</f>
        <v>36.76</v>
      </c>
      <c r="E24">
        <f>_xlfn.XLOOKUP(A24,Montage!A:A,Montage!C:C,0,0)+IF(Calc!$D$18=1,_xlfn.XLOOKUP(A24,Montage!A:A,Montage!D:D,0,0),0)</f>
        <v>0.2</v>
      </c>
    </row>
    <row r="25" spans="1:5">
      <c r="A25" s="79" t="s">
        <v>374</v>
      </c>
      <c r="B25" s="79" t="s">
        <v>375</v>
      </c>
      <c r="C25" s="79" t="s">
        <v>6</v>
      </c>
      <c r="D25">
        <f>_xlfn.XLOOKUP(A25,Price!A:A,Price!C:C,0,0)</f>
        <v>38.57</v>
      </c>
      <c r="E25">
        <f>_xlfn.XLOOKUP(A25,Montage!A:A,Montage!C:C,0,0)+IF(Calc!$D$18=1,_xlfn.XLOOKUP(A25,Montage!A:A,Montage!D:D,0,0),0)</f>
        <v>0.2</v>
      </c>
    </row>
    <row r="26" spans="1:5">
      <c r="A26" s="79" t="s">
        <v>376</v>
      </c>
      <c r="B26" s="79" t="s">
        <v>377</v>
      </c>
      <c r="C26" s="79" t="s">
        <v>6</v>
      </c>
      <c r="D26">
        <f>_xlfn.XLOOKUP(A26,Price!A:A,Price!C:C,0,0)</f>
        <v>49.09</v>
      </c>
      <c r="E26">
        <f>_xlfn.XLOOKUP(A26,Montage!A:A,Montage!C:C,0,0)+IF(Calc!$D$18=1,_xlfn.XLOOKUP(A26,Montage!A:A,Montage!D:D,0,0),0)</f>
        <v>0.2</v>
      </c>
    </row>
    <row r="27" spans="1:5">
      <c r="A27" s="79" t="s">
        <v>378</v>
      </c>
      <c r="B27" s="79" t="s">
        <v>379</v>
      </c>
      <c r="C27" s="79" t="s">
        <v>6</v>
      </c>
      <c r="D27">
        <f>_xlfn.XLOOKUP(A27,Price!A:A,Price!C:C,0,0)</f>
        <v>53.75</v>
      </c>
      <c r="E27">
        <f>_xlfn.XLOOKUP(A27,Montage!A:A,Montage!C:C,0,0)+IF(Calc!$D$18=1,_xlfn.XLOOKUP(A27,Montage!A:A,Montage!D:D,0,0),0)</f>
        <v>0.2</v>
      </c>
    </row>
    <row r="28" spans="1:5">
      <c r="A28" s="79" t="s">
        <v>380</v>
      </c>
      <c r="B28" s="79" t="s">
        <v>381</v>
      </c>
      <c r="C28" s="79" t="s">
        <v>6</v>
      </c>
      <c r="D28">
        <f>_xlfn.XLOOKUP(A28,Price!A:A,Price!C:C,0,0)</f>
        <v>20.100000000000001</v>
      </c>
      <c r="E28">
        <f>_xlfn.XLOOKUP(A28,Montage!A:A,Montage!C:C,0,0)+IF(Calc!$D$18=1,_xlfn.XLOOKUP(A28,Montage!A:A,Montage!D:D,0,0),0)</f>
        <v>0</v>
      </c>
    </row>
    <row r="29" spans="1:5">
      <c r="A29" s="79" t="s">
        <v>382</v>
      </c>
      <c r="B29" s="79" t="s">
        <v>383</v>
      </c>
      <c r="C29" s="79" t="s">
        <v>6</v>
      </c>
      <c r="D29">
        <f>_xlfn.XLOOKUP(A29,Price!A:A,Price!C:C,0,0)</f>
        <v>18.829999999999998</v>
      </c>
      <c r="E29">
        <f>_xlfn.XLOOKUP(A29,Montage!A:A,Montage!C:C,0,0)+IF(Calc!$D$18=1,_xlfn.XLOOKUP(A29,Montage!A:A,Montage!D:D,0,0),0)</f>
        <v>0</v>
      </c>
    </row>
    <row r="30" spans="1:5">
      <c r="A30" s="79" t="s">
        <v>177</v>
      </c>
      <c r="B30" s="79" t="s">
        <v>178</v>
      </c>
      <c r="C30" s="79" t="s">
        <v>6</v>
      </c>
      <c r="D30">
        <f>_xlfn.XLOOKUP(A30,Price!A:A,Price!C:C,0,0)</f>
        <v>89.34</v>
      </c>
      <c r="E30">
        <f>_xlfn.XLOOKUP(A30,Montage!A:A,Montage!C:C,0,0)+IF(Calc!$D$18=1,_xlfn.XLOOKUP(A30,Montage!A:A,Montage!D:D,0,0),0)</f>
        <v>0.87</v>
      </c>
    </row>
    <row r="31" spans="1:5">
      <c r="A31" s="79" t="s">
        <v>179</v>
      </c>
      <c r="B31" s="79" t="s">
        <v>180</v>
      </c>
      <c r="C31" s="79" t="s">
        <v>6</v>
      </c>
      <c r="D31">
        <f>_xlfn.XLOOKUP(A31,Price!A:A,Price!C:C,0,0)</f>
        <v>133.43</v>
      </c>
      <c r="E31">
        <f>_xlfn.XLOOKUP(A31,Montage!A:A,Montage!C:C,0,0)+IF(Calc!$D$18=1,_xlfn.XLOOKUP(A31,Montage!A:A,Montage!D:D,0,0),0)</f>
        <v>0.87</v>
      </c>
    </row>
    <row r="32" spans="1:5">
      <c r="A32" s="79" t="s">
        <v>181</v>
      </c>
      <c r="B32" s="79" t="s">
        <v>182</v>
      </c>
      <c r="C32" s="79" t="s">
        <v>6</v>
      </c>
      <c r="D32">
        <f>_xlfn.XLOOKUP(A32,Price!A:A,Price!C:C,0,0)</f>
        <v>89.4</v>
      </c>
      <c r="E32">
        <f>_xlfn.XLOOKUP(A32,Montage!A:A,Montage!C:C,0,0)+IF(Calc!$D$18=1,_xlfn.XLOOKUP(A32,Montage!A:A,Montage!D:D,0,0),0)</f>
        <v>0.87</v>
      </c>
    </row>
    <row r="33" spans="1:5">
      <c r="A33" s="79" t="s">
        <v>183</v>
      </c>
      <c r="B33" s="79" t="s">
        <v>184</v>
      </c>
      <c r="C33" s="79" t="s">
        <v>6</v>
      </c>
      <c r="D33">
        <f>_xlfn.XLOOKUP(A33,Price!A:A,Price!C:C,0,0)</f>
        <v>133.49</v>
      </c>
      <c r="E33">
        <f>_xlfn.XLOOKUP(A33,Montage!A:A,Montage!C:C,0,0)+IF(Calc!$D$18=1,_xlfn.XLOOKUP(A33,Montage!A:A,Montage!D:D,0,0),0)</f>
        <v>0.87</v>
      </c>
    </row>
    <row r="34" spans="1:5">
      <c r="A34" s="79" t="s">
        <v>185</v>
      </c>
      <c r="B34" s="79" t="s">
        <v>186</v>
      </c>
      <c r="C34" s="79" t="s">
        <v>6</v>
      </c>
      <c r="D34">
        <f>_xlfn.XLOOKUP(A34,Price!A:A,Price!C:C,0,0)</f>
        <v>104.57</v>
      </c>
      <c r="E34">
        <f>_xlfn.XLOOKUP(A34,Montage!A:A,Montage!C:C,0,0)+IF(Calc!$D$18=1,_xlfn.XLOOKUP(A34,Montage!A:A,Montage!D:D,0,0),0)</f>
        <v>0.87</v>
      </c>
    </row>
    <row r="35" spans="1:5">
      <c r="A35" s="79" t="s">
        <v>187</v>
      </c>
      <c r="B35" s="79" t="s">
        <v>188</v>
      </c>
      <c r="C35" s="79" t="s">
        <v>6</v>
      </c>
      <c r="D35">
        <f>_xlfn.XLOOKUP(A35,Price!A:A,Price!C:C,0,0)</f>
        <v>162.56</v>
      </c>
      <c r="E35">
        <f>_xlfn.XLOOKUP(A35,Montage!A:A,Montage!C:C,0,0)+IF(Calc!$D$18=1,_xlfn.XLOOKUP(A35,Montage!A:A,Montage!D:D,0,0),0)</f>
        <v>0.87</v>
      </c>
    </row>
    <row r="36" spans="1:5">
      <c r="A36" s="79" t="s">
        <v>189</v>
      </c>
      <c r="B36" s="79" t="s">
        <v>190</v>
      </c>
      <c r="C36" s="79" t="s">
        <v>6</v>
      </c>
      <c r="D36">
        <f>_xlfn.XLOOKUP(A36,Price!A:A,Price!C:C,0,0)</f>
        <v>98.22</v>
      </c>
      <c r="E36">
        <f>_xlfn.XLOOKUP(A36,Montage!A:A,Montage!C:C,0,0)+IF(Calc!$D$18=1,_xlfn.XLOOKUP(A36,Montage!A:A,Montage!D:D,0,0),0)</f>
        <v>0.87</v>
      </c>
    </row>
    <row r="37" spans="1:5">
      <c r="A37" s="79" t="s">
        <v>191</v>
      </c>
      <c r="B37" s="79" t="s">
        <v>192</v>
      </c>
      <c r="C37" s="79" t="s">
        <v>6</v>
      </c>
      <c r="D37">
        <f>_xlfn.XLOOKUP(A37,Price!A:A,Price!C:C,0,0)</f>
        <v>156.22</v>
      </c>
      <c r="E37">
        <f>_xlfn.XLOOKUP(A37,Montage!A:A,Montage!C:C,0,0)+IF(Calc!$D$18=1,_xlfn.XLOOKUP(A37,Montage!A:A,Montage!D:D,0,0),0)</f>
        <v>0.87</v>
      </c>
    </row>
    <row r="38" spans="1:5">
      <c r="A38" s="79" t="s">
        <v>221</v>
      </c>
      <c r="B38" s="79" t="s">
        <v>222</v>
      </c>
      <c r="C38" s="79" t="s">
        <v>6</v>
      </c>
      <c r="D38">
        <f>_xlfn.XLOOKUP(A38,Price!A:A,Price!C:C,0,0)</f>
        <v>49.6</v>
      </c>
      <c r="E38">
        <f>_xlfn.XLOOKUP(A38,Montage!A:A,Montage!C:C,0,0)+IF(Calc!$D$18=1,_xlfn.XLOOKUP(A38,Montage!A:A,Montage!D:D,0,0),0)</f>
        <v>0</v>
      </c>
    </row>
    <row r="39" spans="1:5">
      <c r="A39" s="79" t="s">
        <v>225</v>
      </c>
      <c r="B39" s="79" t="s">
        <v>226</v>
      </c>
      <c r="C39" s="79" t="s">
        <v>6</v>
      </c>
      <c r="D39">
        <f>_xlfn.XLOOKUP(A39,Price!A:A,Price!C:C,0,0)</f>
        <v>56.35</v>
      </c>
      <c r="E39">
        <f>_xlfn.XLOOKUP(A39,Montage!A:A,Montage!C:C,0,0)+IF(Calc!$D$18=1,_xlfn.XLOOKUP(A39,Montage!A:A,Montage!D:D,0,0),0)</f>
        <v>0</v>
      </c>
    </row>
    <row r="40" spans="1:5">
      <c r="A40" s="79" t="s">
        <v>227</v>
      </c>
      <c r="B40" s="79" t="s">
        <v>228</v>
      </c>
      <c r="C40" s="79" t="s">
        <v>6</v>
      </c>
      <c r="D40">
        <f>_xlfn.XLOOKUP(A40,Price!A:A,Price!C:C,0,0)</f>
        <v>69.33</v>
      </c>
      <c r="E40">
        <f>_xlfn.XLOOKUP(A40,Montage!A:A,Montage!C:C,0,0)+IF(Calc!$D$18=1,_xlfn.XLOOKUP(A40,Montage!A:A,Montage!D:D,0,0),0)</f>
        <v>0</v>
      </c>
    </row>
    <row r="41" spans="1:5">
      <c r="A41" s="79" t="s">
        <v>223</v>
      </c>
      <c r="B41" s="79" t="s">
        <v>224</v>
      </c>
      <c r="C41" s="79" t="s">
        <v>6</v>
      </c>
      <c r="D41">
        <f>_xlfn.XLOOKUP(A41,Price!A:A,Price!C:C,0,0)</f>
        <v>62.58</v>
      </c>
      <c r="E41">
        <f>_xlfn.XLOOKUP(A41,Montage!A:A,Montage!C:C,0,0)+IF(Calc!$D$18=1,_xlfn.XLOOKUP(A41,Montage!A:A,Montage!D:D,0,0),0)</f>
        <v>0</v>
      </c>
    </row>
    <row r="42" spans="1:5">
      <c r="A42" s="79" t="s">
        <v>230</v>
      </c>
      <c r="B42" s="79" t="s">
        <v>231</v>
      </c>
      <c r="C42" s="79" t="s">
        <v>6</v>
      </c>
      <c r="D42">
        <f>_xlfn.XLOOKUP(A42,Price!A:A,Price!C:C,0,0)</f>
        <v>27.36</v>
      </c>
      <c r="E42">
        <f>_xlfn.XLOOKUP(A42,Montage!A:A,Montage!C:C,0,0)+IF(Calc!$D$18=1,_xlfn.XLOOKUP(A42,Montage!A:A,Montage!D:D,0,0),0)</f>
        <v>0</v>
      </c>
    </row>
    <row r="43" spans="1:5">
      <c r="A43" s="79" t="s">
        <v>232</v>
      </c>
      <c r="B43" s="79" t="s">
        <v>233</v>
      </c>
      <c r="C43" s="79" t="s">
        <v>6</v>
      </c>
      <c r="D43">
        <f>_xlfn.XLOOKUP(A43,Price!A:A,Price!C:C,0,0)</f>
        <v>35.590000000000003</v>
      </c>
      <c r="E43">
        <f>_xlfn.XLOOKUP(A43,Montage!A:A,Montage!C:C,0,0)+IF(Calc!$D$18=1,_xlfn.XLOOKUP(A43,Montage!A:A,Montage!D:D,0,0),0)</f>
        <v>0</v>
      </c>
    </row>
    <row r="44" spans="1:5">
      <c r="A44" s="79" t="s">
        <v>340</v>
      </c>
      <c r="B44" s="79" t="s">
        <v>341</v>
      </c>
      <c r="C44" s="79" t="s">
        <v>6</v>
      </c>
      <c r="D44">
        <f>_xlfn.XLOOKUP(A44,Price!A:A,Price!C:C,0,0)</f>
        <v>39.71</v>
      </c>
      <c r="E44">
        <f>_xlfn.XLOOKUP(A44,Montage!A:A,Montage!C:C,0,0)+IF(Calc!$D$18=1,_xlfn.XLOOKUP(A44,Montage!A:A,Montage!D:D,0,0),0)</f>
        <v>0.2</v>
      </c>
    </row>
    <row r="45" spans="1:5">
      <c r="A45" s="79" t="s">
        <v>342</v>
      </c>
      <c r="B45" s="79" t="s">
        <v>343</v>
      </c>
      <c r="C45" s="79" t="s">
        <v>6</v>
      </c>
      <c r="D45">
        <f>_xlfn.XLOOKUP(A45,Price!A:A,Price!C:C,0,0)</f>
        <v>60.33</v>
      </c>
      <c r="E45">
        <f>_xlfn.XLOOKUP(A45,Montage!A:A,Montage!C:C,0,0)+IF(Calc!$D$18=1,_xlfn.XLOOKUP(A45,Montage!A:A,Montage!D:D,0,0),0)</f>
        <v>0.2</v>
      </c>
    </row>
    <row r="46" spans="1:5">
      <c r="A46" s="79" t="s">
        <v>344</v>
      </c>
      <c r="B46" s="79" t="s">
        <v>345</v>
      </c>
      <c r="C46" s="79" t="s">
        <v>6</v>
      </c>
      <c r="D46">
        <f>_xlfn.XLOOKUP(A46,Price!A:A,Price!C:C,0,0)</f>
        <v>68.959999999999994</v>
      </c>
      <c r="E46">
        <f>_xlfn.XLOOKUP(A46,Montage!A:A,Montage!C:C,0,0)+IF(Calc!$D$18=1,_xlfn.XLOOKUP(A46,Montage!A:A,Montage!D:D,0,0),0)</f>
        <v>0.2</v>
      </c>
    </row>
    <row r="47" spans="1:5">
      <c r="A47" s="79" t="s">
        <v>346</v>
      </c>
      <c r="B47" s="79" t="s">
        <v>347</v>
      </c>
      <c r="C47" s="79" t="s">
        <v>6</v>
      </c>
      <c r="D47">
        <f>_xlfn.XLOOKUP(A47,Price!A:A,Price!C:C,0,0)</f>
        <v>99.16</v>
      </c>
      <c r="E47">
        <f>_xlfn.XLOOKUP(A47,Montage!A:A,Montage!C:C,0,0)+IF(Calc!$D$18=1,_xlfn.XLOOKUP(A47,Montage!A:A,Montage!D:D,0,0),0)</f>
        <v>0.2</v>
      </c>
    </row>
    <row r="48" spans="1:5">
      <c r="A48" s="79" t="s">
        <v>348</v>
      </c>
      <c r="B48" s="79" t="s">
        <v>349</v>
      </c>
      <c r="C48" s="79" t="s">
        <v>6</v>
      </c>
      <c r="D48">
        <f>_xlfn.XLOOKUP(A48,Price!A:A,Price!C:C,0,0)</f>
        <v>12.75</v>
      </c>
      <c r="E48">
        <f>_xlfn.XLOOKUP(A48,Montage!A:A,Montage!C:C,0,0)+IF(Calc!$D$18=1,_xlfn.XLOOKUP(A48,Montage!A:A,Montage!D:D,0,0),0)</f>
        <v>0.2</v>
      </c>
    </row>
    <row r="49" spans="1:5">
      <c r="A49" s="79" t="s">
        <v>350</v>
      </c>
      <c r="B49" s="79" t="s">
        <v>351</v>
      </c>
      <c r="C49" s="79" t="s">
        <v>6</v>
      </c>
      <c r="D49">
        <f>_xlfn.XLOOKUP(A49,Price!A:A,Price!C:C,0,0)</f>
        <v>16.14</v>
      </c>
      <c r="E49">
        <f>_xlfn.XLOOKUP(A49,Montage!A:A,Montage!C:C,0,0)+IF(Calc!$D$18=1,_xlfn.XLOOKUP(A49,Montage!A:A,Montage!D:D,0,0),0)</f>
        <v>0.2</v>
      </c>
    </row>
    <row r="50" spans="1:5">
      <c r="A50" s="79" t="s">
        <v>352</v>
      </c>
      <c r="B50" s="79" t="s">
        <v>353</v>
      </c>
      <c r="C50" s="79" t="s">
        <v>6</v>
      </c>
      <c r="D50">
        <f>_xlfn.XLOOKUP(A50,Price!A:A,Price!C:C,0,0)</f>
        <v>19.28</v>
      </c>
      <c r="E50">
        <f>_xlfn.XLOOKUP(A50,Montage!A:A,Montage!C:C,0,0)+IF(Calc!$D$18=1,_xlfn.XLOOKUP(A50,Montage!A:A,Montage!D:D,0,0),0)</f>
        <v>0.2</v>
      </c>
    </row>
    <row r="51" spans="1:5">
      <c r="A51" s="79" t="s">
        <v>354</v>
      </c>
      <c r="B51" s="79" t="s">
        <v>355</v>
      </c>
      <c r="C51" s="79" t="s">
        <v>6</v>
      </c>
      <c r="D51">
        <f>_xlfn.XLOOKUP(A51,Price!A:A,Price!C:C,0,0)</f>
        <v>29.77</v>
      </c>
      <c r="E51">
        <f>_xlfn.XLOOKUP(A51,Montage!A:A,Montage!C:C,0,0)+IF(Calc!$D$18=1,_xlfn.XLOOKUP(A51,Montage!A:A,Montage!D:D,0,0),0)</f>
        <v>0.2</v>
      </c>
    </row>
    <row r="52" spans="1:5">
      <c r="A52" s="79" t="s">
        <v>235</v>
      </c>
      <c r="B52" s="79" t="s">
        <v>236</v>
      </c>
      <c r="C52" s="79" t="s">
        <v>6</v>
      </c>
      <c r="D52">
        <f>_xlfn.XLOOKUP(A52,Price!A:A,Price!C:C,0,0)</f>
        <v>121.83</v>
      </c>
      <c r="E52">
        <f>_xlfn.XLOOKUP(A52,Montage!A:A,Montage!C:C,0,0)+IF(Calc!$D$18=1,_xlfn.XLOOKUP(A52,Montage!A:A,Montage!D:D,0,0),0)</f>
        <v>0.4</v>
      </c>
    </row>
    <row r="53" spans="1:5">
      <c r="A53" s="79" t="s">
        <v>237</v>
      </c>
      <c r="B53" s="79" t="s">
        <v>238</v>
      </c>
      <c r="C53" s="79" t="s">
        <v>6</v>
      </c>
      <c r="D53">
        <f>_xlfn.XLOOKUP(A53,Price!A:A,Price!C:C,0,0)</f>
        <v>202.58</v>
      </c>
      <c r="E53">
        <f>_xlfn.XLOOKUP(A53,Montage!A:A,Montage!C:C,0,0)+IF(Calc!$D$18=1,_xlfn.XLOOKUP(A53,Montage!A:A,Montage!D:D,0,0),0)</f>
        <v>0.4</v>
      </c>
    </row>
    <row r="54" spans="1:5">
      <c r="A54" s="79" t="s">
        <v>239</v>
      </c>
      <c r="B54" s="79" t="s">
        <v>240</v>
      </c>
      <c r="C54" s="79" t="s">
        <v>6</v>
      </c>
      <c r="D54">
        <f>_xlfn.XLOOKUP(A54,Price!A:A,Price!C:C,0,0)</f>
        <v>110.02</v>
      </c>
      <c r="E54">
        <f>_xlfn.XLOOKUP(A54,Montage!A:A,Montage!C:C,0,0)+IF(Calc!$D$18=1,_xlfn.XLOOKUP(A54,Montage!A:A,Montage!D:D,0,0),0)</f>
        <v>0.4</v>
      </c>
    </row>
    <row r="55" spans="1:5">
      <c r="A55" s="79" t="s">
        <v>241</v>
      </c>
      <c r="B55" s="79" t="s">
        <v>242</v>
      </c>
      <c r="C55" s="79" t="s">
        <v>6</v>
      </c>
      <c r="D55">
        <f>_xlfn.XLOOKUP(A55,Price!A:A,Price!C:C,0,0)</f>
        <v>191.62</v>
      </c>
      <c r="E55">
        <f>_xlfn.XLOOKUP(A55,Montage!A:A,Montage!C:C,0,0)+IF(Calc!$D$18=1,_xlfn.XLOOKUP(A55,Montage!A:A,Montage!D:D,0,0),0)</f>
        <v>0.4</v>
      </c>
    </row>
    <row r="56" spans="1:5">
      <c r="A56" s="79" t="s">
        <v>243</v>
      </c>
      <c r="B56" s="79" t="s">
        <v>244</v>
      </c>
      <c r="C56" s="79" t="s">
        <v>6</v>
      </c>
      <c r="D56">
        <f>_xlfn.XLOOKUP(A56,Price!A:A,Price!C:C,0,0)</f>
        <v>137</v>
      </c>
      <c r="E56">
        <f>_xlfn.XLOOKUP(A56,Montage!A:A,Montage!C:C,0,0)+IF(Calc!$D$18=1,_xlfn.XLOOKUP(A56,Montage!A:A,Montage!D:D,0,0),0)</f>
        <v>0.4</v>
      </c>
    </row>
    <row r="57" spans="1:5">
      <c r="A57" s="79" t="s">
        <v>245</v>
      </c>
      <c r="B57" s="79" t="s">
        <v>246</v>
      </c>
      <c r="C57" s="79" t="s">
        <v>6</v>
      </c>
      <c r="D57">
        <f>_xlfn.XLOOKUP(A57,Price!A:A,Price!C:C,0,0)</f>
        <v>239.35</v>
      </c>
      <c r="E57">
        <f>_xlfn.XLOOKUP(A57,Montage!A:A,Montage!C:C,0,0)+IF(Calc!$D$18=1,_xlfn.XLOOKUP(A57,Montage!A:A,Montage!D:D,0,0),0)</f>
        <v>0.4</v>
      </c>
    </row>
    <row r="58" spans="1:5">
      <c r="A58" s="79" t="s">
        <v>247</v>
      </c>
      <c r="B58" s="79" t="s">
        <v>248</v>
      </c>
      <c r="C58" s="79" t="s">
        <v>6</v>
      </c>
      <c r="D58">
        <f>_xlfn.XLOOKUP(A58,Price!A:A,Price!C:C,0,0)</f>
        <v>130.69999999999999</v>
      </c>
      <c r="E58">
        <f>_xlfn.XLOOKUP(A58,Montage!A:A,Montage!C:C,0,0)+IF(Calc!$D$18=1,_xlfn.XLOOKUP(A58,Montage!A:A,Montage!D:D,0,0),0)</f>
        <v>0.4</v>
      </c>
    </row>
    <row r="59" spans="1:5">
      <c r="A59" s="79" t="s">
        <v>249</v>
      </c>
      <c r="B59" s="79" t="s">
        <v>250</v>
      </c>
      <c r="C59" s="79" t="s">
        <v>6</v>
      </c>
      <c r="D59">
        <f>_xlfn.XLOOKUP(A59,Price!A:A,Price!C:C,0,0)</f>
        <v>233.86</v>
      </c>
      <c r="E59">
        <f>_xlfn.XLOOKUP(A59,Montage!A:A,Montage!C:C,0,0)+IF(Calc!$D$18=1,_xlfn.XLOOKUP(A59,Montage!A:A,Montage!D:D,0,0),0)</f>
        <v>0.4</v>
      </c>
    </row>
    <row r="60" spans="1:5">
      <c r="A60" s="79" t="s">
        <v>251</v>
      </c>
      <c r="B60" s="79" t="s">
        <v>252</v>
      </c>
      <c r="C60" s="79" t="s">
        <v>6</v>
      </c>
      <c r="D60">
        <f>_xlfn.XLOOKUP(A60,Price!A:A,Price!C:C,0,0)</f>
        <v>172.76</v>
      </c>
      <c r="E60">
        <f>_xlfn.XLOOKUP(A60,Montage!A:A,Montage!C:C,0,0)+IF(Calc!$D$18=1,_xlfn.XLOOKUP(A60,Montage!A:A,Montage!D:D,0,0),0)</f>
        <v>0.6</v>
      </c>
    </row>
    <row r="61" spans="1:5">
      <c r="A61" s="79" t="s">
        <v>253</v>
      </c>
      <c r="B61" s="79" t="s">
        <v>254</v>
      </c>
      <c r="C61" s="79" t="s">
        <v>6</v>
      </c>
      <c r="D61">
        <f>_xlfn.XLOOKUP(A61,Price!A:A,Price!C:C,0,0)</f>
        <v>341.85</v>
      </c>
      <c r="E61">
        <f>_xlfn.XLOOKUP(A61,Montage!A:A,Montage!C:C,0,0)+IF(Calc!$D$18=1,_xlfn.XLOOKUP(A61,Montage!A:A,Montage!D:D,0,0),0)</f>
        <v>0.6</v>
      </c>
    </row>
    <row r="62" spans="1:5">
      <c r="A62" s="79" t="s">
        <v>255</v>
      </c>
      <c r="B62" s="79" t="s">
        <v>256</v>
      </c>
      <c r="C62" s="79" t="s">
        <v>6</v>
      </c>
      <c r="D62">
        <f>_xlfn.XLOOKUP(A62,Price!A:A,Price!C:C,0,0)</f>
        <v>239.35</v>
      </c>
      <c r="E62">
        <f>_xlfn.XLOOKUP(A62,Montage!A:A,Montage!C:C,0,0)+IF(Calc!$D$18=1,_xlfn.XLOOKUP(A62,Montage!A:A,Montage!D:D,0,0),0)</f>
        <v>0.6</v>
      </c>
    </row>
    <row r="63" spans="1:5">
      <c r="A63" s="79" t="s">
        <v>257</v>
      </c>
      <c r="B63" s="79" t="s">
        <v>258</v>
      </c>
      <c r="C63" s="79" t="s">
        <v>6</v>
      </c>
      <c r="D63">
        <f>_xlfn.XLOOKUP(A63,Price!A:A,Price!C:C,0,0)</f>
        <v>451.59</v>
      </c>
      <c r="E63">
        <f>_xlfn.XLOOKUP(A63,Montage!A:A,Montage!C:C,0,0)+IF(Calc!$D$18=1,_xlfn.XLOOKUP(A63,Montage!A:A,Montage!D:D,0,0),0)</f>
        <v>0.6</v>
      </c>
    </row>
    <row r="64" spans="1:5">
      <c r="A64" s="79" t="s">
        <v>259</v>
      </c>
      <c r="B64" s="79" t="s">
        <v>260</v>
      </c>
      <c r="C64" s="79" t="s">
        <v>6</v>
      </c>
      <c r="D64">
        <f>_xlfn.XLOOKUP(A64,Price!A:A,Price!C:C,0,0)</f>
        <v>274.91000000000003</v>
      </c>
      <c r="E64">
        <f>_xlfn.XLOOKUP(A64,Montage!A:A,Montage!C:C,0,0)+IF(Calc!$D$18=1,_xlfn.XLOOKUP(A64,Montage!A:A,Montage!D:D,0,0),0)</f>
        <v>0.6</v>
      </c>
    </row>
    <row r="65" spans="1:5">
      <c r="A65" s="79" t="s">
        <v>261</v>
      </c>
      <c r="B65" s="79" t="s">
        <v>262</v>
      </c>
      <c r="C65" s="79" t="s">
        <v>6</v>
      </c>
      <c r="D65">
        <f>_xlfn.XLOOKUP(A65,Price!A:A,Price!C:C,0,0)</f>
        <v>531.58000000000004</v>
      </c>
      <c r="E65">
        <f>_xlfn.XLOOKUP(A65,Montage!A:A,Montage!C:C,0,0)+IF(Calc!$D$18=1,_xlfn.XLOOKUP(A65,Montage!A:A,Montage!D:D,0,0),0)</f>
        <v>0.6</v>
      </c>
    </row>
    <row r="66" spans="1:5">
      <c r="A66" s="79" t="s">
        <v>263</v>
      </c>
      <c r="B66" s="79" t="s">
        <v>264</v>
      </c>
      <c r="C66" s="79" t="s">
        <v>6</v>
      </c>
      <c r="D66">
        <f>_xlfn.XLOOKUP(A66,Price!A:A,Price!C:C,0,0)</f>
        <v>106.67</v>
      </c>
      <c r="E66">
        <f>_xlfn.XLOOKUP(A66,Montage!A:A,Montage!C:C,0,0)+IF(Calc!$D$18=1,_xlfn.XLOOKUP(A66,Montage!A:A,Montage!D:D,0,0),0)</f>
        <v>0.6</v>
      </c>
    </row>
    <row r="67" spans="1:5">
      <c r="A67" s="79" t="s">
        <v>265</v>
      </c>
      <c r="B67" s="79" t="s">
        <v>266</v>
      </c>
      <c r="C67" s="79" t="s">
        <v>6</v>
      </c>
      <c r="D67">
        <f>_xlfn.XLOOKUP(A67,Price!A:A,Price!C:C,0,0)</f>
        <v>189.12</v>
      </c>
      <c r="E67">
        <f>_xlfn.XLOOKUP(A67,Montage!A:A,Montage!C:C,0,0)+IF(Calc!$D$18=1,_xlfn.XLOOKUP(A67,Montage!A:A,Montage!D:D,0,0),0)</f>
        <v>0.6</v>
      </c>
    </row>
    <row r="68" spans="1:5">
      <c r="A68" s="79" t="s">
        <v>267</v>
      </c>
      <c r="B68" s="79" t="s">
        <v>268</v>
      </c>
      <c r="C68" s="79" t="s">
        <v>6</v>
      </c>
      <c r="D68">
        <f>_xlfn.XLOOKUP(A68,Price!A:A,Price!C:C,0,0)</f>
        <v>122.66</v>
      </c>
      <c r="E68">
        <f>_xlfn.XLOOKUP(A68,Montage!A:A,Montage!C:C,0,0)+IF(Calc!$D$18=1,_xlfn.XLOOKUP(A68,Montage!A:A,Montage!D:D,0,0),0)</f>
        <v>0.6</v>
      </c>
    </row>
    <row r="69" spans="1:5">
      <c r="A69" s="79" t="s">
        <v>269</v>
      </c>
      <c r="B69" s="79" t="s">
        <v>270</v>
      </c>
      <c r="C69" s="79" t="s">
        <v>6</v>
      </c>
      <c r="D69">
        <f>_xlfn.XLOOKUP(A69,Price!A:A,Price!C:C,0,0)</f>
        <v>226.93</v>
      </c>
      <c r="E69">
        <f>_xlfn.XLOOKUP(A69,Montage!A:A,Montage!C:C,0,0)+IF(Calc!$D$18=1,_xlfn.XLOOKUP(A69,Montage!A:A,Montage!D:D,0,0),0)</f>
        <v>0.6</v>
      </c>
    </row>
    <row r="70" spans="1:5">
      <c r="A70" s="79" t="s">
        <v>271</v>
      </c>
      <c r="B70" s="79" t="s">
        <v>272</v>
      </c>
      <c r="C70" s="79" t="s">
        <v>6</v>
      </c>
      <c r="D70">
        <f>_xlfn.XLOOKUP(A70,Price!A:A,Price!C:C,0,0)</f>
        <v>197.22</v>
      </c>
      <c r="E70">
        <f>_xlfn.XLOOKUP(A70,Montage!A:A,Montage!C:C,0,0)+IF(Calc!$D$18=1,_xlfn.XLOOKUP(A70,Montage!A:A,Montage!D:D,0,0),0)</f>
        <v>0.6</v>
      </c>
    </row>
    <row r="71" spans="1:5">
      <c r="A71" s="79" t="s">
        <v>273</v>
      </c>
      <c r="B71" s="79" t="s">
        <v>274</v>
      </c>
      <c r="C71" s="79" t="s">
        <v>6</v>
      </c>
      <c r="D71">
        <f>_xlfn.XLOOKUP(A71,Price!A:A,Price!C:C,0,0)</f>
        <v>368.14</v>
      </c>
      <c r="E71">
        <f>_xlfn.XLOOKUP(A71,Montage!A:A,Montage!C:C,0,0)+IF(Calc!$D$18=1,_xlfn.XLOOKUP(A71,Montage!A:A,Montage!D:D,0,0),0)</f>
        <v>0.6</v>
      </c>
    </row>
    <row r="72" spans="1:5">
      <c r="A72" s="79" t="s">
        <v>275</v>
      </c>
      <c r="B72" s="79" t="s">
        <v>276</v>
      </c>
      <c r="C72" s="79" t="s">
        <v>6</v>
      </c>
      <c r="D72">
        <f>_xlfn.XLOOKUP(A72,Price!A:A,Price!C:C,0,0)</f>
        <v>229.2</v>
      </c>
      <c r="E72">
        <f>_xlfn.XLOOKUP(A72,Montage!A:A,Montage!C:C,0,0)+IF(Calc!$D$18=1,_xlfn.XLOOKUP(A72,Montage!A:A,Montage!D:D,0,0),0)</f>
        <v>0.6</v>
      </c>
    </row>
    <row r="73" spans="1:5">
      <c r="A73" s="79" t="s">
        <v>277</v>
      </c>
      <c r="B73" s="79" t="s">
        <v>278</v>
      </c>
      <c r="C73" s="79" t="s">
        <v>6</v>
      </c>
      <c r="D73">
        <f>_xlfn.XLOOKUP(A73,Price!A:A,Price!C:C,0,0)</f>
        <v>443.67</v>
      </c>
      <c r="E73">
        <f>_xlfn.XLOOKUP(A73,Montage!A:A,Montage!C:C,0,0)+IF(Calc!$D$18=1,_xlfn.XLOOKUP(A73,Montage!A:A,Montage!D:D,0,0),0)</f>
        <v>0.6</v>
      </c>
    </row>
    <row r="74" spans="1:5">
      <c r="A74" s="79" t="s">
        <v>279</v>
      </c>
      <c r="B74" s="79" t="s">
        <v>280</v>
      </c>
      <c r="C74" s="79" t="s">
        <v>6</v>
      </c>
      <c r="D74">
        <f>_xlfn.XLOOKUP(A74,Price!A:A,Price!C:C,0,0)</f>
        <v>265.07</v>
      </c>
      <c r="E74">
        <f>_xlfn.XLOOKUP(A74,Montage!A:A,Montage!C:C,0,0)+IF(Calc!$D$18=1,_xlfn.XLOOKUP(A74,Montage!A:A,Montage!D:D,0,0),0)</f>
        <v>0.6</v>
      </c>
    </row>
    <row r="75" spans="1:5">
      <c r="A75" s="79" t="s">
        <v>281</v>
      </c>
      <c r="B75" s="79" t="s">
        <v>282</v>
      </c>
      <c r="C75" s="79" t="s">
        <v>6</v>
      </c>
      <c r="D75">
        <f>_xlfn.XLOOKUP(A75,Price!A:A,Price!C:C,0,0)</f>
        <v>524.41999999999996</v>
      </c>
      <c r="E75">
        <f>_xlfn.XLOOKUP(A75,Montage!A:A,Montage!C:C,0,0)+IF(Calc!$D$18=1,_xlfn.XLOOKUP(A75,Montage!A:A,Montage!D:D,0,0),0)</f>
        <v>0.6</v>
      </c>
    </row>
    <row r="76" spans="1:5">
      <c r="A76" s="79" t="s">
        <v>195</v>
      </c>
      <c r="B76" s="79" t="s">
        <v>196</v>
      </c>
      <c r="C76" s="79" t="s">
        <v>6</v>
      </c>
      <c r="D76">
        <f>_xlfn.XLOOKUP(A76,Price!A:A,Price!C:C,0,0)</f>
        <v>53.79</v>
      </c>
      <c r="E76">
        <f>_xlfn.XLOOKUP(A76,Montage!A:A,Montage!C:C,0,0)+IF(Calc!$D$18=1,_xlfn.XLOOKUP(A76,Montage!A:A,Montage!D:D,0,0),0)</f>
        <v>0</v>
      </c>
    </row>
    <row r="77" spans="1:5">
      <c r="A77" s="79" t="s">
        <v>197</v>
      </c>
      <c r="B77" s="79" t="s">
        <v>198</v>
      </c>
      <c r="C77" s="79" t="s">
        <v>6</v>
      </c>
      <c r="D77">
        <f>_xlfn.XLOOKUP(A77,Price!A:A,Price!C:C,0,0)</f>
        <v>68.55</v>
      </c>
      <c r="E77">
        <f>_xlfn.XLOOKUP(A77,Montage!A:A,Montage!C:C,0,0)+IF(Calc!$D$18=1,_xlfn.XLOOKUP(A77,Montage!A:A,Montage!D:D,0,0),0)</f>
        <v>0</v>
      </c>
    </row>
    <row r="78" spans="1:5">
      <c r="A78" s="79" t="s">
        <v>200</v>
      </c>
      <c r="B78" s="79" t="s">
        <v>201</v>
      </c>
      <c r="C78" s="79" t="s">
        <v>6</v>
      </c>
      <c r="D78">
        <f>_xlfn.XLOOKUP(A78,Price!A:A,Price!C:C,0,0)</f>
        <v>45.58</v>
      </c>
      <c r="E78">
        <f>_xlfn.XLOOKUP(A78,Montage!A:A,Montage!C:C,0,0)+IF(Calc!$D$18=1,_xlfn.XLOOKUP(A78,Montage!A:A,Montage!D:D,0,0),0)</f>
        <v>0</v>
      </c>
    </row>
    <row r="79" spans="1:5">
      <c r="A79" s="79" t="s">
        <v>202</v>
      </c>
      <c r="B79" s="79" t="s">
        <v>203</v>
      </c>
      <c r="C79" s="79" t="s">
        <v>6</v>
      </c>
      <c r="D79">
        <f>_xlfn.XLOOKUP(A79,Price!A:A,Price!C:C,0,0)</f>
        <v>58.56</v>
      </c>
      <c r="E79">
        <f>_xlfn.XLOOKUP(A79,Montage!A:A,Montage!C:C,0,0)+IF(Calc!$D$18=1,_xlfn.XLOOKUP(A79,Montage!A:A,Montage!D:D,0,0),0)</f>
        <v>0</v>
      </c>
    </row>
    <row r="80" spans="1:5">
      <c r="A80" s="79" t="s">
        <v>205</v>
      </c>
      <c r="B80" s="79" t="s">
        <v>206</v>
      </c>
      <c r="C80" s="79" t="s">
        <v>6</v>
      </c>
      <c r="D80">
        <f>_xlfn.XLOOKUP(A80,Price!A:A,Price!C:C,0,0)</f>
        <v>52.87</v>
      </c>
      <c r="E80">
        <f>_xlfn.XLOOKUP(A80,Montage!A:A,Montage!C:C,0,0)+IF(Calc!$D$18=1,_xlfn.XLOOKUP(A80,Montage!A:A,Montage!D:D,0,0),0)</f>
        <v>0</v>
      </c>
    </row>
    <row r="81" spans="1:5">
      <c r="A81" s="79" t="s">
        <v>207</v>
      </c>
      <c r="B81" s="79" t="s">
        <v>208</v>
      </c>
      <c r="C81" s="79" t="s">
        <v>6</v>
      </c>
      <c r="D81">
        <f>_xlfn.XLOOKUP(A81,Price!A:A,Price!C:C,0,0)</f>
        <v>66.44</v>
      </c>
      <c r="E81">
        <f>_xlfn.XLOOKUP(A81,Montage!A:A,Montage!C:C,0,0)+IF(Calc!$D$18=1,_xlfn.XLOOKUP(A81,Montage!A:A,Montage!D:D,0,0),0)</f>
        <v>0</v>
      </c>
    </row>
    <row r="82" spans="1:5">
      <c r="A82" s="79" t="s">
        <v>210</v>
      </c>
      <c r="B82" s="79" t="s">
        <v>211</v>
      </c>
      <c r="C82" s="79" t="s">
        <v>6</v>
      </c>
      <c r="D82">
        <f>_xlfn.XLOOKUP(A82,Price!A:A,Price!C:C,0,0)</f>
        <v>41.65</v>
      </c>
      <c r="E82">
        <f>_xlfn.XLOOKUP(A82,Montage!A:A,Montage!C:C,0,0)+IF(Calc!$D$18=1,_xlfn.XLOOKUP(A82,Montage!A:A,Montage!D:D,0,0),0)</f>
        <v>0</v>
      </c>
    </row>
    <row r="83" spans="1:5">
      <c r="A83" s="79" t="s">
        <v>212</v>
      </c>
      <c r="B83" s="79" t="s">
        <v>213</v>
      </c>
      <c r="C83" s="79" t="s">
        <v>6</v>
      </c>
      <c r="D83">
        <f>_xlfn.XLOOKUP(A83,Price!A:A,Price!C:C,0,0)</f>
        <v>52.85</v>
      </c>
      <c r="E83">
        <f>_xlfn.XLOOKUP(A83,Montage!A:A,Montage!C:C,0,0)+IF(Calc!$D$18=1,_xlfn.XLOOKUP(A83,Montage!A:A,Montage!D:D,0,0),0)</f>
        <v>0</v>
      </c>
    </row>
    <row r="84" spans="1:5">
      <c r="A84" s="79" t="s">
        <v>215</v>
      </c>
      <c r="B84" s="79" t="s">
        <v>216</v>
      </c>
      <c r="C84" s="79" t="s">
        <v>6</v>
      </c>
      <c r="D84">
        <f>_xlfn.XLOOKUP(A84,Price!A:A,Price!C:C,0,0)</f>
        <v>19.46</v>
      </c>
      <c r="E84">
        <f>_xlfn.XLOOKUP(A84,Montage!A:A,Montage!C:C,0,0)+IF(Calc!$D$18=1,_xlfn.XLOOKUP(A84,Montage!A:A,Montage!D:D,0,0),0)</f>
        <v>0</v>
      </c>
    </row>
    <row r="85" spans="1:5">
      <c r="A85" s="79" t="s">
        <v>217</v>
      </c>
      <c r="B85" s="79" t="s">
        <v>218</v>
      </c>
      <c r="C85" s="79" t="s">
        <v>6</v>
      </c>
      <c r="D85">
        <f>_xlfn.XLOOKUP(A85,Price!A:A,Price!C:C,0,0)</f>
        <v>22.34</v>
      </c>
      <c r="E85">
        <f>_xlfn.XLOOKUP(A85,Montage!A:A,Montage!C:C,0,0)+IF(Calc!$D$18=1,_xlfn.XLOOKUP(A85,Montage!A:A,Montage!D:D,0,0),0)</f>
        <v>0</v>
      </c>
    </row>
    <row r="86" spans="1:5">
      <c r="A86" s="79" t="s">
        <v>360</v>
      </c>
      <c r="B86" s="79" t="s">
        <v>361</v>
      </c>
      <c r="C86" s="79" t="s">
        <v>6</v>
      </c>
      <c r="D86">
        <f>_xlfn.XLOOKUP(A86,Price!A:A,Price!C:C,0,0)</f>
        <v>57.94</v>
      </c>
      <c r="E86">
        <f>_xlfn.XLOOKUP(A86,Montage!A:A,Montage!C:C,0,0)+IF(Calc!$D$18=1,_xlfn.XLOOKUP(A86,Montage!A:A,Montage!D:D,0,0),0)</f>
        <v>0.2</v>
      </c>
    </row>
    <row r="87" spans="1:5">
      <c r="A87" s="79" t="s">
        <v>362</v>
      </c>
      <c r="B87" s="79" t="s">
        <v>363</v>
      </c>
      <c r="C87" s="79" t="s">
        <v>6</v>
      </c>
      <c r="D87">
        <f>_xlfn.XLOOKUP(A87,Price!A:A,Price!C:C,0,0)</f>
        <v>66.17</v>
      </c>
      <c r="E87">
        <f>_xlfn.XLOOKUP(A87,Montage!A:A,Montage!C:C,0,0)+IF(Calc!$D$18=1,_xlfn.XLOOKUP(A87,Montage!A:A,Montage!D:D,0,0),0)</f>
        <v>0.2</v>
      </c>
    </row>
    <row r="88" spans="1:5">
      <c r="A88" s="79" t="s">
        <v>283</v>
      </c>
      <c r="B88" s="79" t="s">
        <v>284</v>
      </c>
      <c r="C88" s="79" t="s">
        <v>6</v>
      </c>
      <c r="D88">
        <f>_xlfn.XLOOKUP(A88,Price!A:A,Price!C:C,0,0)</f>
        <v>38.340000000000003</v>
      </c>
      <c r="E88">
        <f>_xlfn.XLOOKUP(A88,Montage!A:A,Montage!C:C,0,0)+IF(Calc!$D$18=1,_xlfn.XLOOKUP(A88,Montage!A:A,Montage!D:D,0,0),0)</f>
        <v>0.2</v>
      </c>
    </row>
    <row r="89" spans="1:5">
      <c r="A89" s="79" t="s">
        <v>285</v>
      </c>
      <c r="B89" s="79" t="s">
        <v>286</v>
      </c>
      <c r="C89" s="79" t="s">
        <v>6</v>
      </c>
      <c r="D89">
        <f>_xlfn.XLOOKUP(A89,Price!A:A,Price!C:C,0,0)</f>
        <v>67.569999999999993</v>
      </c>
      <c r="E89">
        <f>_xlfn.XLOOKUP(A89,Montage!A:A,Montage!C:C,0,0)+IF(Calc!$D$18=1,_xlfn.XLOOKUP(A89,Montage!A:A,Montage!D:D,0,0),0)</f>
        <v>0.2</v>
      </c>
    </row>
    <row r="90" spans="1:5">
      <c r="A90" s="79" t="s">
        <v>287</v>
      </c>
      <c r="B90" s="79" t="s">
        <v>288</v>
      </c>
      <c r="C90" s="79" t="s">
        <v>6</v>
      </c>
      <c r="D90">
        <f>_xlfn.XLOOKUP(A90,Price!A:A,Price!C:C,0,0)</f>
        <v>53.03</v>
      </c>
      <c r="E90">
        <f>_xlfn.XLOOKUP(A90,Montage!A:A,Montage!C:C,0,0)+IF(Calc!$D$18=1,_xlfn.XLOOKUP(A90,Montage!A:A,Montage!D:D,0,0),0)</f>
        <v>0.2</v>
      </c>
    </row>
    <row r="91" spans="1:5">
      <c r="A91" s="79" t="s">
        <v>289</v>
      </c>
      <c r="B91" s="79" t="s">
        <v>290</v>
      </c>
      <c r="C91" s="79" t="s">
        <v>6</v>
      </c>
      <c r="D91">
        <f>_xlfn.XLOOKUP(A91,Price!A:A,Price!C:C,0,0)</f>
        <v>89.97</v>
      </c>
      <c r="E91">
        <f>_xlfn.XLOOKUP(A91,Montage!A:A,Montage!C:C,0,0)+IF(Calc!$D$18=1,_xlfn.XLOOKUP(A91,Montage!A:A,Montage!D:D,0,0),0)</f>
        <v>0.2</v>
      </c>
    </row>
    <row r="92" spans="1:5">
      <c r="A92" s="79" t="s">
        <v>291</v>
      </c>
      <c r="B92" s="79" t="s">
        <v>292</v>
      </c>
      <c r="C92" s="79" t="s">
        <v>6</v>
      </c>
      <c r="D92">
        <f>_xlfn.XLOOKUP(A92,Price!A:A,Price!C:C,0,0)</f>
        <v>103.59</v>
      </c>
      <c r="E92">
        <f>_xlfn.XLOOKUP(A92,Montage!A:A,Montage!C:C,0,0)+IF(Calc!$D$18=1,_xlfn.XLOOKUP(A92,Montage!A:A,Montage!D:D,0,0),0)</f>
        <v>0.2</v>
      </c>
    </row>
    <row r="93" spans="1:5">
      <c r="A93" s="79" t="s">
        <v>293</v>
      </c>
      <c r="B93" s="79" t="s">
        <v>294</v>
      </c>
      <c r="C93" s="79" t="s">
        <v>6</v>
      </c>
      <c r="D93">
        <f>_xlfn.XLOOKUP(A93,Price!A:A,Price!C:C,0,0)</f>
        <v>164.18</v>
      </c>
      <c r="E93">
        <f>_xlfn.XLOOKUP(A93,Montage!A:A,Montage!C:C,0,0)+IF(Calc!$D$18=1,_xlfn.XLOOKUP(A93,Montage!A:A,Montage!D:D,0,0),0)</f>
        <v>0.2</v>
      </c>
    </row>
    <row r="94" spans="1:5">
      <c r="A94" s="79" t="s">
        <v>295</v>
      </c>
      <c r="B94" s="79" t="s">
        <v>296</v>
      </c>
      <c r="C94" s="79" t="s">
        <v>6</v>
      </c>
      <c r="D94">
        <f>_xlfn.XLOOKUP(A94,Price!A:A,Price!C:C,0,0)</f>
        <v>115.9</v>
      </c>
      <c r="E94">
        <f>_xlfn.XLOOKUP(A94,Montage!A:A,Montage!C:C,0,0)+IF(Calc!$D$18=1,_xlfn.XLOOKUP(A94,Montage!A:A,Montage!D:D,0,0),0)</f>
        <v>0.2</v>
      </c>
    </row>
    <row r="95" spans="1:5">
      <c r="A95" s="79" t="s">
        <v>297</v>
      </c>
      <c r="B95" s="79" t="s">
        <v>298</v>
      </c>
      <c r="C95" s="79" t="s">
        <v>6</v>
      </c>
      <c r="D95">
        <f>_xlfn.XLOOKUP(A95,Price!A:A,Price!C:C,0,0)</f>
        <v>191.92</v>
      </c>
      <c r="E95">
        <f>_xlfn.XLOOKUP(A95,Montage!A:A,Montage!C:C,0,0)+IF(Calc!$D$18=1,_xlfn.XLOOKUP(A95,Montage!A:A,Montage!D:D,0,0),0)</f>
        <v>0.2</v>
      </c>
    </row>
    <row r="96" spans="1:5">
      <c r="A96" s="79" t="s">
        <v>299</v>
      </c>
      <c r="B96" s="79" t="s">
        <v>300</v>
      </c>
      <c r="C96" s="79" t="s">
        <v>6</v>
      </c>
      <c r="D96">
        <f>_xlfn.XLOOKUP(A96,Price!A:A,Price!C:C,0,0)</f>
        <v>103.59</v>
      </c>
      <c r="E96">
        <f>_xlfn.XLOOKUP(A96,Montage!A:A,Montage!C:C,0,0)+IF(Calc!$D$18=1,_xlfn.XLOOKUP(A96,Montage!A:A,Montage!D:D,0,0),0)</f>
        <v>0.2</v>
      </c>
    </row>
    <row r="97" spans="1:5">
      <c r="A97" s="79" t="s">
        <v>301</v>
      </c>
      <c r="B97" s="79" t="s">
        <v>302</v>
      </c>
      <c r="C97" s="79" t="s">
        <v>6</v>
      </c>
      <c r="D97">
        <f>_xlfn.XLOOKUP(A97,Price!A:A,Price!C:C,0,0)</f>
        <v>195.54</v>
      </c>
      <c r="E97">
        <f>_xlfn.XLOOKUP(A97,Montage!A:A,Montage!C:C,0,0)+IF(Calc!$D$18=1,_xlfn.XLOOKUP(A97,Montage!A:A,Montage!D:D,0,0),0)</f>
        <v>0.2</v>
      </c>
    </row>
    <row r="98" spans="1:5">
      <c r="A98" s="79" t="s">
        <v>356</v>
      </c>
      <c r="B98" s="79" t="s">
        <v>357</v>
      </c>
      <c r="C98" s="79" t="s">
        <v>6</v>
      </c>
      <c r="D98">
        <f>_xlfn.XLOOKUP(A98,Price!A:A,Price!C:C,0,0)</f>
        <v>4.76</v>
      </c>
      <c r="E98">
        <f>_xlfn.XLOOKUP(A98,Montage!A:A,Montage!C:C,0,0)+IF(Calc!$D$18=1,_xlfn.XLOOKUP(A98,Montage!A:A,Montage!D:D,0,0),0)</f>
        <v>0</v>
      </c>
    </row>
    <row r="99" spans="1:5">
      <c r="A99" s="79" t="s">
        <v>358</v>
      </c>
      <c r="B99" s="79" t="s">
        <v>359</v>
      </c>
      <c r="C99" s="79" t="s">
        <v>6</v>
      </c>
      <c r="D99">
        <f>_xlfn.XLOOKUP(A99,Price!A:A,Price!C:C,0,0)</f>
        <v>5.39</v>
      </c>
      <c r="E99">
        <f>_xlfn.XLOOKUP(A99,Montage!A:A,Montage!C:C,0,0)+IF(Calc!$D$18=1,_xlfn.XLOOKUP(A99,Montage!A:A,Montage!D:D,0,0),0)</f>
        <v>0</v>
      </c>
    </row>
    <row r="100" spans="1:5">
      <c r="A100" s="79" t="s">
        <v>384</v>
      </c>
      <c r="B100" s="79" t="s">
        <v>385</v>
      </c>
      <c r="C100" s="79" t="s">
        <v>6</v>
      </c>
      <c r="D100">
        <f>_xlfn.XLOOKUP(A100,Price!A:A,Price!C:C,0,0)</f>
        <v>97.22</v>
      </c>
      <c r="E100">
        <f>_xlfn.XLOOKUP(A100,Montage!A:A,Montage!C:C,0,0)+IF(Calc!$D$18=1,_xlfn.XLOOKUP(A100,Montage!A:A,Montage!D:D,0,0),0)</f>
        <v>0.87</v>
      </c>
    </row>
    <row r="101" spans="1:5">
      <c r="A101" s="79" t="s">
        <v>386</v>
      </c>
      <c r="B101" s="79" t="s">
        <v>387</v>
      </c>
      <c r="C101" s="79" t="s">
        <v>6</v>
      </c>
      <c r="D101">
        <f>_xlfn.XLOOKUP(A101,Price!A:A,Price!C:C,0,0)</f>
        <v>105.65</v>
      </c>
      <c r="E101">
        <f>_xlfn.XLOOKUP(A101,Montage!A:A,Montage!C:C,0,0)+IF(Calc!$D$18=1,_xlfn.XLOOKUP(A101,Montage!A:A,Montage!D:D,0,0),0)</f>
        <v>0.87</v>
      </c>
    </row>
    <row r="102" spans="1:5">
      <c r="A102" s="79" t="s">
        <v>388</v>
      </c>
      <c r="B102" s="79" t="s">
        <v>389</v>
      </c>
      <c r="C102" s="79" t="s">
        <v>6</v>
      </c>
      <c r="D102">
        <f>_xlfn.XLOOKUP(A102,Price!A:A,Price!C:C,0,0)</f>
        <v>136.93</v>
      </c>
      <c r="E102">
        <f>_xlfn.XLOOKUP(A102,Montage!A:A,Montage!C:C,0,0)+IF(Calc!$D$18=1,_xlfn.XLOOKUP(A102,Montage!A:A,Montage!D:D,0,0),0)</f>
        <v>0.87</v>
      </c>
    </row>
    <row r="103" spans="1:5">
      <c r="A103" s="79" t="s">
        <v>390</v>
      </c>
      <c r="B103" s="79" t="s">
        <v>391</v>
      </c>
      <c r="C103" s="79" t="s">
        <v>6</v>
      </c>
      <c r="D103">
        <f>_xlfn.XLOOKUP(A103,Price!A:A,Price!C:C,0,0)</f>
        <v>157.82</v>
      </c>
      <c r="E103">
        <f>_xlfn.XLOOKUP(A103,Montage!A:A,Montage!C:C,0,0)+IF(Calc!$D$18=1,_xlfn.XLOOKUP(A103,Montage!A:A,Montage!D:D,0,0),0)</f>
        <v>0.87</v>
      </c>
    </row>
    <row r="104" spans="1:5">
      <c r="A104" s="79" t="s">
        <v>392</v>
      </c>
      <c r="B104" s="79" t="s">
        <v>393</v>
      </c>
      <c r="C104" s="79" t="s">
        <v>6</v>
      </c>
      <c r="D104">
        <f>_xlfn.XLOOKUP(A104,Price!A:A,Price!C:C,0,0)</f>
        <v>178.32</v>
      </c>
      <c r="E104">
        <f>_xlfn.XLOOKUP(A104,Montage!A:A,Montage!C:C,0,0)+IF(Calc!$D$18=1,_xlfn.XLOOKUP(A104,Montage!A:A,Montage!D:D,0,0),0)</f>
        <v>2.25</v>
      </c>
    </row>
    <row r="105" spans="1:5">
      <c r="A105" s="79" t="s">
        <v>394</v>
      </c>
      <c r="B105" s="79" t="s">
        <v>395</v>
      </c>
      <c r="C105" s="79" t="s">
        <v>6</v>
      </c>
      <c r="D105">
        <f>_xlfn.XLOOKUP(A105,Price!A:A,Price!C:C,0,0)</f>
        <v>211.06</v>
      </c>
      <c r="E105">
        <f>_xlfn.XLOOKUP(A105,Montage!A:A,Montage!C:C,0,0)+IF(Calc!$D$18=1,_xlfn.XLOOKUP(A105,Montage!A:A,Montage!D:D,0,0),0)</f>
        <v>2.25</v>
      </c>
    </row>
    <row r="106" spans="1:5">
      <c r="A106" s="79" t="s">
        <v>396</v>
      </c>
      <c r="B106" s="79" t="s">
        <v>397</v>
      </c>
      <c r="C106" s="79" t="s">
        <v>6</v>
      </c>
      <c r="D106">
        <f>_xlfn.XLOOKUP(A106,Price!A:A,Price!C:C,0,0)</f>
        <v>186.96</v>
      </c>
      <c r="E106">
        <f>_xlfn.XLOOKUP(A106,Montage!A:A,Montage!C:C,0,0)+IF(Calc!$D$18=1,_xlfn.XLOOKUP(A106,Montage!A:A,Montage!D:D,0,0),0)</f>
        <v>2.25</v>
      </c>
    </row>
    <row r="107" spans="1:5">
      <c r="A107" s="79" t="s">
        <v>398</v>
      </c>
      <c r="B107" s="79" t="s">
        <v>399</v>
      </c>
      <c r="C107" s="79" t="s">
        <v>6</v>
      </c>
      <c r="D107">
        <f>_xlfn.XLOOKUP(A107,Price!A:A,Price!C:C,0,0)</f>
        <v>222.59</v>
      </c>
      <c r="E107">
        <f>_xlfn.XLOOKUP(A107,Montage!A:A,Montage!C:C,0,0)+IF(Calc!$D$18=1,_xlfn.XLOOKUP(A107,Montage!A:A,Montage!D:D,0,0),0)</f>
        <v>2.25</v>
      </c>
    </row>
    <row r="108" spans="1:5">
      <c r="A108" s="79" t="s">
        <v>400</v>
      </c>
      <c r="B108" s="79" t="s">
        <v>401</v>
      </c>
      <c r="C108" s="79" t="s">
        <v>6</v>
      </c>
      <c r="D108">
        <f>_xlfn.XLOOKUP(A108,Price!A:A,Price!C:C,0,0)</f>
        <v>261.97000000000003</v>
      </c>
      <c r="E108">
        <f>_xlfn.XLOOKUP(A108,Montage!A:A,Montage!C:C,0,0)+IF(Calc!$D$18=1,_xlfn.XLOOKUP(A108,Montage!A:A,Montage!D:D,0,0),0)</f>
        <v>2.25</v>
      </c>
    </row>
    <row r="109" spans="1:5">
      <c r="A109" s="79" t="s">
        <v>402</v>
      </c>
      <c r="B109" s="79" t="s">
        <v>403</v>
      </c>
      <c r="C109" s="79" t="s">
        <v>6</v>
      </c>
      <c r="D109">
        <f>_xlfn.XLOOKUP(A109,Price!A:A,Price!C:C,0,0)</f>
        <v>322.62</v>
      </c>
      <c r="E109">
        <f>_xlfn.XLOOKUP(A109,Montage!A:A,Montage!C:C,0,0)+IF(Calc!$D$18=1,_xlfn.XLOOKUP(A109,Montage!A:A,Montage!D:D,0,0),0)</f>
        <v>2.25</v>
      </c>
    </row>
    <row r="110" spans="1:5">
      <c r="A110" s="79" t="s">
        <v>404</v>
      </c>
      <c r="B110" s="79" t="s">
        <v>405</v>
      </c>
      <c r="C110" s="79" t="s">
        <v>6</v>
      </c>
      <c r="D110">
        <f>_xlfn.XLOOKUP(A110,Price!A:A,Price!C:C,0,0)</f>
        <v>280.7</v>
      </c>
      <c r="E110">
        <f>_xlfn.XLOOKUP(A110,Montage!A:A,Montage!C:C,0,0)+IF(Calc!$D$18=1,_xlfn.XLOOKUP(A110,Montage!A:A,Montage!D:D,0,0),0)</f>
        <v>2.25</v>
      </c>
    </row>
    <row r="111" spans="1:5">
      <c r="A111" s="79" t="s">
        <v>406</v>
      </c>
      <c r="B111" s="79" t="s">
        <v>407</v>
      </c>
      <c r="C111" s="79" t="s">
        <v>6</v>
      </c>
      <c r="D111">
        <f>_xlfn.XLOOKUP(A111,Price!A:A,Price!C:C,0,0)</f>
        <v>347.81</v>
      </c>
      <c r="E111">
        <f>_xlfn.XLOOKUP(A111,Montage!A:A,Montage!C:C,0,0)+IF(Calc!$D$18=1,_xlfn.XLOOKUP(A111,Montage!A:A,Montage!D:D,0,0),0)</f>
        <v>2.25</v>
      </c>
    </row>
    <row r="112" spans="1:5">
      <c r="A112" s="79" t="s">
        <v>408</v>
      </c>
      <c r="B112" s="79" t="s">
        <v>409</v>
      </c>
      <c r="C112" s="79" t="s">
        <v>6</v>
      </c>
      <c r="D112">
        <f>_xlfn.XLOOKUP(A112,Price!A:A,Price!C:C,0,0)</f>
        <v>16.3</v>
      </c>
      <c r="E112">
        <f>_xlfn.XLOOKUP(A112,Montage!A:A,Montage!C:C,0,0)+IF(Calc!$D$18=1,_xlfn.XLOOKUP(A112,Montage!A:A,Montage!D:D,0,0),0)</f>
        <v>0</v>
      </c>
    </row>
    <row r="113" spans="1:5">
      <c r="A113" s="79" t="s">
        <v>410</v>
      </c>
      <c r="B113" s="79" t="s">
        <v>411</v>
      </c>
      <c r="C113" s="79" t="s">
        <v>6</v>
      </c>
      <c r="D113">
        <f>_xlfn.XLOOKUP(A113,Price!A:A,Price!C:C,0,0)</f>
        <v>15.62</v>
      </c>
      <c r="E113">
        <f>_xlfn.XLOOKUP(A113,Montage!A:A,Montage!C:C,0,0)+IF(Calc!$D$18=1,_xlfn.XLOOKUP(A113,Montage!A:A,Montage!D:D,0,0),0)</f>
        <v>0</v>
      </c>
    </row>
    <row r="114" spans="1:5">
      <c r="A114" s="79" t="s">
        <v>412</v>
      </c>
      <c r="B114" s="79" t="s">
        <v>413</v>
      </c>
      <c r="C114" s="79" t="s">
        <v>6</v>
      </c>
      <c r="D114">
        <f>_xlfn.XLOOKUP(A114,Price!A:A,Price!C:C,0,0)</f>
        <v>16.100000000000001</v>
      </c>
      <c r="E114">
        <f>_xlfn.XLOOKUP(A114,Montage!A:A,Montage!C:C,0,0)+IF(Calc!$D$18=1,_xlfn.XLOOKUP(A114,Montage!A:A,Montage!D:D,0,0),0)</f>
        <v>0</v>
      </c>
    </row>
    <row r="115" spans="1:5">
      <c r="A115" s="79" t="s">
        <v>414</v>
      </c>
      <c r="B115" s="79" t="s">
        <v>415</v>
      </c>
      <c r="C115" s="79" t="s">
        <v>6</v>
      </c>
      <c r="D115">
        <f>_xlfn.XLOOKUP(A115,Price!A:A,Price!C:C,0,0)</f>
        <v>17.29</v>
      </c>
      <c r="E115">
        <f>_xlfn.XLOOKUP(A115,Montage!A:A,Montage!C:C,0,0)+IF(Calc!$D$18=1,_xlfn.XLOOKUP(A115,Montage!A:A,Montage!D:D,0,0),0)</f>
        <v>0</v>
      </c>
    </row>
    <row r="116" spans="1:5">
      <c r="A116" s="79" t="s">
        <v>448</v>
      </c>
      <c r="B116" s="79" t="s">
        <v>449</v>
      </c>
      <c r="C116" s="79" t="s">
        <v>6</v>
      </c>
      <c r="D116">
        <f>_xlfn.XLOOKUP(A116,Price!A:A,Price!C:C,0,0)</f>
        <v>94.13</v>
      </c>
      <c r="E116">
        <f>_xlfn.XLOOKUP(A116,Montage!A:A,Montage!C:C,0,0)+IF(Calc!$D$18=1,_xlfn.XLOOKUP(A116,Montage!A:A,Montage!D:D,0,0),0)</f>
        <v>0.2</v>
      </c>
    </row>
    <row r="117" spans="1:5">
      <c r="A117" s="79" t="s">
        <v>450</v>
      </c>
      <c r="B117" s="79" t="s">
        <v>451</v>
      </c>
      <c r="C117" s="79" t="s">
        <v>6</v>
      </c>
      <c r="D117">
        <f>_xlfn.XLOOKUP(A117,Price!A:A,Price!C:C,0,0)</f>
        <v>126.59</v>
      </c>
      <c r="E117">
        <f>_xlfn.XLOOKUP(A117,Montage!A:A,Montage!C:C,0,0)+IF(Calc!$D$18=1,_xlfn.XLOOKUP(A117,Montage!A:A,Montage!D:D,0,0),0)</f>
        <v>0.27</v>
      </c>
    </row>
    <row r="118" spans="1:5">
      <c r="A118" s="79" t="s">
        <v>452</v>
      </c>
      <c r="B118" s="79" t="s">
        <v>453</v>
      </c>
      <c r="C118" s="79" t="s">
        <v>6</v>
      </c>
      <c r="D118">
        <f>_xlfn.XLOOKUP(A118,Price!A:A,Price!C:C,0,0)</f>
        <v>115.95</v>
      </c>
      <c r="E118">
        <f>_xlfn.XLOOKUP(A118,Montage!A:A,Montage!C:C,0,0)+IF(Calc!$D$18=1,_xlfn.XLOOKUP(A118,Montage!A:A,Montage!D:D,0,0),0)</f>
        <v>0.2</v>
      </c>
    </row>
    <row r="119" spans="1:5">
      <c r="A119" s="79" t="s">
        <v>454</v>
      </c>
      <c r="B119" s="79" t="s">
        <v>455</v>
      </c>
      <c r="C119" s="79" t="s">
        <v>6</v>
      </c>
      <c r="D119">
        <f>_xlfn.XLOOKUP(A119,Price!A:A,Price!C:C,0,0)</f>
        <v>154.83000000000001</v>
      </c>
      <c r="E119">
        <f>_xlfn.XLOOKUP(A119,Montage!A:A,Montage!C:C,0,0)+IF(Calc!$D$18=1,_xlfn.XLOOKUP(A119,Montage!A:A,Montage!D:D,0,0),0)</f>
        <v>0.27</v>
      </c>
    </row>
    <row r="120" spans="1:5">
      <c r="A120" s="79" t="s">
        <v>456</v>
      </c>
      <c r="B120" s="80" t="s">
        <v>457</v>
      </c>
      <c r="C120" s="79" t="s">
        <v>6</v>
      </c>
      <c r="D120">
        <f>_xlfn.XLOOKUP(A120,Price!A:A,Price!C:C,0,0)</f>
        <v>8.02</v>
      </c>
      <c r="E120">
        <f>_xlfn.XLOOKUP(A120,Montage!A:A,Montage!C:C,0,0)+IF(Calc!$D$18=1,_xlfn.XLOOKUP(A120,Montage!A:A,Montage!D:D,0,0),0)</f>
        <v>0</v>
      </c>
    </row>
    <row r="121" spans="1:5">
      <c r="A121" s="79" t="s">
        <v>458</v>
      </c>
      <c r="B121" s="80" t="s">
        <v>459</v>
      </c>
      <c r="C121" s="79" t="s">
        <v>6</v>
      </c>
      <c r="D121">
        <f>_xlfn.XLOOKUP(A121,Price!A:A,Price!C:C,0,0)</f>
        <v>10.83</v>
      </c>
      <c r="E121">
        <f>_xlfn.XLOOKUP(A121,Montage!A:A,Montage!C:C,0,0)+IF(Calc!$D$18=1,_xlfn.XLOOKUP(A121,Montage!A:A,Montage!D:D,0,0),0)</f>
        <v>0</v>
      </c>
    </row>
    <row r="122" spans="1:5">
      <c r="A122" s="79" t="s">
        <v>464</v>
      </c>
      <c r="B122" s="80" t="s">
        <v>465</v>
      </c>
      <c r="C122" s="79" t="s">
        <v>6</v>
      </c>
      <c r="D122">
        <f>_xlfn.XLOOKUP(A122,Price!A:A,Price!C:C,0,0)</f>
        <v>7.86</v>
      </c>
      <c r="E122">
        <f>_xlfn.XLOOKUP(A122,Montage!A:A,Montage!C:C,0,0)+IF(Calc!$D$18=1,_xlfn.XLOOKUP(A122,Montage!A:A,Montage!D:D,0,0),0)</f>
        <v>0</v>
      </c>
    </row>
    <row r="123" spans="1:5">
      <c r="A123" s="79" t="s">
        <v>466</v>
      </c>
      <c r="B123" s="80" t="s">
        <v>467</v>
      </c>
      <c r="C123" s="79" t="s">
        <v>6</v>
      </c>
      <c r="D123">
        <f>_xlfn.XLOOKUP(A123,Price!A:A,Price!C:C,0,0)</f>
        <v>9.26</v>
      </c>
      <c r="E123">
        <f>_xlfn.XLOOKUP(A123,Montage!A:A,Montage!C:C,0,0)+IF(Calc!$D$18=1,_xlfn.XLOOKUP(A123,Montage!A:A,Montage!D:D,0,0),0)</f>
        <v>0</v>
      </c>
    </row>
    <row r="124" spans="1:5">
      <c r="A124" s="79" t="s">
        <v>460</v>
      </c>
      <c r="B124" s="80" t="s">
        <v>461</v>
      </c>
      <c r="C124" s="79" t="s">
        <v>6</v>
      </c>
      <c r="D124">
        <f>_xlfn.XLOOKUP(A124,Price!A:A,Price!C:C,0,0)</f>
        <v>2.02</v>
      </c>
      <c r="E124">
        <f>_xlfn.XLOOKUP(A124,Montage!A:A,Montage!C:C,0,0)+IF(Calc!$D$18=1,_xlfn.XLOOKUP(A124,Montage!A:A,Montage!D:D,0,0),0)</f>
        <v>0</v>
      </c>
    </row>
    <row r="125" spans="1:5">
      <c r="A125" s="79" t="s">
        <v>462</v>
      </c>
      <c r="B125" s="80" t="s">
        <v>463</v>
      </c>
      <c r="C125" s="79" t="s">
        <v>6</v>
      </c>
      <c r="D125">
        <f>_xlfn.XLOOKUP(A125,Price!A:A,Price!C:C,0,0)</f>
        <v>2.52</v>
      </c>
      <c r="E125">
        <f>_xlfn.XLOOKUP(A125,Montage!A:A,Montage!C:C,0,0)+IF(Calc!$D$18=1,_xlfn.XLOOKUP(A125,Montage!A:A,Montage!D:D,0,0),0)</f>
        <v>0</v>
      </c>
    </row>
    <row r="126" spans="1:5">
      <c r="A126" s="79" t="s">
        <v>469</v>
      </c>
      <c r="B126" s="80" t="s">
        <v>470</v>
      </c>
      <c r="C126" s="79" t="s">
        <v>6</v>
      </c>
      <c r="D126">
        <f>_xlfn.XLOOKUP(A126,Price!A:A,Price!C:C,0,0)</f>
        <v>134.91999999999999</v>
      </c>
      <c r="E126">
        <f>_xlfn.XLOOKUP(A126,Montage!A:A,Montage!C:C,0,0)+IF(Calc!$D$18=1,_xlfn.XLOOKUP(A126,Montage!A:A,Montage!D:D,0,0),0)</f>
        <v>0.5</v>
      </c>
    </row>
    <row r="127" spans="1:5">
      <c r="A127" s="79" t="s">
        <v>471</v>
      </c>
      <c r="B127" s="80" t="s">
        <v>472</v>
      </c>
      <c r="C127" s="79" t="s">
        <v>6</v>
      </c>
      <c r="D127">
        <f>_xlfn.XLOOKUP(A127,Price!A:A,Price!C:C,0,0)</f>
        <v>134.91999999999999</v>
      </c>
      <c r="E127">
        <f>_xlfn.XLOOKUP(A127,Montage!A:A,Montage!C:C,0,0)+IF(Calc!$D$18=1,_xlfn.XLOOKUP(A127,Montage!A:A,Montage!D:D,0,0),0)</f>
        <v>0.5</v>
      </c>
    </row>
    <row r="128" spans="1:5">
      <c r="A128" s="79" t="s">
        <v>473</v>
      </c>
      <c r="B128" s="80" t="s">
        <v>474</v>
      </c>
      <c r="C128" s="79" t="s">
        <v>6</v>
      </c>
      <c r="D128">
        <f>_xlfn.XLOOKUP(A128,Price!A:A,Price!C:C,0,0)</f>
        <v>140.69</v>
      </c>
      <c r="E128">
        <f>_xlfn.XLOOKUP(A128,Montage!A:A,Montage!C:C,0,0)+IF(Calc!$D$18=1,_xlfn.XLOOKUP(A128,Montage!A:A,Montage!D:D,0,0),0)</f>
        <v>0.5</v>
      </c>
    </row>
    <row r="129" spans="1:5">
      <c r="A129" s="79" t="s">
        <v>475</v>
      </c>
      <c r="B129" s="80" t="s">
        <v>476</v>
      </c>
      <c r="C129" s="79" t="s">
        <v>6</v>
      </c>
      <c r="D129">
        <f>_xlfn.XLOOKUP(A129,Price!A:A,Price!C:C,0,0)</f>
        <v>155.82</v>
      </c>
      <c r="E129">
        <f>_xlfn.XLOOKUP(A129,Montage!A:A,Montage!C:C,0,0)+IF(Calc!$D$18=1,_xlfn.XLOOKUP(A129,Montage!A:A,Montage!D:D,0,0),0)</f>
        <v>0.5</v>
      </c>
    </row>
    <row r="130" spans="1:5">
      <c r="A130" s="79" t="s">
        <v>477</v>
      </c>
      <c r="B130" s="80" t="s">
        <v>478</v>
      </c>
      <c r="C130" s="79" t="s">
        <v>6</v>
      </c>
      <c r="D130">
        <f>_xlfn.XLOOKUP(A130,Price!A:A,Price!C:C,0,0)</f>
        <v>52.28</v>
      </c>
      <c r="E130">
        <f>_xlfn.XLOOKUP(A130,Montage!A:A,Montage!C:C,0,0)+IF(Calc!$D$18=1,_xlfn.XLOOKUP(A130,Montage!A:A,Montage!D:D,0,0),0)</f>
        <v>0.25</v>
      </c>
    </row>
    <row r="131" spans="1:5">
      <c r="A131" s="79" t="s">
        <v>479</v>
      </c>
      <c r="B131" s="80" t="s">
        <v>480</v>
      </c>
      <c r="C131" s="79" t="s">
        <v>6</v>
      </c>
      <c r="D131">
        <f>_xlfn.XLOOKUP(A131,Price!A:A,Price!C:C,0,0)</f>
        <v>52.28</v>
      </c>
      <c r="E131">
        <f>_xlfn.XLOOKUP(A131,Montage!A:A,Montage!C:C,0,0)+IF(Calc!$D$18=1,_xlfn.XLOOKUP(A131,Montage!A:A,Montage!D:D,0,0),0)</f>
        <v>0.25</v>
      </c>
    </row>
    <row r="132" spans="1:5">
      <c r="A132" s="79" t="s">
        <v>481</v>
      </c>
      <c r="B132" s="80" t="s">
        <v>482</v>
      </c>
      <c r="C132" s="79" t="s">
        <v>6</v>
      </c>
      <c r="D132">
        <f>_xlfn.XLOOKUP(A132,Price!A:A,Price!C:C,0,0)</f>
        <v>54.4</v>
      </c>
      <c r="E132">
        <f>_xlfn.XLOOKUP(A132,Montage!A:A,Montage!C:C,0,0)+IF(Calc!$D$18=1,_xlfn.XLOOKUP(A132,Montage!A:A,Montage!D:D,0,0),0)</f>
        <v>0.25</v>
      </c>
    </row>
    <row r="133" spans="1:5">
      <c r="A133" s="79" t="s">
        <v>483</v>
      </c>
      <c r="B133" s="80" t="s">
        <v>484</v>
      </c>
      <c r="C133" s="79" t="s">
        <v>6</v>
      </c>
      <c r="D133">
        <f>_xlfn.XLOOKUP(A133,Price!A:A,Price!C:C,0,0)</f>
        <v>60.74</v>
      </c>
      <c r="E133">
        <f>_xlfn.XLOOKUP(A133,Montage!A:A,Montage!C:C,0,0)+IF(Calc!$D$18=1,_xlfn.XLOOKUP(A133,Montage!A:A,Montage!D:D,0,0),0)</f>
        <v>0.25</v>
      </c>
    </row>
    <row r="134" spans="1:5">
      <c r="A134" s="79" t="s">
        <v>485</v>
      </c>
      <c r="B134" s="80" t="s">
        <v>486</v>
      </c>
      <c r="C134" s="79" t="s">
        <v>6</v>
      </c>
      <c r="D134">
        <f>_xlfn.XLOOKUP(A134,Price!A:A,Price!C:C,0,0)</f>
        <v>77.31</v>
      </c>
      <c r="E134">
        <f>_xlfn.XLOOKUP(A134,Montage!A:A,Montage!C:C,0,0)+IF(Calc!$D$18=1,_xlfn.XLOOKUP(A134,Montage!A:A,Montage!D:D,0,0),0)</f>
        <v>0</v>
      </c>
    </row>
    <row r="135" spans="1:5">
      <c r="A135" s="79" t="s">
        <v>487</v>
      </c>
      <c r="B135" s="80" t="s">
        <v>488</v>
      </c>
      <c r="C135" s="79" t="s">
        <v>6</v>
      </c>
      <c r="D135">
        <f>_xlfn.XLOOKUP(A135,Price!A:A,Price!C:C,0,0)</f>
        <v>77.31</v>
      </c>
      <c r="E135">
        <f>_xlfn.XLOOKUP(A135,Montage!A:A,Montage!C:C,0,0)+IF(Calc!$D$18=1,_xlfn.XLOOKUP(A135,Montage!A:A,Montage!D:D,0,0),0)</f>
        <v>0</v>
      </c>
    </row>
    <row r="136" spans="1:5">
      <c r="A136" s="79" t="s">
        <v>489</v>
      </c>
      <c r="B136" s="80" t="s">
        <v>490</v>
      </c>
      <c r="C136" s="79" t="s">
        <v>6</v>
      </c>
      <c r="D136">
        <f>_xlfn.XLOOKUP(A136,Price!A:A,Price!C:C,0,0)</f>
        <v>80.19</v>
      </c>
      <c r="E136">
        <f>_xlfn.XLOOKUP(A136,Montage!A:A,Montage!C:C,0,0)+IF(Calc!$D$18=1,_xlfn.XLOOKUP(A136,Montage!A:A,Montage!D:D,0,0),0)</f>
        <v>0</v>
      </c>
    </row>
    <row r="137" spans="1:5">
      <c r="A137" s="79" t="s">
        <v>491</v>
      </c>
      <c r="B137" s="80" t="s">
        <v>492</v>
      </c>
      <c r="C137" s="79" t="s">
        <v>6</v>
      </c>
      <c r="D137">
        <f>_xlfn.XLOOKUP(A137,Price!A:A,Price!C:C,0,0)</f>
        <v>87.75</v>
      </c>
      <c r="E137">
        <f>_xlfn.XLOOKUP(A137,Montage!A:A,Montage!C:C,0,0)+IF(Calc!$D$18=1,_xlfn.XLOOKUP(A137,Montage!A:A,Montage!D:D,0,0),0)</f>
        <v>0</v>
      </c>
    </row>
    <row r="138" spans="1:5">
      <c r="A138" s="79" t="s">
        <v>493</v>
      </c>
      <c r="B138" s="80" t="s">
        <v>494</v>
      </c>
      <c r="C138" s="79" t="s">
        <v>6</v>
      </c>
      <c r="D138">
        <f>_xlfn.XLOOKUP(A138,Price!A:A,Price!C:C,0,0)</f>
        <v>31.06</v>
      </c>
      <c r="E138">
        <f>_xlfn.XLOOKUP(A138,Montage!A:A,Montage!C:C,0,0)+IF(Calc!$D$18=1,_xlfn.XLOOKUP(A138,Montage!A:A,Montage!D:D,0,0),0)</f>
        <v>0</v>
      </c>
    </row>
    <row r="139" spans="1:5">
      <c r="A139" s="79" t="s">
        <v>495</v>
      </c>
      <c r="B139" s="80" t="s">
        <v>496</v>
      </c>
      <c r="C139" s="79" t="s">
        <v>6</v>
      </c>
      <c r="D139">
        <f>_xlfn.XLOOKUP(A139,Price!A:A,Price!C:C,0,0)</f>
        <v>31.06</v>
      </c>
      <c r="E139">
        <f>_xlfn.XLOOKUP(A139,Montage!A:A,Montage!C:C,0,0)+IF(Calc!$D$18=1,_xlfn.XLOOKUP(A139,Montage!A:A,Montage!D:D,0,0),0)</f>
        <v>0</v>
      </c>
    </row>
    <row r="140" spans="1:5">
      <c r="A140" s="79" t="s">
        <v>497</v>
      </c>
      <c r="B140" s="80" t="s">
        <v>498</v>
      </c>
      <c r="C140" s="79" t="s">
        <v>6</v>
      </c>
      <c r="D140">
        <f>_xlfn.XLOOKUP(A140,Price!A:A,Price!C:C,0,0)</f>
        <v>32.119999999999997</v>
      </c>
      <c r="E140">
        <f>_xlfn.XLOOKUP(A140,Montage!A:A,Montage!C:C,0,0)+IF(Calc!$D$18=1,_xlfn.XLOOKUP(A140,Montage!A:A,Montage!D:D,0,0),0)</f>
        <v>0</v>
      </c>
    </row>
    <row r="141" spans="1:5">
      <c r="A141" s="79" t="s">
        <v>499</v>
      </c>
      <c r="B141" s="80" t="s">
        <v>500</v>
      </c>
      <c r="C141" s="79" t="s">
        <v>6</v>
      </c>
      <c r="D141">
        <f>_xlfn.XLOOKUP(A141,Price!A:A,Price!C:C,0,0)</f>
        <v>35.29</v>
      </c>
      <c r="E141">
        <f>_xlfn.XLOOKUP(A141,Montage!A:A,Montage!C:C,0,0)+IF(Calc!$D$18=1,_xlfn.XLOOKUP(A141,Montage!A:A,Montage!D:D,0,0),0)</f>
        <v>0</v>
      </c>
    </row>
    <row r="142" spans="1:5">
      <c r="A142" s="79" t="s">
        <v>501</v>
      </c>
      <c r="B142" s="80" t="s">
        <v>502</v>
      </c>
      <c r="C142" s="79" t="s">
        <v>6</v>
      </c>
      <c r="D142">
        <f>_xlfn.XLOOKUP(A142,Price!A:A,Price!C:C,0,0)</f>
        <v>77.31</v>
      </c>
      <c r="E142">
        <f>_xlfn.XLOOKUP(A142,Montage!A:A,Montage!C:C,0,0)+IF(Calc!$D$18=1,_xlfn.XLOOKUP(A142,Montage!A:A,Montage!D:D,0,0),0)</f>
        <v>0</v>
      </c>
    </row>
    <row r="143" spans="1:5">
      <c r="A143" s="79" t="s">
        <v>503</v>
      </c>
      <c r="B143" s="80" t="s">
        <v>504</v>
      </c>
      <c r="C143" s="79" t="s">
        <v>6</v>
      </c>
      <c r="D143">
        <f>_xlfn.XLOOKUP(A143,Price!A:A,Price!C:C,0,0)</f>
        <v>77.31</v>
      </c>
      <c r="E143">
        <f>_xlfn.XLOOKUP(A143,Montage!A:A,Montage!C:C,0,0)+IF(Calc!$D$18=1,_xlfn.XLOOKUP(A143,Montage!A:A,Montage!D:D,0,0),0)</f>
        <v>0</v>
      </c>
    </row>
    <row r="144" spans="1:5">
      <c r="A144" s="79" t="s">
        <v>505</v>
      </c>
      <c r="B144" s="80" t="s">
        <v>506</v>
      </c>
      <c r="C144" s="79" t="s">
        <v>6</v>
      </c>
      <c r="D144">
        <f>_xlfn.XLOOKUP(A144,Price!A:A,Price!C:C,0,0)</f>
        <v>80.19</v>
      </c>
      <c r="E144">
        <f>_xlfn.XLOOKUP(A144,Montage!A:A,Montage!C:C,0,0)+IF(Calc!$D$18=1,_xlfn.XLOOKUP(A144,Montage!A:A,Montage!D:D,0,0),0)</f>
        <v>0</v>
      </c>
    </row>
    <row r="145" spans="1:5">
      <c r="A145" s="79" t="s">
        <v>507</v>
      </c>
      <c r="B145" s="80" t="s">
        <v>508</v>
      </c>
      <c r="C145" s="79" t="s">
        <v>6</v>
      </c>
      <c r="D145">
        <f>_xlfn.XLOOKUP(A145,Price!A:A,Price!C:C,0,0)</f>
        <v>87.75</v>
      </c>
      <c r="E145">
        <f>_xlfn.XLOOKUP(A145,Montage!A:A,Montage!C:C,0,0)+IF(Calc!$D$18=1,_xlfn.XLOOKUP(A145,Montage!A:A,Montage!D:D,0,0),0)</f>
        <v>0</v>
      </c>
    </row>
    <row r="146" spans="1:5">
      <c r="A146" s="79" t="s">
        <v>509</v>
      </c>
      <c r="B146" s="80" t="s">
        <v>510</v>
      </c>
      <c r="C146" s="79" t="s">
        <v>6</v>
      </c>
      <c r="D146">
        <f>_xlfn.XLOOKUP(A146,Price!A:A,Price!C:C,0,0)</f>
        <v>31.06</v>
      </c>
      <c r="E146">
        <f>_xlfn.XLOOKUP(A146,Montage!A:A,Montage!C:C,0,0)+IF(Calc!$D$18=1,_xlfn.XLOOKUP(A146,Montage!A:A,Montage!D:D,0,0),0)</f>
        <v>0</v>
      </c>
    </row>
    <row r="147" spans="1:5">
      <c r="A147" s="79" t="s">
        <v>511</v>
      </c>
      <c r="B147" s="80" t="s">
        <v>512</v>
      </c>
      <c r="C147" s="79" t="s">
        <v>6</v>
      </c>
      <c r="D147">
        <f>_xlfn.XLOOKUP(A147,Price!A:A,Price!C:C,0,0)</f>
        <v>31.06</v>
      </c>
      <c r="E147">
        <f>_xlfn.XLOOKUP(A147,Montage!A:A,Montage!C:C,0,0)+IF(Calc!$D$18=1,_xlfn.XLOOKUP(A147,Montage!A:A,Montage!D:D,0,0),0)</f>
        <v>0</v>
      </c>
    </row>
    <row r="148" spans="1:5">
      <c r="A148" s="79" t="s">
        <v>513</v>
      </c>
      <c r="B148" s="80" t="s">
        <v>514</v>
      </c>
      <c r="C148" s="79" t="s">
        <v>6</v>
      </c>
      <c r="D148">
        <f>_xlfn.XLOOKUP(A148,Price!A:A,Price!C:C,0,0)</f>
        <v>32.119999999999997</v>
      </c>
      <c r="E148">
        <f>_xlfn.XLOOKUP(A148,Montage!A:A,Montage!C:C,0,0)+IF(Calc!$D$18=1,_xlfn.XLOOKUP(A148,Montage!A:A,Montage!D:D,0,0),0)</f>
        <v>0</v>
      </c>
    </row>
    <row r="149" spans="1:5">
      <c r="A149" s="79" t="s">
        <v>515</v>
      </c>
      <c r="B149" s="80" t="s">
        <v>516</v>
      </c>
      <c r="C149" s="79" t="s">
        <v>6</v>
      </c>
      <c r="D149">
        <f>_xlfn.XLOOKUP(A149,Price!A:A,Price!C:C,0,0)</f>
        <v>35.29</v>
      </c>
      <c r="E149">
        <f>_xlfn.XLOOKUP(A149,Montage!A:A,Montage!C:C,0,0)+IF(Calc!$D$18=1,_xlfn.XLOOKUP(A149,Montage!A:A,Montage!D:D,0,0),0)</f>
        <v>0</v>
      </c>
    </row>
    <row r="150" spans="1:5">
      <c r="A150" s="79" t="s">
        <v>517</v>
      </c>
      <c r="B150" s="80" t="s">
        <v>518</v>
      </c>
      <c r="C150" s="79" t="s">
        <v>6</v>
      </c>
      <c r="D150">
        <f>_xlfn.XLOOKUP(A150,Price!A:A,Price!C:C,0,0)</f>
        <v>48.5</v>
      </c>
      <c r="E150">
        <f>_xlfn.XLOOKUP(A150,Montage!A:A,Montage!C:C,0,0)+IF(Calc!$D$18=1,_xlfn.XLOOKUP(A150,Montage!A:A,Montage!D:D,0,0),0)</f>
        <v>0</v>
      </c>
    </row>
    <row r="151" spans="1:5">
      <c r="A151" s="79" t="s">
        <v>519</v>
      </c>
      <c r="B151" s="80" t="s">
        <v>520</v>
      </c>
      <c r="C151" s="79" t="s">
        <v>6</v>
      </c>
      <c r="D151">
        <f>_xlfn.XLOOKUP(A151,Price!A:A,Price!C:C,0,0)</f>
        <v>48.5</v>
      </c>
      <c r="E151">
        <f>_xlfn.XLOOKUP(A151,Montage!A:A,Montage!C:C,0,0)+IF(Calc!$D$18=1,_xlfn.XLOOKUP(A151,Montage!A:A,Montage!D:D,0,0),0)</f>
        <v>0</v>
      </c>
    </row>
    <row r="152" spans="1:5">
      <c r="A152" s="79" t="s">
        <v>521</v>
      </c>
      <c r="B152" s="80" t="s">
        <v>522</v>
      </c>
      <c r="C152" s="79" t="s">
        <v>6</v>
      </c>
      <c r="D152">
        <f>_xlfn.XLOOKUP(A152,Price!A:A,Price!C:C,0,0)</f>
        <v>49.94</v>
      </c>
      <c r="E152">
        <f>_xlfn.XLOOKUP(A152,Montage!A:A,Montage!C:C,0,0)+IF(Calc!$D$18=1,_xlfn.XLOOKUP(A152,Montage!A:A,Montage!D:D,0,0),0)</f>
        <v>0</v>
      </c>
    </row>
    <row r="153" spans="1:5">
      <c r="A153" s="79" t="s">
        <v>523</v>
      </c>
      <c r="B153" s="80" t="s">
        <v>524</v>
      </c>
      <c r="C153" s="79" t="s">
        <v>6</v>
      </c>
      <c r="D153">
        <f>_xlfn.XLOOKUP(A153,Price!A:A,Price!C:C,0,0)</f>
        <v>53.72</v>
      </c>
      <c r="E153">
        <f>_xlfn.XLOOKUP(A153,Montage!A:A,Montage!C:C,0,0)+IF(Calc!$D$18=1,_xlfn.XLOOKUP(A153,Montage!A:A,Montage!D:D,0,0),0)</f>
        <v>0</v>
      </c>
    </row>
    <row r="154" spans="1:5">
      <c r="A154" s="79" t="s">
        <v>525</v>
      </c>
      <c r="B154" s="80" t="s">
        <v>526</v>
      </c>
      <c r="C154" s="79" t="s">
        <v>6</v>
      </c>
      <c r="D154">
        <f>_xlfn.XLOOKUP(A154,Price!A:A,Price!C:C,0,0)</f>
        <v>20.46</v>
      </c>
      <c r="E154">
        <f>_xlfn.XLOOKUP(A154,Montage!A:A,Montage!C:C,0,0)+IF(Calc!$D$18=1,_xlfn.XLOOKUP(A154,Montage!A:A,Montage!D:D,0,0),0)</f>
        <v>0</v>
      </c>
    </row>
    <row r="155" spans="1:5">
      <c r="A155" s="79" t="s">
        <v>527</v>
      </c>
      <c r="B155" s="80" t="s">
        <v>528</v>
      </c>
      <c r="C155" s="79" t="s">
        <v>6</v>
      </c>
      <c r="D155">
        <f>_xlfn.XLOOKUP(A155,Price!A:A,Price!C:C,0,0)</f>
        <v>20.46</v>
      </c>
      <c r="E155">
        <f>_xlfn.XLOOKUP(A155,Montage!A:A,Montage!C:C,0,0)+IF(Calc!$D$18=1,_xlfn.XLOOKUP(A155,Montage!A:A,Montage!D:D,0,0),0)</f>
        <v>0</v>
      </c>
    </row>
    <row r="156" spans="1:5">
      <c r="A156" s="79" t="s">
        <v>529</v>
      </c>
      <c r="B156" s="80" t="s">
        <v>530</v>
      </c>
      <c r="C156" s="79" t="s">
        <v>6</v>
      </c>
      <c r="D156">
        <f>_xlfn.XLOOKUP(A156,Price!A:A,Price!C:C,0,0)</f>
        <v>20.98</v>
      </c>
      <c r="E156">
        <f>_xlfn.XLOOKUP(A156,Montage!A:A,Montage!C:C,0,0)+IF(Calc!$D$18=1,_xlfn.XLOOKUP(A156,Montage!A:A,Montage!D:D,0,0),0)</f>
        <v>0</v>
      </c>
    </row>
    <row r="157" spans="1:5">
      <c r="A157" s="79" t="s">
        <v>531</v>
      </c>
      <c r="B157" s="80" t="s">
        <v>532</v>
      </c>
      <c r="C157" s="79" t="s">
        <v>6</v>
      </c>
      <c r="D157">
        <f>_xlfn.XLOOKUP(A157,Price!A:A,Price!C:C,0,0)</f>
        <v>22.57</v>
      </c>
      <c r="E157">
        <f>_xlfn.XLOOKUP(A157,Montage!A:A,Montage!C:C,0,0)+IF(Calc!$D$18=1,_xlfn.XLOOKUP(A157,Montage!A:A,Montage!D:D,0,0),0)</f>
        <v>0</v>
      </c>
    </row>
    <row r="158" spans="1:5">
      <c r="A158" s="79" t="s">
        <v>533</v>
      </c>
      <c r="B158" s="80" t="s">
        <v>534</v>
      </c>
      <c r="C158" s="79" t="s">
        <v>6</v>
      </c>
      <c r="D158">
        <f>_xlfn.XLOOKUP(A158,Price!A:A,Price!C:C,0,0)</f>
        <v>48.5</v>
      </c>
      <c r="E158">
        <f>_xlfn.XLOOKUP(A158,Montage!A:A,Montage!C:C,0,0)+IF(Calc!$D$18=1,_xlfn.XLOOKUP(A158,Montage!A:A,Montage!D:D,0,0),0)</f>
        <v>0</v>
      </c>
    </row>
    <row r="159" spans="1:5">
      <c r="A159" s="79" t="s">
        <v>535</v>
      </c>
      <c r="B159" s="80" t="s">
        <v>536</v>
      </c>
      <c r="C159" s="79" t="s">
        <v>6</v>
      </c>
      <c r="D159">
        <f>_xlfn.XLOOKUP(A159,Price!A:A,Price!C:C,0,0)</f>
        <v>48.5</v>
      </c>
      <c r="E159">
        <f>_xlfn.XLOOKUP(A159,Montage!A:A,Montage!C:C,0,0)+IF(Calc!$D$18=1,_xlfn.XLOOKUP(A159,Montage!A:A,Montage!D:D,0,0),0)</f>
        <v>0</v>
      </c>
    </row>
    <row r="160" spans="1:5">
      <c r="A160" s="79" t="s">
        <v>537</v>
      </c>
      <c r="B160" s="80" t="s">
        <v>538</v>
      </c>
      <c r="C160" s="79" t="s">
        <v>6</v>
      </c>
      <c r="D160">
        <f>_xlfn.XLOOKUP(A160,Price!A:A,Price!C:C,0,0)</f>
        <v>49.94</v>
      </c>
      <c r="E160">
        <f>_xlfn.XLOOKUP(A160,Montage!A:A,Montage!C:C,0,0)+IF(Calc!$D$18=1,_xlfn.XLOOKUP(A160,Montage!A:A,Montage!D:D,0,0),0)</f>
        <v>0</v>
      </c>
    </row>
    <row r="161" spans="1:13">
      <c r="A161" s="79" t="s">
        <v>539</v>
      </c>
      <c r="B161" s="80" t="s">
        <v>540</v>
      </c>
      <c r="C161" s="79" t="s">
        <v>6</v>
      </c>
      <c r="D161">
        <f>_xlfn.XLOOKUP(A161,Price!A:A,Price!C:C,0,0)</f>
        <v>53.72</v>
      </c>
      <c r="E161">
        <f>_xlfn.XLOOKUP(A161,Montage!A:A,Montage!C:C,0,0)+IF(Calc!$D$18=1,_xlfn.XLOOKUP(A161,Montage!A:A,Montage!D:D,0,0),0)</f>
        <v>0</v>
      </c>
    </row>
    <row r="162" spans="1:13">
      <c r="A162" s="79" t="s">
        <v>541</v>
      </c>
      <c r="B162" s="80" t="s">
        <v>542</v>
      </c>
      <c r="C162" s="79" t="s">
        <v>6</v>
      </c>
      <c r="D162">
        <f>_xlfn.XLOOKUP(A162,Price!A:A,Price!C:C,0,0)</f>
        <v>20.46</v>
      </c>
      <c r="E162">
        <f>_xlfn.XLOOKUP(A162,Montage!A:A,Montage!C:C,0,0)+IF(Calc!$D$18=1,_xlfn.XLOOKUP(A162,Montage!A:A,Montage!D:D,0,0),0)</f>
        <v>0</v>
      </c>
    </row>
    <row r="163" spans="1:13">
      <c r="A163" s="79" t="s">
        <v>543</v>
      </c>
      <c r="B163" s="80" t="s">
        <v>544</v>
      </c>
      <c r="C163" s="79" t="s">
        <v>6</v>
      </c>
      <c r="D163">
        <f>_xlfn.XLOOKUP(A163,Price!A:A,Price!C:C,0,0)</f>
        <v>20.46</v>
      </c>
      <c r="E163">
        <f>_xlfn.XLOOKUP(A163,Montage!A:A,Montage!C:C,0,0)+IF(Calc!$D$18=1,_xlfn.XLOOKUP(A163,Montage!A:A,Montage!D:D,0,0),0)</f>
        <v>0</v>
      </c>
    </row>
    <row r="164" spans="1:13">
      <c r="A164" s="79" t="s">
        <v>545</v>
      </c>
      <c r="B164" s="80" t="s">
        <v>546</v>
      </c>
      <c r="C164" s="79" t="s">
        <v>6</v>
      </c>
      <c r="D164">
        <f>_xlfn.XLOOKUP(A164,Price!A:A,Price!C:C,0,0)</f>
        <v>20.98</v>
      </c>
      <c r="E164">
        <f>_xlfn.XLOOKUP(A164,Montage!A:A,Montage!C:C,0,0)+IF(Calc!$D$18=1,_xlfn.XLOOKUP(A164,Montage!A:A,Montage!D:D,0,0),0)</f>
        <v>0</v>
      </c>
    </row>
    <row r="165" spans="1:13">
      <c r="A165" s="79" t="s">
        <v>547</v>
      </c>
      <c r="B165" s="80" t="s">
        <v>548</v>
      </c>
      <c r="C165" s="79" t="s">
        <v>6</v>
      </c>
      <c r="D165">
        <f>_xlfn.XLOOKUP(A165,Price!A:A,Price!C:C,0,0)</f>
        <v>22.57</v>
      </c>
      <c r="E165">
        <f>_xlfn.XLOOKUP(A165,Montage!A:A,Montage!C:C,0,0)+IF(Calc!$D$18=1,_xlfn.XLOOKUP(A165,Montage!A:A,Montage!D:D,0,0),0)</f>
        <v>0</v>
      </c>
    </row>
    <row r="166" spans="1:13">
      <c r="A166" s="79" t="s">
        <v>549</v>
      </c>
      <c r="B166" s="80" t="s">
        <v>550</v>
      </c>
      <c r="C166" s="79" t="s">
        <v>6</v>
      </c>
      <c r="D166">
        <f>_xlfn.XLOOKUP(A166,Price!A:A,Price!C:C,0,0)</f>
        <v>115.23</v>
      </c>
      <c r="E166">
        <f>_xlfn.XLOOKUP(A166,Montage!A:A,Montage!C:C,0,0)+IF(Calc!$D$18=1,_xlfn.XLOOKUP(A166,Montage!A:A,Montage!D:D,0,0),0)</f>
        <v>0.5</v>
      </c>
    </row>
    <row r="167" spans="1:13">
      <c r="A167" s="79" t="s">
        <v>551</v>
      </c>
      <c r="B167" s="80" t="s">
        <v>552</v>
      </c>
      <c r="C167" s="79" t="s">
        <v>6</v>
      </c>
      <c r="D167">
        <f>_xlfn.XLOOKUP(A167,Price!A:A,Price!C:C,0,0)</f>
        <v>115.23</v>
      </c>
      <c r="E167">
        <f>_xlfn.XLOOKUP(A167,Montage!A:A,Montage!C:C,0,0)+IF(Calc!$D$18=1,_xlfn.XLOOKUP(A167,Montage!A:A,Montage!D:D,0,0),0)</f>
        <v>0.5</v>
      </c>
    </row>
    <row r="168" spans="1:13">
      <c r="A168" s="79" t="s">
        <v>553</v>
      </c>
      <c r="B168" s="80" t="s">
        <v>554</v>
      </c>
      <c r="C168" s="79" t="s">
        <v>6</v>
      </c>
      <c r="D168">
        <f>_xlfn.XLOOKUP(A168,Price!A:A,Price!C:C,0,0)</f>
        <v>120.99</v>
      </c>
      <c r="E168">
        <f>_xlfn.XLOOKUP(A168,Montage!A:A,Montage!C:C,0,0)+IF(Calc!$D$18=1,_xlfn.XLOOKUP(A168,Montage!A:A,Montage!D:D,0,0),0)</f>
        <v>0.5</v>
      </c>
    </row>
    <row r="169" spans="1:13">
      <c r="A169" s="79" t="s">
        <v>555</v>
      </c>
      <c r="B169" s="80" t="s">
        <v>556</v>
      </c>
      <c r="C169" s="79" t="s">
        <v>6</v>
      </c>
      <c r="D169">
        <f>_xlfn.XLOOKUP(A169,Price!A:A,Price!C:C,0,0)</f>
        <v>136.12</v>
      </c>
      <c r="E169">
        <f>_xlfn.XLOOKUP(A169,Montage!A:A,Montage!C:C,0,0)+IF(Calc!$D$18=1,_xlfn.XLOOKUP(A169,Montage!A:A,Montage!D:D,0,0),0)</f>
        <v>0.5</v>
      </c>
    </row>
    <row r="170" spans="1:13">
      <c r="A170" s="79" t="s">
        <v>557</v>
      </c>
      <c r="B170" s="80" t="s">
        <v>558</v>
      </c>
      <c r="C170" s="79" t="s">
        <v>6</v>
      </c>
      <c r="D170">
        <f>_xlfn.XLOOKUP(A170,Price!A:A,Price!C:C,0,0)</f>
        <v>42.43</v>
      </c>
      <c r="E170">
        <f>_xlfn.XLOOKUP(A170,Montage!A:A,Montage!C:C,0,0)+IF(Calc!$D$18=1,_xlfn.XLOOKUP(A170,Montage!A:A,Montage!D:D,0,0),0)</f>
        <v>0.25</v>
      </c>
    </row>
    <row r="171" spans="1:13">
      <c r="A171" s="79" t="s">
        <v>559</v>
      </c>
      <c r="B171" s="80" t="s">
        <v>560</v>
      </c>
      <c r="C171" s="79" t="s">
        <v>6</v>
      </c>
      <c r="D171">
        <f>_xlfn.XLOOKUP(A171,Price!A:A,Price!C:C,0,0)</f>
        <v>42.43</v>
      </c>
      <c r="E171">
        <f>_xlfn.XLOOKUP(A171,Montage!A:A,Montage!C:C,0,0)+IF(Calc!$D$18=1,_xlfn.XLOOKUP(A171,Montage!A:A,Montage!D:D,0,0),0)</f>
        <v>0.25</v>
      </c>
    </row>
    <row r="172" spans="1:13">
      <c r="A172" s="79" t="s">
        <v>561</v>
      </c>
      <c r="B172" s="80" t="s">
        <v>562</v>
      </c>
      <c r="C172" s="79" t="s">
        <v>6</v>
      </c>
      <c r="D172">
        <f>_xlfn.XLOOKUP(A172,Price!A:A,Price!C:C,0,0)</f>
        <v>44.55</v>
      </c>
      <c r="E172">
        <f>_xlfn.XLOOKUP(A172,Montage!A:A,Montage!C:C,0,0)+IF(Calc!$D$18=1,_xlfn.XLOOKUP(A172,Montage!A:A,Montage!D:D,0,0),0)</f>
        <v>0.25</v>
      </c>
    </row>
    <row r="173" spans="1:13">
      <c r="A173" s="79" t="s">
        <v>563</v>
      </c>
      <c r="B173" s="80" t="s">
        <v>564</v>
      </c>
      <c r="C173" s="79" t="s">
        <v>6</v>
      </c>
      <c r="D173">
        <f>_xlfn.XLOOKUP(A173,Price!A:A,Price!C:C,0,0)</f>
        <v>50.89</v>
      </c>
      <c r="E173">
        <f>_xlfn.XLOOKUP(A173,Montage!A:A,Montage!C:C,0,0)+IF(Calc!$D$18=1,_xlfn.XLOOKUP(A173,Montage!A:A,Montage!D:D,0,0),0)</f>
        <v>0.25</v>
      </c>
    </row>
    <row r="174" spans="1:13">
      <c r="A174" s="79" t="s">
        <v>565</v>
      </c>
      <c r="B174" s="80" t="s">
        <v>566</v>
      </c>
      <c r="C174" s="79" t="s">
        <v>6</v>
      </c>
      <c r="D174">
        <f>_xlfn.XLOOKUP(A174,Price!A:A,Price!C:C,0,0)</f>
        <v>192.05</v>
      </c>
      <c r="E174">
        <f>_xlfn.XLOOKUP(A174,Montage!A:A,Montage!C:C,0,0)+IF(Calc!$D$18=1,_xlfn.XLOOKUP(A174,Montage!A:A,Montage!D:D,0,0),0)</f>
        <v>0.2</v>
      </c>
    </row>
    <row r="175" spans="1:13">
      <c r="A175" s="79" t="s">
        <v>567</v>
      </c>
      <c r="B175" s="80" t="s">
        <v>568</v>
      </c>
      <c r="C175" s="79" t="s">
        <v>6</v>
      </c>
      <c r="D175">
        <f>_xlfn.XLOOKUP(A175,Price!A:A,Price!C:C,0,0)</f>
        <v>232.05</v>
      </c>
      <c r="E175">
        <f>_xlfn.XLOOKUP(A175,Montage!A:A,Montage!C:C,0,0)+IF(Calc!$D$18=1,_xlfn.XLOOKUP(A175,Montage!A:A,Montage!D:D,0,0),0)</f>
        <v>0.2</v>
      </c>
    </row>
    <row r="176" spans="1:13">
      <c r="A176" s="79" t="s">
        <v>570</v>
      </c>
      <c r="B176" s="79" t="s">
        <v>571</v>
      </c>
      <c r="C176" s="79" t="s">
        <v>6</v>
      </c>
      <c r="D176">
        <f>_xlfn.XLOOKUP(A176,Price!A:A,Price!C:C,0,0)</f>
        <v>77.63</v>
      </c>
      <c r="E176">
        <f>_xlfn.XLOOKUP(A176,Montage!A:A,Montage!C:C,0,0)+IF(Calc!$D$18=1,_xlfn.XLOOKUP(A176,Montage!A:A,Montage!D:D,0,0),0)</f>
        <v>0.5</v>
      </c>
      <c r="M176" s="12"/>
    </row>
    <row r="177" spans="1:13">
      <c r="A177" s="79" t="s">
        <v>572</v>
      </c>
      <c r="B177" s="79" t="s">
        <v>573</v>
      </c>
      <c r="C177" s="79" t="s">
        <v>6</v>
      </c>
      <c r="D177">
        <f>_xlfn.XLOOKUP(A177,Price!A:A,Price!C:C,0,0)</f>
        <v>96.85</v>
      </c>
      <c r="E177">
        <f>_xlfn.XLOOKUP(A177,Montage!A:A,Montage!C:C,0,0)+IF(Calc!$D$18=1,_xlfn.XLOOKUP(A177,Montage!A:A,Montage!D:D,0,0),0)</f>
        <v>0.5</v>
      </c>
      <c r="M177" s="12"/>
    </row>
    <row r="178" spans="1:13">
      <c r="A178" s="79" t="s">
        <v>574</v>
      </c>
      <c r="B178" s="79" t="s">
        <v>575</v>
      </c>
      <c r="C178" s="79" t="s">
        <v>6</v>
      </c>
      <c r="D178">
        <f>_xlfn.XLOOKUP(A178,Price!A:A,Price!C:C,0,0)</f>
        <v>0</v>
      </c>
      <c r="E178">
        <f>_xlfn.XLOOKUP(A178,Montage!A:A,Montage!C:C,0,0)+IF(Calc!$D$18=1,_xlfn.XLOOKUP(A178,Montage!A:A,Montage!D:D,0,0),0)</f>
        <v>0.5</v>
      </c>
      <c r="M178" s="12"/>
    </row>
    <row r="179" spans="1:13">
      <c r="A179" s="79" t="s">
        <v>576</v>
      </c>
      <c r="B179" s="79" t="s">
        <v>577</v>
      </c>
      <c r="C179" s="79" t="s">
        <v>6</v>
      </c>
      <c r="D179">
        <f>_xlfn.XLOOKUP(A179,Price!A:A,Price!C:C,0,0)</f>
        <v>0</v>
      </c>
      <c r="E179">
        <f>_xlfn.XLOOKUP(A179,Montage!A:A,Montage!C:C,0,0)+IF(Calc!$D$18=1,_xlfn.XLOOKUP(A179,Montage!A:A,Montage!D:D,0,0),0)</f>
        <v>0.5</v>
      </c>
    </row>
    <row r="180" spans="1:13">
      <c r="A180" s="80" t="s">
        <v>578</v>
      </c>
      <c r="B180" s="80" t="s">
        <v>737</v>
      </c>
      <c r="C180" s="79" t="s">
        <v>6</v>
      </c>
      <c r="D180">
        <f>_xlfn.XLOOKUP(A180,Price!A:A,Price!C:C,0,0)</f>
        <v>49.24</v>
      </c>
      <c r="E180">
        <f>_xlfn.XLOOKUP(A180,Montage!A:A,Montage!C:C,0,0)+IF(Calc!$D$18=1,_xlfn.XLOOKUP(A180,Montage!A:A,Montage!D:D,0,0),0)</f>
        <v>0.1</v>
      </c>
    </row>
    <row r="181" spans="1:13">
      <c r="A181" s="80" t="s">
        <v>580</v>
      </c>
      <c r="B181" s="80" t="s">
        <v>738</v>
      </c>
      <c r="C181" s="79" t="s">
        <v>6</v>
      </c>
      <c r="D181">
        <f>_xlfn.XLOOKUP(A181,Price!A:A,Price!C:C,0,0)</f>
        <v>30.02</v>
      </c>
      <c r="E181">
        <f>_xlfn.XLOOKUP(A181,Montage!A:A,Montage!C:C,0,0)+IF(Calc!$D$18=1,_xlfn.XLOOKUP(A181,Montage!A:A,Montage!D:D,0,0),0)</f>
        <v>0.1</v>
      </c>
    </row>
    <row r="182" spans="1:13">
      <c r="A182" s="79" t="s">
        <v>582</v>
      </c>
      <c r="B182" s="79" t="s">
        <v>583</v>
      </c>
      <c r="C182" s="79" t="s">
        <v>6</v>
      </c>
      <c r="D182">
        <f>_xlfn.XLOOKUP(A182,Price!A:A,Price!C:C,0,0)</f>
        <v>0</v>
      </c>
      <c r="E182">
        <f>_xlfn.XLOOKUP(A182,Montage!A:A,Montage!C:C,0,0)+IF(Calc!$D$18=1,_xlfn.XLOOKUP(A182,Montage!A:A,Montage!D:D,0,0),0)</f>
        <v>0.75</v>
      </c>
    </row>
    <row r="183" spans="1:13">
      <c r="A183" s="79" t="s">
        <v>584</v>
      </c>
      <c r="B183" s="79" t="s">
        <v>585</v>
      </c>
      <c r="C183" s="79" t="s">
        <v>739</v>
      </c>
      <c r="D183">
        <f>_xlfn.XLOOKUP(A183,Price!A:A,Price!C:C,0,0)</f>
        <v>0</v>
      </c>
      <c r="E183">
        <f>_xlfn.XLOOKUP(A183,Montage!A:A,Montage!C:C,0,0)+IF(Calc!$D$18=1,_xlfn.XLOOKUP(A183,Montage!A:A,Montage!D:D,0,0),0)</f>
        <v>0.125</v>
      </c>
    </row>
    <row r="184" spans="1:13">
      <c r="A184" s="79" t="s">
        <v>586</v>
      </c>
      <c r="B184" s="79" t="s">
        <v>587</v>
      </c>
      <c r="C184" s="79" t="s">
        <v>739</v>
      </c>
      <c r="D184">
        <f>_xlfn.XLOOKUP(A184,Price!A:A,Price!C:C,0,0)</f>
        <v>0</v>
      </c>
      <c r="E184">
        <f>_xlfn.XLOOKUP(A184,Montage!A:A,Montage!C:C,0,0)+IF(Calc!$D$18=1,_xlfn.XLOOKUP(A184,Montage!A:A,Montage!D:D,0,0),0)</f>
        <v>0</v>
      </c>
    </row>
    <row r="185" spans="1:13">
      <c r="A185" s="79" t="s">
        <v>588</v>
      </c>
      <c r="B185" s="80" t="s">
        <v>589</v>
      </c>
      <c r="C185" s="79" t="s">
        <v>739</v>
      </c>
      <c r="D185">
        <f>_xlfn.XLOOKUP(A185,Price!A:A,Price!C:C,0,0)</f>
        <v>23.08</v>
      </c>
      <c r="E185">
        <f>_xlfn.XLOOKUP(A185,Montage!A:A,Montage!C:C,0,0)+IF(Calc!$D$18=1,_xlfn.XLOOKUP(A185,Montage!A:A,Montage!D:D,0,0),0)</f>
        <v>0.05</v>
      </c>
    </row>
    <row r="186" spans="1:13">
      <c r="A186" s="79" t="s">
        <v>590</v>
      </c>
      <c r="B186" s="80" t="s">
        <v>591</v>
      </c>
      <c r="C186" s="79" t="s">
        <v>739</v>
      </c>
      <c r="D186">
        <f>_xlfn.XLOOKUP(A186,Price!A:A,Price!C:C,0,0)</f>
        <v>38.46</v>
      </c>
      <c r="E186">
        <f>_xlfn.XLOOKUP(A186,Montage!A:A,Montage!C:C,0,0)+IF(Calc!$D$18=1,_xlfn.XLOOKUP(A186,Montage!A:A,Montage!D:D,0,0),0)</f>
        <v>0.05</v>
      </c>
    </row>
    <row r="187" spans="1:13" ht="15.95">
      <c r="A187" s="79" t="s">
        <v>623</v>
      </c>
      <c r="B187" s="81" t="s">
        <v>660</v>
      </c>
      <c r="C187" s="79" t="s">
        <v>6</v>
      </c>
      <c r="D187">
        <f>_xlfn.XLOOKUP(A187,Price!A:A,Price!C:C,0,0)</f>
        <v>0.22</v>
      </c>
      <c r="E187">
        <f>_xlfn.XLOOKUP(A187,Montage!A:A,Montage!C:C,0,0)+IF(Calc!$D$18=1,_xlfn.XLOOKUP(A187,Montage!A:A,Montage!D:D,0,0),0)</f>
        <v>0</v>
      </c>
    </row>
    <row r="188" spans="1:13" ht="15.95">
      <c r="A188" s="83" t="s">
        <v>624</v>
      </c>
      <c r="B188" s="81" t="s">
        <v>661</v>
      </c>
      <c r="C188" s="79" t="s">
        <v>6</v>
      </c>
      <c r="D188">
        <f>_xlfn.XLOOKUP(A188,Price!A:A,Price!C:C,0,0)</f>
        <v>0.48</v>
      </c>
      <c r="E188">
        <f>_xlfn.XLOOKUP(A188,Montage!A:A,Montage!C:C,0,0)+IF(Calc!$D$18=1,_xlfn.XLOOKUP(A188,Montage!A:A,Montage!D:D,0,0),0)</f>
        <v>0</v>
      </c>
    </row>
    <row r="189" spans="1:13">
      <c r="A189" s="79" t="s">
        <v>625</v>
      </c>
      <c r="B189" s="82" t="s">
        <v>662</v>
      </c>
      <c r="C189" s="79" t="s">
        <v>6</v>
      </c>
      <c r="D189">
        <f>_xlfn.XLOOKUP(A189,Price!A:A,Price!C:C,0,0)</f>
        <v>0.82</v>
      </c>
      <c r="E189">
        <f>_xlfn.XLOOKUP(A189,Montage!A:A,Montage!C:C,0,0)+IF(Calc!$D$18=1,_xlfn.XLOOKUP(A189,Montage!A:A,Montage!D:D,0,0),0)</f>
        <v>0</v>
      </c>
    </row>
    <row r="190" spans="1:13">
      <c r="A190" s="79" t="s">
        <v>626</v>
      </c>
      <c r="B190" s="82" t="s">
        <v>663</v>
      </c>
      <c r="C190" s="79" t="s">
        <v>6</v>
      </c>
      <c r="D190">
        <f>_xlfn.XLOOKUP(A190,Price!A:A,Price!C:C,0,0)</f>
        <v>0.66</v>
      </c>
      <c r="E190">
        <f>_xlfn.XLOOKUP(A190,Montage!A:A,Montage!C:C,0,0)+IF(Calc!$D$18=1,_xlfn.XLOOKUP(A190,Montage!A:A,Montage!D:D,0,0),0)</f>
        <v>0</v>
      </c>
    </row>
    <row r="191" spans="1:13">
      <c r="A191" s="79" t="s">
        <v>627</v>
      </c>
      <c r="B191" s="82" t="s">
        <v>664</v>
      </c>
      <c r="C191" s="79" t="s">
        <v>6</v>
      </c>
      <c r="D191">
        <f>_xlfn.XLOOKUP(A191,Price!A:A,Price!C:C,0,0)</f>
        <v>0.62</v>
      </c>
      <c r="E191">
        <f>_xlfn.XLOOKUP(A191,Montage!A:A,Montage!C:C,0,0)+IF(Calc!$D$18=1,_xlfn.XLOOKUP(A191,Montage!A:A,Montage!D:D,0,0),0)</f>
        <v>0</v>
      </c>
    </row>
    <row r="192" spans="1:13" ht="15.95">
      <c r="A192" s="79" t="s">
        <v>628</v>
      </c>
      <c r="B192" s="81" t="s">
        <v>665</v>
      </c>
      <c r="C192" s="79" t="s">
        <v>6</v>
      </c>
      <c r="D192">
        <f>_xlfn.XLOOKUP(A192,Price!A:A,Price!C:C,0,0)</f>
        <v>0.74</v>
      </c>
      <c r="E192">
        <f>_xlfn.XLOOKUP(A192,Montage!A:A,Montage!C:C,0,0)+IF(Calc!$D$18=1,_xlfn.XLOOKUP(A192,Montage!A:A,Montage!D:D,0,0),0)</f>
        <v>0</v>
      </c>
    </row>
    <row r="193" spans="1:11" ht="15.95">
      <c r="A193" s="79" t="s">
        <v>629</v>
      </c>
      <c r="B193" s="81" t="s">
        <v>666</v>
      </c>
      <c r="C193" s="79" t="s">
        <v>6</v>
      </c>
      <c r="D193">
        <f>_xlfn.XLOOKUP(A193,Price!A:A,Price!C:C,0,0)</f>
        <v>0.77</v>
      </c>
      <c r="E193">
        <f>_xlfn.XLOOKUP(A193,Montage!A:A,Montage!C:C,0,0)+IF(Calc!$D$18=1,_xlfn.XLOOKUP(A193,Montage!A:A,Montage!D:D,0,0),0)</f>
        <v>0</v>
      </c>
    </row>
    <row r="194" spans="1:11">
      <c r="A194" s="79" t="s">
        <v>630</v>
      </c>
      <c r="B194" s="82" t="s">
        <v>667</v>
      </c>
      <c r="C194" s="79" t="s">
        <v>6</v>
      </c>
      <c r="D194">
        <f>_xlfn.XLOOKUP(A194,Price!A:A,Price!C:C,0,0)</f>
        <v>0.06</v>
      </c>
      <c r="E194">
        <f>_xlfn.XLOOKUP(A194,Montage!A:A,Montage!C:C,0,0)+IF(Calc!$D$18=1,_xlfn.XLOOKUP(A194,Montage!A:A,Montage!D:D,0,0),0)</f>
        <v>0</v>
      </c>
    </row>
    <row r="195" spans="1:11">
      <c r="A195" s="79" t="s">
        <v>631</v>
      </c>
      <c r="B195" s="82" t="s">
        <v>668</v>
      </c>
      <c r="C195" s="79" t="s">
        <v>6</v>
      </c>
      <c r="D195">
        <f>_xlfn.XLOOKUP(A195,Price!A:A,Price!C:C,0,0)</f>
        <v>7.0000000000000007E-2</v>
      </c>
      <c r="E195">
        <f>_xlfn.XLOOKUP(A195,Montage!A:A,Montage!C:C,0,0)+IF(Calc!$D$18=1,_xlfn.XLOOKUP(A195,Montage!A:A,Montage!D:D,0,0),0)</f>
        <v>0</v>
      </c>
    </row>
    <row r="196" spans="1:11">
      <c r="A196" s="79" t="s">
        <v>632</v>
      </c>
      <c r="B196" s="82" t="s">
        <v>669</v>
      </c>
      <c r="C196" s="79" t="s">
        <v>6</v>
      </c>
      <c r="D196">
        <f>_xlfn.XLOOKUP(A196,Price!A:A,Price!C:C,0,0)</f>
        <v>0.87</v>
      </c>
      <c r="E196">
        <f>_xlfn.XLOOKUP(A196,Montage!A:A,Montage!C:C,0,0)+IF(Calc!$D$18=1,_xlfn.XLOOKUP(A196,Montage!A:A,Montage!D:D,0,0),0)</f>
        <v>0</v>
      </c>
    </row>
    <row r="197" spans="1:11">
      <c r="A197" s="79" t="s">
        <v>633</v>
      </c>
      <c r="B197" s="82" t="s">
        <v>670</v>
      </c>
      <c r="C197" s="79" t="s">
        <v>6</v>
      </c>
      <c r="D197">
        <f>_xlfn.XLOOKUP(A197,Price!A:A,Price!C:C,0,0)</f>
        <v>0.12</v>
      </c>
      <c r="E197">
        <f>_xlfn.XLOOKUP(A197,Montage!A:A,Montage!C:C,0,0)+IF(Calc!$D$18=1,_xlfn.XLOOKUP(A197,Montage!A:A,Montage!D:D,0,0),0)</f>
        <v>0</v>
      </c>
    </row>
    <row r="198" spans="1:11">
      <c r="A198" s="79" t="s">
        <v>634</v>
      </c>
      <c r="B198" s="82" t="s">
        <v>671</v>
      </c>
      <c r="C198" s="79" t="s">
        <v>6</v>
      </c>
      <c r="D198">
        <f>_xlfn.XLOOKUP(A198,Price!A:A,Price!C:C,0,0)</f>
        <v>0.49</v>
      </c>
      <c r="E198">
        <f>_xlfn.XLOOKUP(A198,Montage!A:A,Montage!C:C,0,0)+IF(Calc!$D$18=1,_xlfn.XLOOKUP(A198,Montage!A:A,Montage!D:D,0,0),0)</f>
        <v>0</v>
      </c>
    </row>
    <row r="199" spans="1:11">
      <c r="A199" s="79" t="s">
        <v>635</v>
      </c>
      <c r="B199" s="82" t="s">
        <v>672</v>
      </c>
      <c r="C199" s="79" t="s">
        <v>6</v>
      </c>
      <c r="D199">
        <f>_xlfn.XLOOKUP(A199,Price!A:A,Price!C:C,0,0)</f>
        <v>0.24</v>
      </c>
      <c r="E199">
        <f>_xlfn.XLOOKUP(A199,Montage!A:A,Montage!C:C,0,0)+IF(Calc!$D$18=1,_xlfn.XLOOKUP(A199,Montage!A:A,Montage!D:D,0,0),0)</f>
        <v>0</v>
      </c>
    </row>
    <row r="200" spans="1:11">
      <c r="A200" s="79" t="s">
        <v>636</v>
      </c>
      <c r="B200" s="82" t="s">
        <v>673</v>
      </c>
      <c r="C200" s="79" t="s">
        <v>6</v>
      </c>
      <c r="D200">
        <f>_xlfn.XLOOKUP(A200,Price!A:A,Price!C:C,0,0)</f>
        <v>0.24</v>
      </c>
      <c r="E200">
        <f>_xlfn.XLOOKUP(A200,Montage!A:A,Montage!C:C,0,0)+IF(Calc!$D$18=1,_xlfn.XLOOKUP(A200,Montage!A:A,Montage!D:D,0,0),0)</f>
        <v>0</v>
      </c>
    </row>
    <row r="201" spans="1:11">
      <c r="A201" s="79" t="s">
        <v>637</v>
      </c>
      <c r="B201" s="82" t="s">
        <v>674</v>
      </c>
      <c r="C201" s="79" t="s">
        <v>6</v>
      </c>
      <c r="D201">
        <f>_xlfn.XLOOKUP(A201,Price!A:A,Price!C:C,0,0)</f>
        <v>0.33</v>
      </c>
      <c r="E201">
        <f>_xlfn.XLOOKUP(A201,Montage!A:A,Montage!C:C,0,0)+IF(Calc!$D$18=1,_xlfn.XLOOKUP(A201,Montage!A:A,Montage!D:D,0,0),0)</f>
        <v>0</v>
      </c>
    </row>
    <row r="202" spans="1:11">
      <c r="A202" s="83" t="s">
        <v>638</v>
      </c>
      <c r="B202" s="82" t="s">
        <v>675</v>
      </c>
      <c r="C202" s="79" t="s">
        <v>6</v>
      </c>
      <c r="D202">
        <f>_xlfn.XLOOKUP(A202,Price!A:A,Price!C:C,0,0)</f>
        <v>0.13</v>
      </c>
      <c r="E202">
        <f>_xlfn.XLOOKUP(A202,Montage!A:A,Montage!C:C,0,0)+IF(Calc!$D$18=1,_xlfn.XLOOKUP(A202,Montage!A:A,Montage!D:D,0,0),0)</f>
        <v>0</v>
      </c>
    </row>
    <row r="203" spans="1:11">
      <c r="A203" s="83" t="s">
        <v>639</v>
      </c>
      <c r="B203" s="82" t="s">
        <v>676</v>
      </c>
      <c r="C203" s="79" t="s">
        <v>6</v>
      </c>
      <c r="D203">
        <f>_xlfn.XLOOKUP(A203,Price!A:A,Price!C:C,0,0)</f>
        <v>1.7</v>
      </c>
      <c r="E203">
        <f>_xlfn.XLOOKUP(A203,Montage!A:A,Montage!C:C,0,0)+IF(Calc!$D$18=1,_xlfn.XLOOKUP(A203,Montage!A:A,Montage!D:D,0,0),0)</f>
        <v>0</v>
      </c>
    </row>
    <row r="204" spans="1:11">
      <c r="A204" s="79" t="s">
        <v>640</v>
      </c>
      <c r="B204" s="82" t="s">
        <v>677</v>
      </c>
      <c r="C204" s="79" t="s">
        <v>6</v>
      </c>
      <c r="D204">
        <f>_xlfn.XLOOKUP(A204,Price!A:A,Price!C:C,0,0)</f>
        <v>5.64</v>
      </c>
      <c r="E204">
        <f>_xlfn.XLOOKUP(A204,Montage!A:A,Montage!C:C,0,0)+IF(Calc!$D$18=1,_xlfn.XLOOKUP(A204,Montage!A:A,Montage!D:D,0,0),0)</f>
        <v>0</v>
      </c>
    </row>
    <row r="205" spans="1:11">
      <c r="A205" s="79" t="s">
        <v>641</v>
      </c>
      <c r="B205" s="82" t="s">
        <v>678</v>
      </c>
      <c r="C205" s="79" t="s">
        <v>6</v>
      </c>
      <c r="D205">
        <f>_xlfn.XLOOKUP(A205,Price!A:A,Price!C:C,0,0)</f>
        <v>0</v>
      </c>
      <c r="E205">
        <f>_xlfn.XLOOKUP(A205,Montage!A:A,Montage!C:C,0,0)+IF(Calc!$D$18=1,_xlfn.XLOOKUP(A205,Montage!A:A,Montage!D:D,0,0),0)</f>
        <v>0</v>
      </c>
    </row>
    <row r="206" spans="1:11">
      <c r="A206" s="79" t="s">
        <v>644</v>
      </c>
      <c r="B206" s="82" t="s">
        <v>679</v>
      </c>
      <c r="C206" s="79" t="s">
        <v>6</v>
      </c>
      <c r="D206">
        <f>_xlfn.XLOOKUP(A206,Price!A:A,Price!C:C,0,0)</f>
        <v>0</v>
      </c>
      <c r="E206">
        <f>_xlfn.XLOOKUP(A206,Montage!A:A,Montage!C:C,0,0)+IF(Calc!$D$18=1,_xlfn.XLOOKUP(A206,Montage!A:A,Montage!D:D,0,0),0)</f>
        <v>0</v>
      </c>
      <c r="K206" s="1"/>
    </row>
    <row r="207" spans="1:11">
      <c r="A207" s="79" t="s">
        <v>645</v>
      </c>
      <c r="B207" s="82" t="s">
        <v>682</v>
      </c>
      <c r="C207" s="79" t="s">
        <v>6</v>
      </c>
      <c r="D207">
        <f>_xlfn.XLOOKUP(A207,Price!A:A,Price!C:C,0,0)</f>
        <v>0.28999999999999998</v>
      </c>
      <c r="E207">
        <f>_xlfn.XLOOKUP(A207,Montage!A:A,Montage!C:C,0,0)+IF(Calc!$D$18=1,_xlfn.XLOOKUP(A207,Montage!A:A,Montage!D:D,0,0),0)</f>
        <v>0</v>
      </c>
    </row>
    <row r="208" spans="1:11">
      <c r="A208" s="79" t="s">
        <v>646</v>
      </c>
      <c r="B208" s="79" t="s">
        <v>683</v>
      </c>
      <c r="C208" s="79" t="s">
        <v>6</v>
      </c>
      <c r="D208">
        <f>_xlfn.XLOOKUP(A208,Price!A:A,Price!C:C,0,0)</f>
        <v>1.85</v>
      </c>
      <c r="E208">
        <f>_xlfn.XLOOKUP(A208,Montage!A:A,Montage!C:C,0,0)+IF(Calc!$D$18=1,_xlfn.XLOOKUP(A208,Montage!A:A,Montage!D:D,0,0),0)</f>
        <v>0</v>
      </c>
    </row>
    <row r="209" spans="1:11">
      <c r="A209" s="79" t="s">
        <v>647</v>
      </c>
      <c r="B209" s="79" t="s">
        <v>684</v>
      </c>
      <c r="C209" s="79" t="s">
        <v>6</v>
      </c>
      <c r="D209">
        <f>_xlfn.XLOOKUP(A209,Price!A:A,Price!C:C,0,0)</f>
        <v>1.54</v>
      </c>
      <c r="E209">
        <f>_xlfn.XLOOKUP(A209,Montage!A:A,Montage!C:C,0,0)+IF(Calc!$D$18=1,_xlfn.XLOOKUP(A209,Montage!A:A,Montage!D:D,0,0),0)</f>
        <v>0</v>
      </c>
    </row>
    <row r="210" spans="1:11">
      <c r="A210" s="79" t="s">
        <v>416</v>
      </c>
      <c r="B210" s="79" t="s">
        <v>417</v>
      </c>
      <c r="C210" s="79" t="s">
        <v>6</v>
      </c>
      <c r="D210">
        <f>_xlfn.XLOOKUP(A210,Price!A:A,Price!C:C,0,0)</f>
        <v>43.82</v>
      </c>
      <c r="E210">
        <f>_xlfn.XLOOKUP(A210,Montage!A:A,Montage!C:C,0,0)+IF(Calc!$D$18=1,_xlfn.XLOOKUP(A210,Montage!A:A,Montage!D:D,0,0),0)</f>
        <v>0</v>
      </c>
    </row>
    <row r="211" spans="1:11">
      <c r="A211" s="79" t="s">
        <v>418</v>
      </c>
      <c r="B211" s="79" t="s">
        <v>419</v>
      </c>
      <c r="C211" s="79" t="s">
        <v>6</v>
      </c>
      <c r="D211">
        <f>_xlfn.XLOOKUP(A211,Price!A:A,Price!C:C,0,0)</f>
        <v>8.49</v>
      </c>
      <c r="E211">
        <f>_xlfn.XLOOKUP(A211,Montage!A:A,Montage!C:C,0,0)+IF(Calc!$D$18=1,_xlfn.XLOOKUP(A211,Montage!A:A,Montage!D:D,0,0),0)</f>
        <v>0</v>
      </c>
    </row>
    <row r="212" spans="1:11">
      <c r="A212" s="79" t="s">
        <v>420</v>
      </c>
      <c r="B212" s="79" t="s">
        <v>421</v>
      </c>
      <c r="C212" s="79" t="s">
        <v>6</v>
      </c>
      <c r="D212">
        <f>_xlfn.XLOOKUP(A212,Price!A:A,Price!C:C,0,0)</f>
        <v>58.4</v>
      </c>
      <c r="E212">
        <f>_xlfn.XLOOKUP(A212,Montage!A:A,Montage!C:C,0,0)+IF(Calc!$D$18=1,_xlfn.XLOOKUP(A212,Montage!A:A,Montage!D:D,0,0),0)</f>
        <v>0</v>
      </c>
    </row>
    <row r="213" spans="1:11">
      <c r="A213" s="79" t="s">
        <v>422</v>
      </c>
      <c r="B213" s="79" t="s">
        <v>423</v>
      </c>
      <c r="C213" s="79" t="s">
        <v>6</v>
      </c>
      <c r="D213">
        <f>_xlfn.XLOOKUP(A213,Price!A:A,Price!C:C,0,0)</f>
        <v>19.45</v>
      </c>
      <c r="E213">
        <f>_xlfn.XLOOKUP(A213,Montage!A:A,Montage!C:C,0,0)+IF(Calc!$D$18=1,_xlfn.XLOOKUP(A213,Montage!A:A,Montage!D:D,0,0),0)</f>
        <v>0</v>
      </c>
    </row>
    <row r="214" spans="1:11">
      <c r="A214" s="79" t="s">
        <v>424</v>
      </c>
      <c r="B214" s="79" t="s">
        <v>425</v>
      </c>
      <c r="C214" s="79" t="s">
        <v>6</v>
      </c>
      <c r="D214">
        <f>_xlfn.XLOOKUP(A214,Price!A:A,Price!C:C,0,0)</f>
        <v>33.630000000000003</v>
      </c>
      <c r="E214">
        <f>_xlfn.XLOOKUP(A214,Montage!A:A,Montage!C:C,0,0)+IF(Calc!$D$18=1,_xlfn.XLOOKUP(A214,Montage!A:A,Montage!D:D,0,0),0)</f>
        <v>0</v>
      </c>
    </row>
    <row r="215" spans="1:11">
      <c r="A215" s="79" t="s">
        <v>426</v>
      </c>
      <c r="B215" s="79" t="s">
        <v>427</v>
      </c>
      <c r="C215" s="79" t="s">
        <v>6</v>
      </c>
      <c r="D215">
        <f>_xlfn.XLOOKUP(A215,Price!A:A,Price!C:C,0,0)</f>
        <v>31.75</v>
      </c>
      <c r="E215">
        <f>_xlfn.XLOOKUP(A215,Montage!A:A,Montage!C:C,0,0)+IF(Calc!$D$18=1,_xlfn.XLOOKUP(A215,Montage!A:A,Montage!D:D,0,0),0)</f>
        <v>0</v>
      </c>
    </row>
    <row r="216" spans="1:11">
      <c r="A216" s="79" t="s">
        <v>428</v>
      </c>
      <c r="B216" s="79" t="s">
        <v>429</v>
      </c>
      <c r="C216" s="79" t="s">
        <v>6</v>
      </c>
      <c r="D216">
        <f>_xlfn.XLOOKUP(A216,Price!A:A,Price!C:C,0,0)</f>
        <v>118.31</v>
      </c>
      <c r="E216">
        <f>_xlfn.XLOOKUP(A216,Montage!A:A,Montage!C:C,0,0)+IF(Calc!$D$18=1,_xlfn.XLOOKUP(A216,Montage!A:A,Montage!D:D,0,0),0)</f>
        <v>0</v>
      </c>
    </row>
    <row r="217" spans="1:11">
      <c r="A217" s="79" t="s">
        <v>430</v>
      </c>
      <c r="B217" s="79" t="s">
        <v>431</v>
      </c>
      <c r="C217" s="79" t="s">
        <v>6</v>
      </c>
      <c r="D217">
        <f>_xlfn.XLOOKUP(A217,Price!A:A,Price!C:C,0,0)</f>
        <v>647.17999999999995</v>
      </c>
      <c r="E217">
        <f>_xlfn.XLOOKUP(A217,Montage!A:A,Montage!C:C,0,0)+IF(Calc!$D$18=1,_xlfn.XLOOKUP(A217,Montage!A:A,Montage!D:D,0,0),0)</f>
        <v>0</v>
      </c>
    </row>
    <row r="218" spans="1:11">
      <c r="A218" s="79" t="s">
        <v>432</v>
      </c>
      <c r="B218" s="79" t="s">
        <v>740</v>
      </c>
      <c r="C218" s="79" t="s">
        <v>6</v>
      </c>
      <c r="D218">
        <f>_xlfn.XLOOKUP(A218,Price!A:A,Price!C:C,0,0)</f>
        <v>647.17999999999995</v>
      </c>
      <c r="E218">
        <f>_xlfn.XLOOKUP(A218,Montage!A:A,Montage!C:C,0,0)+IF(Calc!$D$18=1,_xlfn.XLOOKUP(A218,Montage!A:A,Montage!D:D,0,0),0)</f>
        <v>0</v>
      </c>
      <c r="J218" s="79"/>
      <c r="K218" s="79"/>
    </row>
    <row r="219" spans="1:11">
      <c r="A219" s="79" t="s">
        <v>434</v>
      </c>
      <c r="B219" s="79" t="s">
        <v>435</v>
      </c>
      <c r="C219" s="79" t="s">
        <v>6</v>
      </c>
      <c r="D219">
        <f>_xlfn.XLOOKUP(A219,Price!A:A,Price!C:C,0,0)</f>
        <v>726.69</v>
      </c>
      <c r="E219">
        <f>_xlfn.XLOOKUP(A219,Montage!A:A,Montage!C:C,0,0)+IF(Calc!$D$18=1,_xlfn.XLOOKUP(A219,Montage!A:A,Montage!D:D,0,0),0)</f>
        <v>0</v>
      </c>
      <c r="J219" s="79"/>
      <c r="K219" s="79"/>
    </row>
    <row r="220" spans="1:11">
      <c r="A220" s="79" t="s">
        <v>436</v>
      </c>
      <c r="B220" s="79" t="s">
        <v>437</v>
      </c>
      <c r="C220" s="79" t="s">
        <v>6</v>
      </c>
      <c r="D220">
        <f>_xlfn.XLOOKUP(A220,Price!A:A,Price!C:C,0,0)</f>
        <v>726.69</v>
      </c>
      <c r="E220">
        <f>_xlfn.XLOOKUP(A220,Montage!A:A,Montage!C:C,0,0)+IF(Calc!$D$18=1,_xlfn.XLOOKUP(A220,Montage!A:A,Montage!D:D,0,0),0)</f>
        <v>0</v>
      </c>
      <c r="J220" s="79"/>
      <c r="K220" s="79"/>
    </row>
    <row r="221" spans="1:11">
      <c r="A221" s="79" t="s">
        <v>438</v>
      </c>
      <c r="B221" s="79" t="s">
        <v>439</v>
      </c>
      <c r="C221" s="79" t="s">
        <v>6</v>
      </c>
      <c r="D221">
        <f>_xlfn.XLOOKUP(A221,Price!A:A,Price!C:C,0,0)</f>
        <v>48</v>
      </c>
      <c r="E221">
        <f>_xlfn.XLOOKUP(A221,Montage!A:A,Montage!C:C,0,0)+IF(Calc!$D$18=1,_xlfn.XLOOKUP(A221,Montage!A:A,Montage!D:D,0,0),0)</f>
        <v>0</v>
      </c>
      <c r="J221" s="79"/>
      <c r="K221" s="79"/>
    </row>
    <row r="222" spans="1:11">
      <c r="A222" s="79" t="s">
        <v>444</v>
      </c>
      <c r="B222" s="79" t="s">
        <v>445</v>
      </c>
      <c r="C222" s="79" t="s">
        <v>6</v>
      </c>
      <c r="D222">
        <f>_xlfn.XLOOKUP(A222,Price!A:A,Price!C:C,0,0)</f>
        <v>102.62</v>
      </c>
      <c r="E222">
        <f>_xlfn.XLOOKUP(A222,Montage!A:A,Montage!C:C,0,0)+IF(Calc!$D$18=1,_xlfn.XLOOKUP(A222,Montage!A:A,Montage!D:D,0,0),0)</f>
        <v>0</v>
      </c>
      <c r="J222" s="79"/>
      <c r="K222" s="79"/>
    </row>
    <row r="223" spans="1:11">
      <c r="A223" s="79" t="s">
        <v>446</v>
      </c>
      <c r="B223" s="79" t="s">
        <v>447</v>
      </c>
      <c r="C223" s="79" t="s">
        <v>6</v>
      </c>
      <c r="D223">
        <f>_xlfn.XLOOKUP(A223,Price!A:A,Price!C:C,0,0)</f>
        <v>102.62</v>
      </c>
      <c r="E223">
        <f>_xlfn.XLOOKUP(A223,Montage!A:A,Montage!C:C,0,0)+IF(Calc!$D$18=1,_xlfn.XLOOKUP(A223,Montage!A:A,Montage!D:D,0,0),0)</f>
        <v>0</v>
      </c>
      <c r="J223" s="79"/>
      <c r="K223" s="79"/>
    </row>
    <row r="224" spans="1:11">
      <c r="A224" s="79" t="s">
        <v>440</v>
      </c>
      <c r="B224" s="79" t="s">
        <v>441</v>
      </c>
      <c r="C224" s="79" t="s">
        <v>6</v>
      </c>
      <c r="D224">
        <f>_xlfn.XLOOKUP(A224,Price!A:A,Price!C:C,0,0)</f>
        <v>12.86</v>
      </c>
      <c r="E224">
        <f>_xlfn.XLOOKUP(A224,Montage!A:A,Montage!C:C,0,0)+IF(Calc!$D$18=1,_xlfn.XLOOKUP(A224,Montage!A:A,Montage!D:D,0,0),0)</f>
        <v>0</v>
      </c>
    </row>
    <row r="225" spans="1:5">
      <c r="A225" s="79" t="s">
        <v>442</v>
      </c>
      <c r="B225" s="79" t="s">
        <v>443</v>
      </c>
      <c r="C225" s="79" t="s">
        <v>6</v>
      </c>
      <c r="D225">
        <f>_xlfn.XLOOKUP(A225,Price!A:A,Price!C:C,0,0)</f>
        <v>23.88</v>
      </c>
      <c r="E225">
        <f>_xlfn.XLOOKUP(A225,Montage!A:A,Montage!C:C,0,0)+IF(Calc!$D$18=1,_xlfn.XLOOKUP(A225,Montage!A:A,Montage!D:D,0,0),0)</f>
        <v>0</v>
      </c>
    </row>
    <row r="226" spans="1:5">
      <c r="A226" s="79" t="s">
        <v>648</v>
      </c>
      <c r="B226" s="79" t="s">
        <v>685</v>
      </c>
      <c r="C226" s="79" t="s">
        <v>6</v>
      </c>
      <c r="D226">
        <f>_xlfn.XLOOKUP(A226,Price!A:A,Price!C:C,0,0)</f>
        <v>0</v>
      </c>
      <c r="E226">
        <f>_xlfn.XLOOKUP(A226,Montage!A:A,Montage!C:C,0,0)+IF(Calc!$D$18=1,_xlfn.XLOOKUP(A226,Montage!A:A,Montage!D:D,0,0),0)</f>
        <v>0</v>
      </c>
    </row>
    <row r="227" spans="1:5">
      <c r="A227" s="79" t="s">
        <v>649</v>
      </c>
      <c r="B227" s="79" t="s">
        <v>686</v>
      </c>
      <c r="C227" s="79" t="s">
        <v>6</v>
      </c>
      <c r="D227">
        <f>_xlfn.XLOOKUP(A227,Price!A:A,Price!C:C,0,0)</f>
        <v>0</v>
      </c>
      <c r="E227">
        <f>_xlfn.XLOOKUP(A227,Montage!A:A,Montage!C:C,0,0)+IF(Calc!$D$18=1,_xlfn.XLOOKUP(A227,Montage!A:A,Montage!D:D,0,0),0)</f>
        <v>0</v>
      </c>
    </row>
    <row r="228" spans="1:5">
      <c r="A228" s="79" t="s">
        <v>650</v>
      </c>
      <c r="B228" s="79" t="s">
        <v>687</v>
      </c>
      <c r="C228" s="79" t="s">
        <v>6</v>
      </c>
      <c r="D228">
        <f>_xlfn.XLOOKUP(A228,Price!A:A,Price!C:C,0,0)</f>
        <v>0</v>
      </c>
      <c r="E228">
        <f>_xlfn.XLOOKUP(A228,Montage!A:A,Montage!C:C,0,0)+IF(Calc!$D$18=1,_xlfn.XLOOKUP(A228,Montage!A:A,Montage!D:D,0,0),0)</f>
        <v>0</v>
      </c>
    </row>
    <row r="229" spans="1:5">
      <c r="A229" s="79" t="s">
        <v>651</v>
      </c>
      <c r="B229" s="79" t="s">
        <v>688</v>
      </c>
      <c r="C229" s="79" t="s">
        <v>6</v>
      </c>
      <c r="D229">
        <f>_xlfn.XLOOKUP(A229,Price!A:A,Price!C:C,0,0)</f>
        <v>0</v>
      </c>
      <c r="E229">
        <f>_xlfn.XLOOKUP(A229,Montage!A:A,Montage!C:C,0,0)+IF(Calc!$D$18=1,_xlfn.XLOOKUP(A229,Montage!A:A,Montage!D:D,0,0),0)</f>
        <v>0</v>
      </c>
    </row>
    <row r="230" spans="1:5">
      <c r="A230" s="79" t="s">
        <v>652</v>
      </c>
      <c r="B230" s="79" t="s">
        <v>689</v>
      </c>
      <c r="C230" s="79" t="s">
        <v>6</v>
      </c>
      <c r="D230">
        <f>_xlfn.XLOOKUP(A230,Price!A:A,Price!C:C,0,0)</f>
        <v>0</v>
      </c>
      <c r="E230">
        <f>_xlfn.XLOOKUP(A230,Montage!A:A,Montage!C:C,0,0)+IF(Calc!$D$18=1,_xlfn.XLOOKUP(A230,Montage!A:A,Montage!D:D,0,0),0)</f>
        <v>0</v>
      </c>
    </row>
    <row r="231" spans="1:5">
      <c r="A231" t="s">
        <v>642</v>
      </c>
      <c r="B231" t="s">
        <v>680</v>
      </c>
      <c r="C231" s="79" t="s">
        <v>6</v>
      </c>
      <c r="D231">
        <f>_xlfn.XLOOKUP(A231,Price!A:A,Price!C:C,0,0)</f>
        <v>4.8</v>
      </c>
      <c r="E231">
        <f>_xlfn.XLOOKUP(A231,Montage!A:A,Montage!C:C,0,0)+IF(Calc!$D$18=1,_xlfn.XLOOKUP(A231,Montage!A:A,Montage!D:D,0,0),0)</f>
        <v>0</v>
      </c>
    </row>
    <row r="232" spans="1:5">
      <c r="A232" t="s">
        <v>643</v>
      </c>
      <c r="B232" t="s">
        <v>681</v>
      </c>
      <c r="C232" s="79" t="s">
        <v>6</v>
      </c>
      <c r="D232">
        <f>_xlfn.XLOOKUP(A232,Price!A:A,Price!C:C,0,0)</f>
        <v>4.74</v>
      </c>
      <c r="E232">
        <f>_xlfn.XLOOKUP(A232,Montage!A:A,Montage!C:C,0,0)+IF(Calc!$D$18=1,_xlfn.XLOOKUP(A232,Montage!A:A,Montage!D:D,0,0),0)</f>
        <v>0</v>
      </c>
    </row>
    <row r="239" spans="1:5">
      <c r="A239" s="79"/>
      <c r="B239" s="79"/>
    </row>
    <row r="240" spans="1:5">
      <c r="A240" s="79"/>
      <c r="B240" s="79"/>
    </row>
    <row r="241" spans="1:2">
      <c r="A241" s="79"/>
      <c r="B241" s="79"/>
    </row>
    <row r="242" spans="1:2">
      <c r="A242" s="79"/>
      <c r="B242" s="79"/>
    </row>
  </sheetData>
  <conditionalFormatting sqref="D2:D232">
    <cfRule type="cellIs" dxfId="2" priority="3" operator="equal">
      <formula>0</formula>
    </cfRule>
  </conditionalFormatting>
  <conditionalFormatting sqref="D2:E232">
    <cfRule type="cellIs" dxfId="1" priority="1" operator="greaterThan">
      <formula>0</formula>
    </cfRule>
  </conditionalFormatting>
  <conditionalFormatting sqref="E2:E232">
    <cfRule type="cellIs" dxfId="0" priority="2" operator="equal">
      <formula>0</formula>
    </cfRule>
  </conditionalFormatting>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8D04-8598-470E-884B-891F3B0A5602}">
  <dimension ref="A1:K220"/>
  <sheetViews>
    <sheetView topLeftCell="A235" workbookViewId="0"/>
  </sheetViews>
  <sheetFormatPr defaultColWidth="9.140625" defaultRowHeight="15"/>
  <cols>
    <col min="1" max="1" width="12.7109375" style="79" bestFit="1" customWidth="1"/>
    <col min="2" max="2" width="71.42578125" style="79" bestFit="1" customWidth="1"/>
    <col min="3" max="3" width="11.28515625" style="96" bestFit="1" customWidth="1"/>
    <col min="4" max="16384" width="9.140625" style="79"/>
  </cols>
  <sheetData>
    <row r="1" spans="1:3">
      <c r="A1" s="83" t="s">
        <v>656</v>
      </c>
      <c r="B1" s="83" t="s">
        <v>657</v>
      </c>
      <c r="C1" s="95" t="s">
        <v>735</v>
      </c>
    </row>
    <row r="2" spans="1:3">
      <c r="A2" s="79" t="s">
        <v>303</v>
      </c>
      <c r="B2" s="79" t="s">
        <v>304</v>
      </c>
      <c r="C2" s="96">
        <v>83.88</v>
      </c>
    </row>
    <row r="3" spans="1:3">
      <c r="A3" s="79" t="s">
        <v>305</v>
      </c>
      <c r="B3" s="79" t="s">
        <v>306</v>
      </c>
      <c r="C3" s="96">
        <v>127.27</v>
      </c>
    </row>
    <row r="4" spans="1:3">
      <c r="A4" s="79" t="s">
        <v>307</v>
      </c>
      <c r="B4" s="79" t="s">
        <v>308</v>
      </c>
      <c r="C4" s="96">
        <v>98.35</v>
      </c>
    </row>
    <row r="5" spans="1:3">
      <c r="A5" s="79" t="s">
        <v>309</v>
      </c>
      <c r="B5" s="79" t="s">
        <v>310</v>
      </c>
      <c r="C5" s="96">
        <v>146.36000000000001</v>
      </c>
    </row>
    <row r="6" spans="1:3">
      <c r="A6" s="79" t="s">
        <v>311</v>
      </c>
      <c r="B6" s="79" t="s">
        <v>312</v>
      </c>
      <c r="C6" s="96">
        <v>100.12</v>
      </c>
    </row>
    <row r="7" spans="1:3">
      <c r="A7" s="79" t="s">
        <v>313</v>
      </c>
      <c r="B7" s="79" t="s">
        <v>314</v>
      </c>
      <c r="C7" s="96">
        <v>155.62</v>
      </c>
    </row>
    <row r="8" spans="1:3">
      <c r="A8" s="79" t="s">
        <v>315</v>
      </c>
      <c r="B8" s="79" t="s">
        <v>316</v>
      </c>
      <c r="C8" s="96">
        <v>164.58</v>
      </c>
    </row>
    <row r="9" spans="1:3">
      <c r="A9" s="79" t="s">
        <v>317</v>
      </c>
      <c r="B9" s="79" t="s">
        <v>318</v>
      </c>
      <c r="C9" s="96">
        <v>225.07</v>
      </c>
    </row>
    <row r="10" spans="1:3">
      <c r="A10" s="79" t="s">
        <v>319</v>
      </c>
      <c r="B10" s="79" t="s">
        <v>320</v>
      </c>
      <c r="C10" s="96">
        <v>194.69</v>
      </c>
    </row>
    <row r="11" spans="1:3">
      <c r="A11" s="79" t="s">
        <v>321</v>
      </c>
      <c r="B11" s="79" t="s">
        <v>322</v>
      </c>
      <c r="C11" s="96">
        <v>281.26</v>
      </c>
    </row>
    <row r="12" spans="1:3">
      <c r="A12" s="79" t="s">
        <v>323</v>
      </c>
      <c r="B12" s="79" t="s">
        <v>324</v>
      </c>
      <c r="C12" s="96">
        <v>209.17</v>
      </c>
    </row>
    <row r="13" spans="1:3">
      <c r="A13" s="79" t="s">
        <v>325</v>
      </c>
      <c r="B13" s="79" t="s">
        <v>326</v>
      </c>
      <c r="C13" s="96">
        <v>318.49</v>
      </c>
    </row>
    <row r="14" spans="1:3">
      <c r="A14" s="79" t="s">
        <v>327</v>
      </c>
      <c r="B14" s="79" t="s">
        <v>328</v>
      </c>
      <c r="C14" s="96">
        <v>236.49</v>
      </c>
    </row>
    <row r="15" spans="1:3">
      <c r="A15" s="79" t="s">
        <v>329</v>
      </c>
      <c r="B15" s="79" t="s">
        <v>330</v>
      </c>
      <c r="C15" s="96">
        <v>369.17</v>
      </c>
    </row>
    <row r="16" spans="1:3">
      <c r="A16" s="79" t="s">
        <v>331</v>
      </c>
      <c r="B16" s="79" t="s">
        <v>332</v>
      </c>
      <c r="C16" s="96">
        <v>10.34</v>
      </c>
    </row>
    <row r="17" spans="1:3">
      <c r="A17" s="79" t="s">
        <v>333</v>
      </c>
      <c r="B17" s="79" t="s">
        <v>334</v>
      </c>
      <c r="C17" s="96">
        <v>10.18</v>
      </c>
    </row>
    <row r="18" spans="1:3">
      <c r="A18" s="79" t="s">
        <v>335</v>
      </c>
      <c r="B18" s="79" t="s">
        <v>336</v>
      </c>
      <c r="C18" s="96">
        <v>16.88</v>
      </c>
    </row>
    <row r="19" spans="1:3">
      <c r="A19" s="79" t="s">
        <v>337</v>
      </c>
      <c r="B19" s="79" t="s">
        <v>338</v>
      </c>
      <c r="C19" s="96">
        <v>19.7</v>
      </c>
    </row>
    <row r="20" spans="1:3">
      <c r="A20" s="79" t="s">
        <v>364</v>
      </c>
      <c r="B20" s="79" t="s">
        <v>365</v>
      </c>
      <c r="C20" s="96">
        <v>80.64</v>
      </c>
    </row>
    <row r="21" spans="1:3">
      <c r="A21" s="79" t="s">
        <v>366</v>
      </c>
      <c r="B21" s="79" t="s">
        <v>367</v>
      </c>
      <c r="C21" s="96">
        <v>119.15</v>
      </c>
    </row>
    <row r="22" spans="1:3">
      <c r="A22" s="79" t="s">
        <v>368</v>
      </c>
      <c r="B22" s="79" t="s">
        <v>369</v>
      </c>
      <c r="C22" s="96">
        <v>102.54</v>
      </c>
    </row>
    <row r="23" spans="1:3">
      <c r="A23" s="79" t="s">
        <v>370</v>
      </c>
      <c r="B23" s="79" t="s">
        <v>371</v>
      </c>
      <c r="C23" s="96">
        <v>145.21</v>
      </c>
    </row>
    <row r="24" spans="1:3">
      <c r="A24" s="79" t="s">
        <v>372</v>
      </c>
      <c r="B24" s="79" t="s">
        <v>373</v>
      </c>
      <c r="C24" s="96">
        <v>36.76</v>
      </c>
    </row>
    <row r="25" spans="1:3">
      <c r="A25" s="79" t="s">
        <v>374</v>
      </c>
      <c r="B25" s="79" t="s">
        <v>375</v>
      </c>
      <c r="C25" s="96">
        <v>38.57</v>
      </c>
    </row>
    <row r="26" spans="1:3">
      <c r="A26" s="79" t="s">
        <v>376</v>
      </c>
      <c r="B26" s="79" t="s">
        <v>377</v>
      </c>
      <c r="C26" s="96">
        <v>49.09</v>
      </c>
    </row>
    <row r="27" spans="1:3">
      <c r="A27" s="79" t="s">
        <v>378</v>
      </c>
      <c r="B27" s="79" t="s">
        <v>379</v>
      </c>
      <c r="C27" s="96">
        <v>53.75</v>
      </c>
    </row>
    <row r="28" spans="1:3">
      <c r="A28" s="79" t="s">
        <v>380</v>
      </c>
      <c r="B28" s="79" t="s">
        <v>381</v>
      </c>
      <c r="C28" s="96">
        <v>20.100000000000001</v>
      </c>
    </row>
    <row r="29" spans="1:3">
      <c r="A29" s="79" t="s">
        <v>382</v>
      </c>
      <c r="B29" s="79" t="s">
        <v>383</v>
      </c>
      <c r="C29" s="96">
        <v>18.829999999999998</v>
      </c>
    </row>
    <row r="30" spans="1:3">
      <c r="A30" s="79" t="s">
        <v>177</v>
      </c>
      <c r="B30" s="79" t="s">
        <v>178</v>
      </c>
      <c r="C30" s="96">
        <v>89.34</v>
      </c>
    </row>
    <row r="31" spans="1:3">
      <c r="A31" s="79" t="s">
        <v>179</v>
      </c>
      <c r="B31" s="79" t="s">
        <v>180</v>
      </c>
      <c r="C31" s="96">
        <v>133.43</v>
      </c>
    </row>
    <row r="32" spans="1:3">
      <c r="A32" s="79" t="s">
        <v>181</v>
      </c>
      <c r="B32" s="79" t="s">
        <v>182</v>
      </c>
      <c r="C32" s="96">
        <v>89.4</v>
      </c>
    </row>
    <row r="33" spans="1:3">
      <c r="A33" s="79" t="s">
        <v>183</v>
      </c>
      <c r="B33" s="79" t="s">
        <v>184</v>
      </c>
      <c r="C33" s="96">
        <v>133.49</v>
      </c>
    </row>
    <row r="34" spans="1:3">
      <c r="A34" s="79" t="s">
        <v>185</v>
      </c>
      <c r="B34" s="79" t="s">
        <v>186</v>
      </c>
      <c r="C34" s="96">
        <v>104.57</v>
      </c>
    </row>
    <row r="35" spans="1:3">
      <c r="A35" s="79" t="s">
        <v>187</v>
      </c>
      <c r="B35" s="79" t="s">
        <v>188</v>
      </c>
      <c r="C35" s="96">
        <v>162.56</v>
      </c>
    </row>
    <row r="36" spans="1:3">
      <c r="A36" s="79" t="s">
        <v>189</v>
      </c>
      <c r="B36" s="79" t="s">
        <v>190</v>
      </c>
      <c r="C36" s="96">
        <v>98.22</v>
      </c>
    </row>
    <row r="37" spans="1:3">
      <c r="A37" s="79" t="s">
        <v>191</v>
      </c>
      <c r="B37" s="79" t="s">
        <v>192</v>
      </c>
      <c r="C37" s="96">
        <v>156.22</v>
      </c>
    </row>
    <row r="38" spans="1:3">
      <c r="A38" s="79" t="s">
        <v>221</v>
      </c>
      <c r="B38" s="79" t="s">
        <v>222</v>
      </c>
      <c r="C38" s="96">
        <v>49.6</v>
      </c>
    </row>
    <row r="39" spans="1:3">
      <c r="A39" s="79" t="s">
        <v>225</v>
      </c>
      <c r="B39" s="79" t="s">
        <v>226</v>
      </c>
      <c r="C39" s="96">
        <v>56.35</v>
      </c>
    </row>
    <row r="40" spans="1:3">
      <c r="A40" s="79" t="s">
        <v>227</v>
      </c>
      <c r="B40" s="79" t="s">
        <v>228</v>
      </c>
      <c r="C40" s="96">
        <v>69.33</v>
      </c>
    </row>
    <row r="41" spans="1:3">
      <c r="A41" s="79" t="s">
        <v>223</v>
      </c>
      <c r="B41" s="79" t="s">
        <v>224</v>
      </c>
      <c r="C41" s="96">
        <v>62.58</v>
      </c>
    </row>
    <row r="42" spans="1:3">
      <c r="A42" s="79" t="s">
        <v>230</v>
      </c>
      <c r="B42" s="79" t="s">
        <v>231</v>
      </c>
      <c r="C42" s="96">
        <v>27.36</v>
      </c>
    </row>
    <row r="43" spans="1:3">
      <c r="A43" s="79" t="s">
        <v>232</v>
      </c>
      <c r="B43" s="79" t="s">
        <v>233</v>
      </c>
      <c r="C43" s="96">
        <v>35.590000000000003</v>
      </c>
    </row>
    <row r="44" spans="1:3">
      <c r="A44" s="79" t="s">
        <v>340</v>
      </c>
      <c r="B44" s="79" t="s">
        <v>341</v>
      </c>
      <c r="C44" s="96">
        <v>39.71</v>
      </c>
    </row>
    <row r="45" spans="1:3">
      <c r="A45" s="79" t="s">
        <v>342</v>
      </c>
      <c r="B45" s="79" t="s">
        <v>343</v>
      </c>
      <c r="C45" s="96">
        <v>60.33</v>
      </c>
    </row>
    <row r="46" spans="1:3">
      <c r="A46" s="79" t="s">
        <v>344</v>
      </c>
      <c r="B46" s="79" t="s">
        <v>345</v>
      </c>
      <c r="C46" s="96">
        <v>68.959999999999994</v>
      </c>
    </row>
    <row r="47" spans="1:3">
      <c r="A47" s="79" t="s">
        <v>346</v>
      </c>
      <c r="B47" s="79" t="s">
        <v>347</v>
      </c>
      <c r="C47" s="96">
        <v>99.16</v>
      </c>
    </row>
    <row r="48" spans="1:3">
      <c r="A48" s="79" t="s">
        <v>348</v>
      </c>
      <c r="B48" s="79" t="s">
        <v>741</v>
      </c>
      <c r="C48" s="96">
        <v>12.75</v>
      </c>
    </row>
    <row r="49" spans="1:3">
      <c r="A49" s="79" t="s">
        <v>350</v>
      </c>
      <c r="B49" s="79" t="s">
        <v>742</v>
      </c>
      <c r="C49" s="96">
        <v>16.14</v>
      </c>
    </row>
    <row r="50" spans="1:3">
      <c r="A50" s="79" t="s">
        <v>352</v>
      </c>
      <c r="B50" s="79" t="s">
        <v>353</v>
      </c>
      <c r="C50" s="96">
        <v>19.28</v>
      </c>
    </row>
    <row r="51" spans="1:3">
      <c r="A51" s="79" t="s">
        <v>354</v>
      </c>
      <c r="B51" s="79" t="s">
        <v>743</v>
      </c>
      <c r="C51" s="96">
        <v>29.77</v>
      </c>
    </row>
    <row r="52" spans="1:3">
      <c r="A52" s="79" t="s">
        <v>235</v>
      </c>
      <c r="B52" s="79" t="s">
        <v>236</v>
      </c>
      <c r="C52" s="96">
        <v>121.83</v>
      </c>
    </row>
    <row r="53" spans="1:3">
      <c r="A53" s="79" t="s">
        <v>237</v>
      </c>
      <c r="B53" s="79" t="s">
        <v>238</v>
      </c>
      <c r="C53" s="96">
        <v>202.58</v>
      </c>
    </row>
    <row r="54" spans="1:3">
      <c r="A54" s="79" t="s">
        <v>239</v>
      </c>
      <c r="B54" s="79" t="s">
        <v>240</v>
      </c>
      <c r="C54" s="96">
        <v>110.02</v>
      </c>
    </row>
    <row r="55" spans="1:3">
      <c r="A55" s="79" t="s">
        <v>241</v>
      </c>
      <c r="B55" s="79" t="s">
        <v>242</v>
      </c>
      <c r="C55" s="96">
        <v>191.62</v>
      </c>
    </row>
    <row r="56" spans="1:3">
      <c r="A56" s="79" t="s">
        <v>243</v>
      </c>
      <c r="B56" s="79" t="s">
        <v>244</v>
      </c>
      <c r="C56" s="96">
        <v>137</v>
      </c>
    </row>
    <row r="57" spans="1:3">
      <c r="A57" s="79" t="s">
        <v>245</v>
      </c>
      <c r="B57" s="79" t="s">
        <v>246</v>
      </c>
      <c r="C57" s="96">
        <v>239.35</v>
      </c>
    </row>
    <row r="58" spans="1:3">
      <c r="A58" s="79" t="s">
        <v>247</v>
      </c>
      <c r="B58" s="79" t="s">
        <v>248</v>
      </c>
      <c r="C58" s="96">
        <v>130.69999999999999</v>
      </c>
    </row>
    <row r="59" spans="1:3">
      <c r="A59" s="79" t="s">
        <v>249</v>
      </c>
      <c r="B59" s="79" t="s">
        <v>250</v>
      </c>
      <c r="C59" s="96">
        <v>233.86</v>
      </c>
    </row>
    <row r="60" spans="1:3">
      <c r="A60" s="79" t="s">
        <v>251</v>
      </c>
      <c r="B60" s="79" t="s">
        <v>252</v>
      </c>
      <c r="C60" s="96">
        <v>172.76</v>
      </c>
    </row>
    <row r="61" spans="1:3">
      <c r="A61" s="79" t="s">
        <v>253</v>
      </c>
      <c r="B61" s="79" t="s">
        <v>254</v>
      </c>
      <c r="C61" s="96">
        <v>341.85</v>
      </c>
    </row>
    <row r="62" spans="1:3">
      <c r="A62" s="79" t="s">
        <v>255</v>
      </c>
      <c r="B62" s="79" t="s">
        <v>256</v>
      </c>
      <c r="C62" s="96">
        <v>239.35</v>
      </c>
    </row>
    <row r="63" spans="1:3">
      <c r="A63" s="79" t="s">
        <v>257</v>
      </c>
      <c r="B63" s="79" t="s">
        <v>258</v>
      </c>
      <c r="C63" s="96">
        <v>451.59</v>
      </c>
    </row>
    <row r="64" spans="1:3">
      <c r="A64" s="79" t="s">
        <v>259</v>
      </c>
      <c r="B64" s="79" t="s">
        <v>260</v>
      </c>
      <c r="C64" s="96">
        <v>274.91000000000003</v>
      </c>
    </row>
    <row r="65" spans="1:3">
      <c r="A65" s="79" t="s">
        <v>261</v>
      </c>
      <c r="B65" s="79" t="s">
        <v>262</v>
      </c>
      <c r="C65" s="96">
        <v>531.58000000000004</v>
      </c>
    </row>
    <row r="66" spans="1:3">
      <c r="A66" s="79" t="s">
        <v>263</v>
      </c>
      <c r="B66" s="79" t="s">
        <v>264</v>
      </c>
      <c r="C66" s="96">
        <v>106.67</v>
      </c>
    </row>
    <row r="67" spans="1:3">
      <c r="A67" s="79" t="s">
        <v>265</v>
      </c>
      <c r="B67" s="79" t="s">
        <v>266</v>
      </c>
      <c r="C67" s="96">
        <v>189.12</v>
      </c>
    </row>
    <row r="68" spans="1:3">
      <c r="A68" s="79" t="s">
        <v>267</v>
      </c>
      <c r="B68" s="79" t="s">
        <v>268</v>
      </c>
      <c r="C68" s="96">
        <v>122.66</v>
      </c>
    </row>
    <row r="69" spans="1:3">
      <c r="A69" s="79" t="s">
        <v>269</v>
      </c>
      <c r="B69" s="79" t="s">
        <v>270</v>
      </c>
      <c r="C69" s="96">
        <v>226.93</v>
      </c>
    </row>
    <row r="70" spans="1:3">
      <c r="A70" s="79" t="s">
        <v>271</v>
      </c>
      <c r="B70" s="79" t="s">
        <v>272</v>
      </c>
      <c r="C70" s="96">
        <v>197.22</v>
      </c>
    </row>
    <row r="71" spans="1:3">
      <c r="A71" s="79" t="s">
        <v>273</v>
      </c>
      <c r="B71" s="79" t="s">
        <v>274</v>
      </c>
      <c r="C71" s="96">
        <v>368.14</v>
      </c>
    </row>
    <row r="72" spans="1:3">
      <c r="A72" s="79" t="s">
        <v>275</v>
      </c>
      <c r="B72" s="79" t="s">
        <v>276</v>
      </c>
      <c r="C72" s="96">
        <v>229.2</v>
      </c>
    </row>
    <row r="73" spans="1:3">
      <c r="A73" s="79" t="s">
        <v>277</v>
      </c>
      <c r="B73" s="79" t="s">
        <v>278</v>
      </c>
      <c r="C73" s="96">
        <v>443.67</v>
      </c>
    </row>
    <row r="74" spans="1:3">
      <c r="A74" s="79" t="s">
        <v>279</v>
      </c>
      <c r="B74" s="79" t="s">
        <v>280</v>
      </c>
      <c r="C74" s="96">
        <v>265.07</v>
      </c>
    </row>
    <row r="75" spans="1:3">
      <c r="A75" s="79" t="s">
        <v>281</v>
      </c>
      <c r="B75" s="79" t="s">
        <v>282</v>
      </c>
      <c r="C75" s="96">
        <v>524.41999999999996</v>
      </c>
    </row>
    <row r="76" spans="1:3">
      <c r="A76" s="79" t="s">
        <v>195</v>
      </c>
      <c r="B76" s="79" t="s">
        <v>196</v>
      </c>
      <c r="C76" s="96">
        <v>53.79</v>
      </c>
    </row>
    <row r="77" spans="1:3">
      <c r="A77" s="79" t="s">
        <v>197</v>
      </c>
      <c r="B77" s="79" t="s">
        <v>198</v>
      </c>
      <c r="C77" s="96">
        <v>68.55</v>
      </c>
    </row>
    <row r="78" spans="1:3">
      <c r="A78" s="79" t="s">
        <v>200</v>
      </c>
      <c r="B78" s="79" t="s">
        <v>201</v>
      </c>
      <c r="C78" s="96">
        <v>45.58</v>
      </c>
    </row>
    <row r="79" spans="1:3">
      <c r="A79" s="79" t="s">
        <v>202</v>
      </c>
      <c r="B79" s="79" t="s">
        <v>203</v>
      </c>
      <c r="C79" s="96">
        <v>58.56</v>
      </c>
    </row>
    <row r="80" spans="1:3">
      <c r="A80" s="79" t="s">
        <v>205</v>
      </c>
      <c r="B80" s="79" t="s">
        <v>206</v>
      </c>
      <c r="C80" s="96">
        <v>52.87</v>
      </c>
    </row>
    <row r="81" spans="1:9">
      <c r="A81" s="79" t="s">
        <v>207</v>
      </c>
      <c r="B81" s="79" t="s">
        <v>208</v>
      </c>
      <c r="C81" s="96">
        <v>66.44</v>
      </c>
    </row>
    <row r="82" spans="1:9">
      <c r="A82" s="79" t="s">
        <v>210</v>
      </c>
      <c r="B82" s="79" t="s">
        <v>211</v>
      </c>
      <c r="C82" s="96">
        <v>41.65</v>
      </c>
    </row>
    <row r="83" spans="1:9">
      <c r="A83" s="79" t="s">
        <v>212</v>
      </c>
      <c r="B83" s="79" t="s">
        <v>213</v>
      </c>
      <c r="C83" s="96">
        <v>52.85</v>
      </c>
    </row>
    <row r="84" spans="1:9">
      <c r="A84" s="79" t="s">
        <v>215</v>
      </c>
      <c r="B84" s="79" t="s">
        <v>216</v>
      </c>
      <c r="C84" s="96">
        <v>19.46</v>
      </c>
    </row>
    <row r="85" spans="1:9">
      <c r="A85" s="79" t="s">
        <v>217</v>
      </c>
      <c r="B85" s="79" t="s">
        <v>218</v>
      </c>
      <c r="C85" s="96">
        <v>22.34</v>
      </c>
    </row>
    <row r="86" spans="1:9">
      <c r="A86" s="79" t="s">
        <v>360</v>
      </c>
      <c r="B86" s="79" t="s">
        <v>361</v>
      </c>
      <c r="C86" s="96">
        <v>57.94</v>
      </c>
    </row>
    <row r="87" spans="1:9">
      <c r="A87" s="79" t="s">
        <v>362</v>
      </c>
      <c r="B87" s="79" t="s">
        <v>363</v>
      </c>
      <c r="C87" s="96">
        <v>66.17</v>
      </c>
    </row>
    <row r="88" spans="1:9">
      <c r="A88" s="79" t="s">
        <v>283</v>
      </c>
      <c r="B88" s="79" t="s">
        <v>284</v>
      </c>
      <c r="C88" s="96">
        <v>38.340000000000003</v>
      </c>
    </row>
    <row r="89" spans="1:9">
      <c r="A89" s="79" t="s">
        <v>285</v>
      </c>
      <c r="B89" s="79" t="s">
        <v>286</v>
      </c>
      <c r="C89" s="96">
        <v>67.569999999999993</v>
      </c>
    </row>
    <row r="90" spans="1:9">
      <c r="A90" s="79" t="s">
        <v>287</v>
      </c>
      <c r="B90" s="79" t="s">
        <v>288</v>
      </c>
      <c r="C90" s="96">
        <v>53.03</v>
      </c>
    </row>
    <row r="91" spans="1:9">
      <c r="A91" s="79" t="s">
        <v>289</v>
      </c>
      <c r="B91" s="79" t="s">
        <v>290</v>
      </c>
      <c r="C91" s="96">
        <v>89.97</v>
      </c>
    </row>
    <row r="92" spans="1:9">
      <c r="A92" s="79" t="s">
        <v>291</v>
      </c>
      <c r="B92" s="79" t="s">
        <v>292</v>
      </c>
      <c r="C92" s="96">
        <v>103.59</v>
      </c>
    </row>
    <row r="93" spans="1:9">
      <c r="A93" s="79" t="s">
        <v>293</v>
      </c>
      <c r="B93" s="79" t="s">
        <v>294</v>
      </c>
      <c r="C93" s="96">
        <v>164.18</v>
      </c>
    </row>
    <row r="94" spans="1:9">
      <c r="A94" s="79" t="s">
        <v>295</v>
      </c>
      <c r="B94" s="79" t="s">
        <v>296</v>
      </c>
      <c r="C94" s="96">
        <v>115.9</v>
      </c>
    </row>
    <row r="95" spans="1:9">
      <c r="A95" s="79" t="s">
        <v>297</v>
      </c>
      <c r="B95" s="79" t="s">
        <v>298</v>
      </c>
      <c r="C95" s="96">
        <v>191.92</v>
      </c>
    </row>
    <row r="96" spans="1:9">
      <c r="A96" s="79" t="s">
        <v>299</v>
      </c>
      <c r="B96" s="79" t="s">
        <v>300</v>
      </c>
      <c r="C96" s="96">
        <v>103.59</v>
      </c>
      <c r="I96" s="80"/>
    </row>
    <row r="97" spans="1:9">
      <c r="A97" s="79" t="s">
        <v>301</v>
      </c>
      <c r="B97" s="79" t="s">
        <v>302</v>
      </c>
      <c r="C97" s="96">
        <v>195.54</v>
      </c>
      <c r="I97" s="80"/>
    </row>
    <row r="98" spans="1:9">
      <c r="A98" s="79" t="s">
        <v>356</v>
      </c>
      <c r="B98" s="79" t="s">
        <v>357</v>
      </c>
      <c r="C98" s="96">
        <v>4.76</v>
      </c>
      <c r="I98" s="80"/>
    </row>
    <row r="99" spans="1:9">
      <c r="A99" s="79" t="s">
        <v>358</v>
      </c>
      <c r="B99" s="79" t="s">
        <v>359</v>
      </c>
      <c r="C99" s="96">
        <v>5.39</v>
      </c>
      <c r="I99" s="80"/>
    </row>
    <row r="100" spans="1:9">
      <c r="A100" s="79" t="s">
        <v>384</v>
      </c>
      <c r="B100" s="79" t="s">
        <v>385</v>
      </c>
      <c r="C100" s="96">
        <v>97.22</v>
      </c>
      <c r="I100" s="80"/>
    </row>
    <row r="101" spans="1:9">
      <c r="A101" s="79" t="s">
        <v>386</v>
      </c>
      <c r="B101" s="79" t="s">
        <v>744</v>
      </c>
      <c r="C101" s="96">
        <v>105.65</v>
      </c>
      <c r="I101" s="80"/>
    </row>
    <row r="102" spans="1:9">
      <c r="A102" s="79" t="s">
        <v>388</v>
      </c>
      <c r="B102" s="79" t="s">
        <v>745</v>
      </c>
      <c r="C102" s="96">
        <v>136.93</v>
      </c>
      <c r="I102" s="80"/>
    </row>
    <row r="103" spans="1:9">
      <c r="A103" s="79" t="s">
        <v>390</v>
      </c>
      <c r="B103" s="79" t="s">
        <v>746</v>
      </c>
      <c r="C103" s="96">
        <v>157.82</v>
      </c>
      <c r="I103" s="80"/>
    </row>
    <row r="104" spans="1:9">
      <c r="A104" s="79" t="s">
        <v>392</v>
      </c>
      <c r="B104" s="79" t="s">
        <v>393</v>
      </c>
      <c r="C104" s="96">
        <v>178.32</v>
      </c>
      <c r="I104" s="80"/>
    </row>
    <row r="105" spans="1:9">
      <c r="A105" s="79" t="s">
        <v>394</v>
      </c>
      <c r="B105" s="79" t="s">
        <v>395</v>
      </c>
      <c r="C105" s="96">
        <v>211.06</v>
      </c>
      <c r="I105" s="80"/>
    </row>
    <row r="106" spans="1:9">
      <c r="A106" s="79" t="s">
        <v>396</v>
      </c>
      <c r="B106" s="79" t="s">
        <v>397</v>
      </c>
      <c r="C106" s="96">
        <v>186.96</v>
      </c>
      <c r="I106" s="80"/>
    </row>
    <row r="107" spans="1:9">
      <c r="A107" s="79" t="s">
        <v>398</v>
      </c>
      <c r="B107" s="79" t="s">
        <v>399</v>
      </c>
      <c r="C107" s="96">
        <v>222.59</v>
      </c>
      <c r="I107" s="80"/>
    </row>
    <row r="108" spans="1:9">
      <c r="A108" s="79" t="s">
        <v>400</v>
      </c>
      <c r="B108" s="79" t="s">
        <v>401</v>
      </c>
      <c r="C108" s="96">
        <v>261.97000000000003</v>
      </c>
      <c r="I108" s="80"/>
    </row>
    <row r="109" spans="1:9">
      <c r="A109" s="79" t="s">
        <v>402</v>
      </c>
      <c r="B109" s="79" t="s">
        <v>403</v>
      </c>
      <c r="C109" s="96">
        <v>322.62</v>
      </c>
      <c r="I109" s="80"/>
    </row>
    <row r="110" spans="1:9">
      <c r="A110" s="79" t="s">
        <v>404</v>
      </c>
      <c r="B110" s="79" t="s">
        <v>405</v>
      </c>
      <c r="C110" s="96">
        <v>280.7</v>
      </c>
      <c r="I110" s="80"/>
    </row>
    <row r="111" spans="1:9">
      <c r="A111" s="79" t="s">
        <v>406</v>
      </c>
      <c r="B111" s="79" t="s">
        <v>407</v>
      </c>
      <c r="C111" s="96">
        <v>347.81</v>
      </c>
      <c r="I111" s="80"/>
    </row>
    <row r="112" spans="1:9">
      <c r="A112" s="79" t="s">
        <v>408</v>
      </c>
      <c r="B112" s="79" t="s">
        <v>747</v>
      </c>
      <c r="C112" s="96">
        <v>16.3</v>
      </c>
      <c r="I112" s="80"/>
    </row>
    <row r="113" spans="1:9">
      <c r="A113" s="79" t="s">
        <v>410</v>
      </c>
      <c r="B113" s="79" t="s">
        <v>748</v>
      </c>
      <c r="C113" s="96">
        <v>15.62</v>
      </c>
      <c r="I113" s="80"/>
    </row>
    <row r="114" spans="1:9">
      <c r="A114" s="79" t="s">
        <v>412</v>
      </c>
      <c r="B114" s="79" t="s">
        <v>749</v>
      </c>
      <c r="C114" s="96">
        <v>16.100000000000001</v>
      </c>
      <c r="I114" s="80"/>
    </row>
    <row r="115" spans="1:9">
      <c r="A115" s="79" t="s">
        <v>414</v>
      </c>
      <c r="B115" s="79" t="s">
        <v>415</v>
      </c>
      <c r="C115" s="96">
        <v>17.29</v>
      </c>
      <c r="I115" s="80"/>
    </row>
    <row r="116" spans="1:9">
      <c r="A116" s="79" t="s">
        <v>469</v>
      </c>
      <c r="B116" s="79" t="s">
        <v>470</v>
      </c>
      <c r="C116" s="96">
        <v>134.91999999999999</v>
      </c>
    </row>
    <row r="117" spans="1:9">
      <c r="A117" s="79" t="s">
        <v>471</v>
      </c>
      <c r="B117" s="79" t="s">
        <v>472</v>
      </c>
      <c r="C117" s="96">
        <v>134.91999999999999</v>
      </c>
      <c r="I117" s="80"/>
    </row>
    <row r="118" spans="1:9">
      <c r="A118" s="79" t="s">
        <v>473</v>
      </c>
      <c r="B118" s="79" t="s">
        <v>474</v>
      </c>
      <c r="C118" s="96">
        <v>140.69</v>
      </c>
      <c r="I118" s="80"/>
    </row>
    <row r="119" spans="1:9">
      <c r="A119" s="79" t="s">
        <v>475</v>
      </c>
      <c r="B119" s="79" t="s">
        <v>476</v>
      </c>
      <c r="C119" s="96">
        <v>155.82</v>
      </c>
      <c r="I119" s="80"/>
    </row>
    <row r="120" spans="1:9">
      <c r="A120" s="79" t="s">
        <v>477</v>
      </c>
      <c r="B120" s="80" t="s">
        <v>478</v>
      </c>
      <c r="C120" s="96">
        <v>52.28</v>
      </c>
      <c r="I120" s="80"/>
    </row>
    <row r="121" spans="1:9">
      <c r="A121" s="79" t="s">
        <v>479</v>
      </c>
      <c r="B121" s="80" t="s">
        <v>480</v>
      </c>
      <c r="C121" s="96">
        <v>52.28</v>
      </c>
      <c r="I121" s="80"/>
    </row>
    <row r="122" spans="1:9">
      <c r="A122" s="79" t="s">
        <v>481</v>
      </c>
      <c r="B122" s="80" t="s">
        <v>482</v>
      </c>
      <c r="C122" s="96">
        <v>54.4</v>
      </c>
      <c r="I122" s="80"/>
    </row>
    <row r="123" spans="1:9">
      <c r="A123" s="79" t="s">
        <v>483</v>
      </c>
      <c r="B123" s="80" t="s">
        <v>484</v>
      </c>
      <c r="C123" s="96">
        <v>60.74</v>
      </c>
      <c r="I123" s="80"/>
    </row>
    <row r="124" spans="1:9">
      <c r="A124" s="79" t="s">
        <v>485</v>
      </c>
      <c r="B124" s="80" t="s">
        <v>486</v>
      </c>
      <c r="C124" s="96">
        <v>77.31</v>
      </c>
      <c r="I124" s="80"/>
    </row>
    <row r="125" spans="1:9">
      <c r="A125" s="79" t="s">
        <v>487</v>
      </c>
      <c r="B125" s="80" t="s">
        <v>488</v>
      </c>
      <c r="C125" s="96">
        <v>77.31</v>
      </c>
      <c r="I125" s="80"/>
    </row>
    <row r="126" spans="1:9">
      <c r="A126" s="79" t="s">
        <v>489</v>
      </c>
      <c r="B126" s="80" t="s">
        <v>490</v>
      </c>
      <c r="C126" s="96">
        <v>80.19</v>
      </c>
      <c r="I126" s="80"/>
    </row>
    <row r="127" spans="1:9">
      <c r="A127" s="79" t="s">
        <v>491</v>
      </c>
      <c r="B127" s="80" t="s">
        <v>492</v>
      </c>
      <c r="C127" s="96">
        <v>87.75</v>
      </c>
      <c r="I127" s="80"/>
    </row>
    <row r="128" spans="1:9">
      <c r="A128" s="79" t="s">
        <v>493</v>
      </c>
      <c r="B128" s="80" t="s">
        <v>494</v>
      </c>
      <c r="C128" s="96">
        <v>31.06</v>
      </c>
      <c r="I128" s="80"/>
    </row>
    <row r="129" spans="1:9">
      <c r="A129" s="79" t="s">
        <v>495</v>
      </c>
      <c r="B129" s="80" t="s">
        <v>496</v>
      </c>
      <c r="C129" s="96">
        <v>31.06</v>
      </c>
      <c r="I129" s="80"/>
    </row>
    <row r="130" spans="1:9">
      <c r="A130" s="79" t="s">
        <v>497</v>
      </c>
      <c r="B130" s="80" t="s">
        <v>498</v>
      </c>
      <c r="C130" s="96">
        <v>32.119999999999997</v>
      </c>
      <c r="I130" s="80"/>
    </row>
    <row r="131" spans="1:9">
      <c r="A131" s="79" t="s">
        <v>499</v>
      </c>
      <c r="B131" s="80" t="s">
        <v>500</v>
      </c>
      <c r="C131" s="96">
        <v>35.29</v>
      </c>
      <c r="I131" s="80"/>
    </row>
    <row r="132" spans="1:9">
      <c r="A132" s="79" t="s">
        <v>501</v>
      </c>
      <c r="B132" s="80" t="s">
        <v>502</v>
      </c>
      <c r="C132" s="96">
        <v>77.31</v>
      </c>
      <c r="I132" s="80"/>
    </row>
    <row r="133" spans="1:9">
      <c r="A133" s="79" t="s">
        <v>503</v>
      </c>
      <c r="B133" s="80" t="s">
        <v>504</v>
      </c>
      <c r="C133" s="96">
        <v>77.31</v>
      </c>
      <c r="I133" s="80"/>
    </row>
    <row r="134" spans="1:9">
      <c r="A134" s="79" t="s">
        <v>505</v>
      </c>
      <c r="B134" s="80" t="s">
        <v>506</v>
      </c>
      <c r="C134" s="96">
        <v>80.19</v>
      </c>
      <c r="I134" s="80"/>
    </row>
    <row r="135" spans="1:9">
      <c r="A135" s="79" t="s">
        <v>507</v>
      </c>
      <c r="B135" s="80" t="s">
        <v>508</v>
      </c>
      <c r="C135" s="96">
        <v>87.75</v>
      </c>
      <c r="I135" s="80"/>
    </row>
    <row r="136" spans="1:9">
      <c r="A136" s="79" t="s">
        <v>509</v>
      </c>
      <c r="B136" s="80" t="s">
        <v>510</v>
      </c>
      <c r="C136" s="96">
        <v>31.06</v>
      </c>
      <c r="I136" s="80"/>
    </row>
    <row r="137" spans="1:9">
      <c r="A137" s="79" t="s">
        <v>511</v>
      </c>
      <c r="B137" s="80" t="s">
        <v>512</v>
      </c>
      <c r="C137" s="96">
        <v>31.06</v>
      </c>
      <c r="I137" s="80"/>
    </row>
    <row r="138" spans="1:9">
      <c r="A138" s="79" t="s">
        <v>513</v>
      </c>
      <c r="B138" s="80" t="s">
        <v>514</v>
      </c>
      <c r="C138" s="96">
        <v>32.119999999999997</v>
      </c>
      <c r="I138" s="80"/>
    </row>
    <row r="139" spans="1:9">
      <c r="A139" s="79" t="s">
        <v>515</v>
      </c>
      <c r="B139" s="80" t="s">
        <v>516</v>
      </c>
      <c r="C139" s="96">
        <v>35.29</v>
      </c>
      <c r="I139" s="80"/>
    </row>
    <row r="140" spans="1:9">
      <c r="A140" s="79" t="s">
        <v>517</v>
      </c>
      <c r="B140" s="80" t="s">
        <v>518</v>
      </c>
      <c r="C140" s="96">
        <v>48.5</v>
      </c>
      <c r="I140" s="80"/>
    </row>
    <row r="141" spans="1:9">
      <c r="A141" s="79" t="s">
        <v>519</v>
      </c>
      <c r="B141" s="80" t="s">
        <v>520</v>
      </c>
      <c r="C141" s="96">
        <v>48.5</v>
      </c>
      <c r="I141" s="80"/>
    </row>
    <row r="142" spans="1:9">
      <c r="A142" s="79" t="s">
        <v>521</v>
      </c>
      <c r="B142" s="80" t="s">
        <v>522</v>
      </c>
      <c r="C142" s="96">
        <v>49.94</v>
      </c>
      <c r="I142" s="80"/>
    </row>
    <row r="143" spans="1:9">
      <c r="A143" s="79" t="s">
        <v>523</v>
      </c>
      <c r="B143" s="80" t="s">
        <v>524</v>
      </c>
      <c r="C143" s="96">
        <v>53.72</v>
      </c>
      <c r="I143" s="80"/>
    </row>
    <row r="144" spans="1:9">
      <c r="A144" s="79" t="s">
        <v>525</v>
      </c>
      <c r="B144" s="80" t="s">
        <v>526</v>
      </c>
      <c r="C144" s="96">
        <v>20.46</v>
      </c>
      <c r="I144" s="80"/>
    </row>
    <row r="145" spans="1:9">
      <c r="A145" s="79" t="s">
        <v>527</v>
      </c>
      <c r="B145" s="80" t="s">
        <v>528</v>
      </c>
      <c r="C145" s="96">
        <v>20.46</v>
      </c>
      <c r="I145" s="80"/>
    </row>
    <row r="146" spans="1:9">
      <c r="A146" s="79" t="s">
        <v>529</v>
      </c>
      <c r="B146" s="80" t="s">
        <v>530</v>
      </c>
      <c r="C146" s="96">
        <v>20.98</v>
      </c>
      <c r="I146" s="80"/>
    </row>
    <row r="147" spans="1:9">
      <c r="A147" s="79" t="s">
        <v>531</v>
      </c>
      <c r="B147" s="80" t="s">
        <v>532</v>
      </c>
      <c r="C147" s="96">
        <v>22.57</v>
      </c>
      <c r="I147" s="80"/>
    </row>
    <row r="148" spans="1:9">
      <c r="A148" s="79" t="s">
        <v>533</v>
      </c>
      <c r="B148" s="80" t="s">
        <v>534</v>
      </c>
      <c r="C148" s="96">
        <v>48.5</v>
      </c>
      <c r="I148" s="80"/>
    </row>
    <row r="149" spans="1:9">
      <c r="A149" s="79" t="s">
        <v>535</v>
      </c>
      <c r="B149" s="80" t="s">
        <v>536</v>
      </c>
      <c r="C149" s="96">
        <v>48.5</v>
      </c>
      <c r="I149" s="80"/>
    </row>
    <row r="150" spans="1:9">
      <c r="A150" s="79" t="s">
        <v>537</v>
      </c>
      <c r="B150" s="80" t="s">
        <v>538</v>
      </c>
      <c r="C150" s="96">
        <v>49.94</v>
      </c>
      <c r="I150" s="80"/>
    </row>
    <row r="151" spans="1:9">
      <c r="A151" s="79" t="s">
        <v>539</v>
      </c>
      <c r="B151" s="80" t="s">
        <v>540</v>
      </c>
      <c r="C151" s="96">
        <v>53.72</v>
      </c>
      <c r="I151" s="80"/>
    </row>
    <row r="152" spans="1:9">
      <c r="A152" s="79" t="s">
        <v>541</v>
      </c>
      <c r="B152" s="80" t="s">
        <v>542</v>
      </c>
      <c r="C152" s="96">
        <v>20.46</v>
      </c>
      <c r="I152" s="80"/>
    </row>
    <row r="153" spans="1:9">
      <c r="A153" s="79" t="s">
        <v>543</v>
      </c>
      <c r="B153" s="80" t="s">
        <v>544</v>
      </c>
      <c r="C153" s="96">
        <v>20.46</v>
      </c>
      <c r="I153" s="80"/>
    </row>
    <row r="154" spans="1:9">
      <c r="A154" s="79" t="s">
        <v>545</v>
      </c>
      <c r="B154" s="80" t="s">
        <v>546</v>
      </c>
      <c r="C154" s="96">
        <v>20.98</v>
      </c>
      <c r="I154" s="80"/>
    </row>
    <row r="155" spans="1:9">
      <c r="A155" s="79" t="s">
        <v>547</v>
      </c>
      <c r="B155" s="80" t="s">
        <v>548</v>
      </c>
      <c r="C155" s="96">
        <v>22.57</v>
      </c>
      <c r="I155" s="80"/>
    </row>
    <row r="156" spans="1:9">
      <c r="A156" s="79" t="s">
        <v>549</v>
      </c>
      <c r="B156" s="80" t="s">
        <v>550</v>
      </c>
      <c r="C156" s="96">
        <v>115.23</v>
      </c>
      <c r="I156" s="80"/>
    </row>
    <row r="157" spans="1:9">
      <c r="A157" s="79" t="s">
        <v>551</v>
      </c>
      <c r="B157" s="80" t="s">
        <v>552</v>
      </c>
      <c r="C157" s="96">
        <v>115.23</v>
      </c>
      <c r="I157" s="80"/>
    </row>
    <row r="158" spans="1:9">
      <c r="A158" s="79" t="s">
        <v>553</v>
      </c>
      <c r="B158" s="80" t="s">
        <v>554</v>
      </c>
      <c r="C158" s="96">
        <v>120.99</v>
      </c>
      <c r="I158" s="80"/>
    </row>
    <row r="159" spans="1:9">
      <c r="A159" s="79" t="s">
        <v>555</v>
      </c>
      <c r="B159" s="80" t="s">
        <v>556</v>
      </c>
      <c r="C159" s="96">
        <v>136.12</v>
      </c>
      <c r="I159" s="80"/>
    </row>
    <row r="160" spans="1:9">
      <c r="A160" s="79" t="s">
        <v>557</v>
      </c>
      <c r="B160" s="80" t="s">
        <v>558</v>
      </c>
      <c r="C160" s="96">
        <v>42.43</v>
      </c>
      <c r="I160" s="80"/>
    </row>
    <row r="161" spans="1:11">
      <c r="A161" s="79" t="s">
        <v>559</v>
      </c>
      <c r="B161" s="80" t="s">
        <v>560</v>
      </c>
      <c r="C161" s="96">
        <v>42.43</v>
      </c>
      <c r="I161" s="80"/>
    </row>
    <row r="162" spans="1:11">
      <c r="A162" s="79" t="s">
        <v>561</v>
      </c>
      <c r="B162" s="80" t="s">
        <v>562</v>
      </c>
      <c r="C162" s="96">
        <v>44.55</v>
      </c>
      <c r="I162" s="80"/>
    </row>
    <row r="163" spans="1:11">
      <c r="A163" s="79" t="s">
        <v>563</v>
      </c>
      <c r="B163" s="80" t="s">
        <v>564</v>
      </c>
      <c r="C163" s="96">
        <v>50.89</v>
      </c>
      <c r="I163" s="80"/>
    </row>
    <row r="164" spans="1:11">
      <c r="A164" s="79" t="s">
        <v>565</v>
      </c>
      <c r="B164" s="80" t="s">
        <v>566</v>
      </c>
      <c r="C164" s="96">
        <v>192.05</v>
      </c>
      <c r="I164" s="80"/>
    </row>
    <row r="165" spans="1:11">
      <c r="A165" s="79" t="s">
        <v>567</v>
      </c>
      <c r="B165" s="80" t="s">
        <v>568</v>
      </c>
      <c r="C165" s="96">
        <v>232.05</v>
      </c>
      <c r="I165" s="80"/>
    </row>
    <row r="166" spans="1:11">
      <c r="A166" s="79" t="s">
        <v>570</v>
      </c>
      <c r="B166" s="79" t="s">
        <v>571</v>
      </c>
      <c r="C166" s="96">
        <v>77.63</v>
      </c>
      <c r="I166" s="80"/>
    </row>
    <row r="167" spans="1:11">
      <c r="A167" s="79" t="s">
        <v>572</v>
      </c>
      <c r="B167" s="79" t="s">
        <v>573</v>
      </c>
      <c r="C167" s="96">
        <v>96.85</v>
      </c>
      <c r="I167" s="80"/>
    </row>
    <row r="168" spans="1:11">
      <c r="A168" s="79" t="s">
        <v>578</v>
      </c>
      <c r="B168" s="80" t="s">
        <v>737</v>
      </c>
      <c r="C168" s="96">
        <v>49.24</v>
      </c>
      <c r="I168" s="80"/>
    </row>
    <row r="169" spans="1:11">
      <c r="A169" s="79" t="s">
        <v>580</v>
      </c>
      <c r="B169" s="80" t="s">
        <v>738</v>
      </c>
      <c r="C169" s="96">
        <v>30.02</v>
      </c>
      <c r="I169" s="80"/>
    </row>
    <row r="170" spans="1:11">
      <c r="A170" s="79" t="s">
        <v>588</v>
      </c>
      <c r="B170" s="80" t="s">
        <v>589</v>
      </c>
      <c r="C170" s="96">
        <v>23.08</v>
      </c>
      <c r="I170" s="80"/>
    </row>
    <row r="171" spans="1:11">
      <c r="A171" s="79" t="s">
        <v>590</v>
      </c>
      <c r="B171" s="80" t="s">
        <v>591</v>
      </c>
      <c r="C171" s="96">
        <v>38.46</v>
      </c>
    </row>
    <row r="172" spans="1:11">
      <c r="A172" s="79" t="s">
        <v>623</v>
      </c>
      <c r="B172" s="80" t="s">
        <v>660</v>
      </c>
      <c r="C172" s="96">
        <v>0.22</v>
      </c>
    </row>
    <row r="173" spans="1:11">
      <c r="A173" s="79" t="s">
        <v>624</v>
      </c>
      <c r="B173" s="80" t="s">
        <v>661</v>
      </c>
      <c r="C173" s="96">
        <v>0.48</v>
      </c>
      <c r="I173" s="80"/>
    </row>
    <row r="174" spans="1:11">
      <c r="A174" s="79" t="s">
        <v>625</v>
      </c>
      <c r="B174" s="80" t="s">
        <v>662</v>
      </c>
      <c r="C174" s="96">
        <v>0.82</v>
      </c>
      <c r="I174" s="80"/>
      <c r="K174" s="80"/>
    </row>
    <row r="175" spans="1:11">
      <c r="A175" s="79" t="s">
        <v>626</v>
      </c>
      <c r="B175" s="80" t="s">
        <v>663</v>
      </c>
      <c r="C175" s="96">
        <v>0.66</v>
      </c>
      <c r="I175" s="80"/>
      <c r="K175" s="80"/>
    </row>
    <row r="176" spans="1:11">
      <c r="A176" s="79" t="s">
        <v>627</v>
      </c>
      <c r="B176" s="80" t="s">
        <v>664</v>
      </c>
      <c r="C176" s="96">
        <v>0.62</v>
      </c>
      <c r="I176" s="80"/>
    </row>
    <row r="177" spans="1:9">
      <c r="A177" s="79" t="s">
        <v>628</v>
      </c>
      <c r="B177" s="80" t="s">
        <v>665</v>
      </c>
      <c r="C177" s="96">
        <v>0.74</v>
      </c>
      <c r="I177" s="80"/>
    </row>
    <row r="178" spans="1:9">
      <c r="A178" s="79" t="s">
        <v>629</v>
      </c>
      <c r="B178" s="79" t="s">
        <v>666</v>
      </c>
      <c r="C178" s="96">
        <v>0.77</v>
      </c>
    </row>
    <row r="179" spans="1:9">
      <c r="A179" s="79" t="s">
        <v>630</v>
      </c>
      <c r="B179" s="79" t="s">
        <v>667</v>
      </c>
      <c r="C179" s="96">
        <v>0.06</v>
      </c>
    </row>
    <row r="180" spans="1:9">
      <c r="A180" s="79" t="s">
        <v>631</v>
      </c>
      <c r="B180" s="79" t="s">
        <v>668</v>
      </c>
      <c r="C180" s="96">
        <v>7.0000000000000007E-2</v>
      </c>
    </row>
    <row r="181" spans="1:9">
      <c r="A181" s="79" t="s">
        <v>632</v>
      </c>
      <c r="B181" s="79" t="s">
        <v>669</v>
      </c>
      <c r="C181" s="96">
        <v>0.87</v>
      </c>
    </row>
    <row r="182" spans="1:9">
      <c r="A182" s="79" t="s">
        <v>633</v>
      </c>
      <c r="B182" s="79" t="s">
        <v>670</v>
      </c>
      <c r="C182" s="96">
        <v>0.12</v>
      </c>
    </row>
    <row r="183" spans="1:9">
      <c r="A183" s="79" t="s">
        <v>634</v>
      </c>
      <c r="B183" s="79" t="s">
        <v>671</v>
      </c>
      <c r="C183" s="96">
        <v>0.49</v>
      </c>
    </row>
    <row r="184" spans="1:9">
      <c r="A184" s="79" t="s">
        <v>635</v>
      </c>
      <c r="B184" s="79" t="s">
        <v>672</v>
      </c>
      <c r="C184" s="96">
        <v>0.24</v>
      </c>
    </row>
    <row r="185" spans="1:9">
      <c r="A185" s="79" t="s">
        <v>636</v>
      </c>
      <c r="B185" s="79" t="s">
        <v>673</v>
      </c>
      <c r="C185" s="96">
        <v>0.24</v>
      </c>
    </row>
    <row r="186" spans="1:9">
      <c r="A186" s="79" t="s">
        <v>637</v>
      </c>
      <c r="B186" s="80" t="s">
        <v>674</v>
      </c>
      <c r="C186" s="96">
        <v>0.33</v>
      </c>
    </row>
    <row r="187" spans="1:9">
      <c r="A187" s="79" t="s">
        <v>638</v>
      </c>
      <c r="B187" s="80" t="s">
        <v>675</v>
      </c>
      <c r="C187" s="96">
        <v>0.13</v>
      </c>
    </row>
    <row r="188" spans="1:9">
      <c r="A188" s="79" t="s">
        <v>640</v>
      </c>
      <c r="B188" s="79" t="s">
        <v>677</v>
      </c>
      <c r="C188" s="96">
        <v>5.64</v>
      </c>
    </row>
    <row r="189" spans="1:9">
      <c r="A189" s="79" t="s">
        <v>646</v>
      </c>
      <c r="B189" s="79" t="s">
        <v>683</v>
      </c>
      <c r="C189" s="96">
        <v>1.85</v>
      </c>
    </row>
    <row r="190" spans="1:9" ht="15.95">
      <c r="A190" s="83" t="s">
        <v>647</v>
      </c>
      <c r="B190" s="81" t="s">
        <v>684</v>
      </c>
      <c r="C190" s="96">
        <v>1.54</v>
      </c>
    </row>
    <row r="191" spans="1:9">
      <c r="A191" s="79" t="s">
        <v>416</v>
      </c>
      <c r="B191" s="79" t="s">
        <v>417</v>
      </c>
      <c r="C191" s="96">
        <v>43.82</v>
      </c>
    </row>
    <row r="192" spans="1:9">
      <c r="A192" s="79" t="s">
        <v>418</v>
      </c>
      <c r="B192" s="79" t="s">
        <v>419</v>
      </c>
      <c r="C192" s="96">
        <v>8.49</v>
      </c>
    </row>
    <row r="193" spans="1:3">
      <c r="A193" s="79" t="s">
        <v>420</v>
      </c>
      <c r="B193" s="79" t="s">
        <v>421</v>
      </c>
      <c r="C193" s="96">
        <v>58.4</v>
      </c>
    </row>
    <row r="194" spans="1:3">
      <c r="A194" s="79" t="s">
        <v>422</v>
      </c>
      <c r="B194" s="79" t="s">
        <v>423</v>
      </c>
      <c r="C194" s="96">
        <v>19.45</v>
      </c>
    </row>
    <row r="195" spans="1:3">
      <c r="A195" s="79" t="s">
        <v>424</v>
      </c>
      <c r="B195" s="79" t="s">
        <v>425</v>
      </c>
      <c r="C195" s="96">
        <v>33.630000000000003</v>
      </c>
    </row>
    <row r="196" spans="1:3">
      <c r="A196" s="79" t="s">
        <v>426</v>
      </c>
      <c r="B196" s="79" t="s">
        <v>427</v>
      </c>
      <c r="C196" s="96">
        <v>31.75</v>
      </c>
    </row>
    <row r="197" spans="1:3">
      <c r="A197" s="79" t="s">
        <v>428</v>
      </c>
      <c r="B197" s="79" t="s">
        <v>429</v>
      </c>
      <c r="C197" s="96">
        <v>118.31</v>
      </c>
    </row>
    <row r="198" spans="1:3">
      <c r="A198" s="79" t="s">
        <v>440</v>
      </c>
      <c r="B198" s="79" t="s">
        <v>441</v>
      </c>
      <c r="C198" s="96">
        <v>12.86</v>
      </c>
    </row>
    <row r="199" spans="1:3">
      <c r="A199" s="79" t="s">
        <v>442</v>
      </c>
      <c r="B199" s="79" t="s">
        <v>443</v>
      </c>
      <c r="C199" s="96">
        <v>23.88</v>
      </c>
    </row>
    <row r="200" spans="1:3">
      <c r="A200" s="79" t="s">
        <v>448</v>
      </c>
      <c r="B200" s="79" t="s">
        <v>750</v>
      </c>
      <c r="C200" s="96">
        <v>94.13</v>
      </c>
    </row>
    <row r="201" spans="1:3">
      <c r="A201" s="79" t="s">
        <v>450</v>
      </c>
      <c r="B201" s="79" t="s">
        <v>751</v>
      </c>
      <c r="C201" s="96">
        <v>126.59</v>
      </c>
    </row>
    <row r="202" spans="1:3">
      <c r="A202" s="79" t="s">
        <v>452</v>
      </c>
      <c r="B202" s="82" t="s">
        <v>453</v>
      </c>
      <c r="C202" s="96">
        <v>115.95</v>
      </c>
    </row>
    <row r="203" spans="1:3">
      <c r="A203" s="79" t="s">
        <v>454</v>
      </c>
      <c r="B203" s="82" t="s">
        <v>455</v>
      </c>
      <c r="C203" s="96">
        <v>154.83000000000001</v>
      </c>
    </row>
    <row r="204" spans="1:3">
      <c r="A204" s="79" t="s">
        <v>464</v>
      </c>
      <c r="B204" s="79" t="s">
        <v>465</v>
      </c>
      <c r="C204" s="96">
        <v>7.86</v>
      </c>
    </row>
    <row r="205" spans="1:3">
      <c r="A205" s="79" t="s">
        <v>466</v>
      </c>
      <c r="B205" s="79" t="s">
        <v>467</v>
      </c>
      <c r="C205" s="96">
        <v>9.26</v>
      </c>
    </row>
    <row r="206" spans="1:3">
      <c r="A206" s="79" t="s">
        <v>456</v>
      </c>
      <c r="B206" s="79" t="s">
        <v>457</v>
      </c>
      <c r="C206" s="96">
        <v>8.02</v>
      </c>
    </row>
    <row r="207" spans="1:3">
      <c r="A207" s="79" t="s">
        <v>458</v>
      </c>
      <c r="B207" s="79" t="s">
        <v>459</v>
      </c>
      <c r="C207" s="96">
        <v>10.83</v>
      </c>
    </row>
    <row r="208" spans="1:3">
      <c r="A208" s="79" t="s">
        <v>460</v>
      </c>
      <c r="B208" s="79" t="s">
        <v>461</v>
      </c>
      <c r="C208" s="96">
        <v>2.02</v>
      </c>
    </row>
    <row r="209" spans="1:3">
      <c r="A209" s="79" t="s">
        <v>462</v>
      </c>
      <c r="B209" s="79" t="s">
        <v>463</v>
      </c>
      <c r="C209" s="96">
        <v>2.52</v>
      </c>
    </row>
    <row r="210" spans="1:3">
      <c r="A210" t="s">
        <v>642</v>
      </c>
      <c r="B210" t="s">
        <v>680</v>
      </c>
      <c r="C210" s="96">
        <v>4.8</v>
      </c>
    </row>
    <row r="211" spans="1:3">
      <c r="A211" t="s">
        <v>643</v>
      </c>
      <c r="B211" t="s">
        <v>681</v>
      </c>
      <c r="C211" s="96">
        <v>4.74</v>
      </c>
    </row>
    <row r="212" spans="1:3">
      <c r="A212" s="79" t="s">
        <v>645</v>
      </c>
      <c r="B212" s="82" t="s">
        <v>682</v>
      </c>
      <c r="C212" s="96">
        <v>0.28999999999999998</v>
      </c>
    </row>
    <row r="213" spans="1:3">
      <c r="A213" s="83" t="s">
        <v>639</v>
      </c>
      <c r="B213" s="82" t="s">
        <v>676</v>
      </c>
      <c r="C213" s="96">
        <v>1.7</v>
      </c>
    </row>
    <row r="214" spans="1:3">
      <c r="A214" s="79" t="s">
        <v>430</v>
      </c>
      <c r="B214" s="79" t="s">
        <v>431</v>
      </c>
      <c r="C214" s="96">
        <v>647.17999999999995</v>
      </c>
    </row>
    <row r="215" spans="1:3">
      <c r="A215" s="79" t="s">
        <v>432</v>
      </c>
      <c r="B215" s="79" t="s">
        <v>740</v>
      </c>
      <c r="C215" s="96">
        <v>647.17999999999995</v>
      </c>
    </row>
    <row r="216" spans="1:3">
      <c r="A216" s="79" t="s">
        <v>434</v>
      </c>
      <c r="B216" s="79" t="s">
        <v>435</v>
      </c>
      <c r="C216" s="96">
        <v>726.69</v>
      </c>
    </row>
    <row r="217" spans="1:3">
      <c r="A217" s="79" t="s">
        <v>436</v>
      </c>
      <c r="B217" s="79" t="s">
        <v>437</v>
      </c>
      <c r="C217" s="96">
        <v>726.69</v>
      </c>
    </row>
    <row r="218" spans="1:3">
      <c r="A218" s="79" t="s">
        <v>438</v>
      </c>
      <c r="B218" s="79" t="s">
        <v>439</v>
      </c>
      <c r="C218" s="96">
        <v>48</v>
      </c>
    </row>
    <row r="219" spans="1:3">
      <c r="A219" s="79" t="s">
        <v>444</v>
      </c>
      <c r="B219" s="79" t="s">
        <v>445</v>
      </c>
      <c r="C219" s="96">
        <v>102.62</v>
      </c>
    </row>
    <row r="220" spans="1:3">
      <c r="A220" s="79" t="s">
        <v>446</v>
      </c>
      <c r="B220" s="79" t="s">
        <v>447</v>
      </c>
      <c r="C220" s="96">
        <v>102.62</v>
      </c>
    </row>
  </sheetData>
  <pageMargins left="0.7" right="0.7" top="0.75" bottom="0.75" header="0.3" footer="0.3"/>
  <pageSetup paperSize="8" orientation="landscape"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B53FB-5CBA-4DF9-A870-E22266752B3F}">
  <dimension ref="A1:G231"/>
  <sheetViews>
    <sheetView topLeftCell="A165" workbookViewId="0">
      <selection activeCell="B16" sqref="B16"/>
    </sheetView>
  </sheetViews>
  <sheetFormatPr defaultColWidth="9.140625" defaultRowHeight="15"/>
  <cols>
    <col min="1" max="1" width="12.7109375" style="79" bestFit="1" customWidth="1"/>
    <col min="2" max="2" width="71.42578125" style="79" bestFit="1" customWidth="1"/>
    <col min="3" max="3" width="15.42578125" style="79" bestFit="1" customWidth="1"/>
    <col min="4" max="4" width="16.7109375" style="79" bestFit="1" customWidth="1"/>
    <col min="5" max="5" width="15.42578125" style="79" bestFit="1" customWidth="1"/>
    <col min="6" max="16384" width="9.140625" style="79"/>
  </cols>
  <sheetData>
    <row r="1" spans="1:5">
      <c r="A1" s="83" t="s">
        <v>656</v>
      </c>
      <c r="B1" s="83" t="s">
        <v>657</v>
      </c>
      <c r="C1" s="83" t="s">
        <v>736</v>
      </c>
      <c r="D1" s="83" t="s">
        <v>752</v>
      </c>
      <c r="E1" s="83"/>
    </row>
    <row r="2" spans="1:5">
      <c r="A2" s="79" t="s">
        <v>303</v>
      </c>
      <c r="B2" s="79" t="s">
        <v>304</v>
      </c>
      <c r="C2" s="79">
        <v>0.2</v>
      </c>
      <c r="D2" s="79">
        <v>0.1</v>
      </c>
    </row>
    <row r="3" spans="1:5">
      <c r="A3" s="79" t="s">
        <v>305</v>
      </c>
      <c r="B3" s="79" t="s">
        <v>306</v>
      </c>
      <c r="C3" s="79">
        <v>0.2</v>
      </c>
      <c r="D3" s="79">
        <v>0.1</v>
      </c>
    </row>
    <row r="4" spans="1:5">
      <c r="A4" s="79" t="s">
        <v>307</v>
      </c>
      <c r="B4" s="79" t="s">
        <v>308</v>
      </c>
      <c r="C4" s="79">
        <v>0.2</v>
      </c>
      <c r="D4" s="79">
        <v>0.1</v>
      </c>
    </row>
    <row r="5" spans="1:5">
      <c r="A5" s="79" t="s">
        <v>309</v>
      </c>
      <c r="B5" s="79" t="s">
        <v>310</v>
      </c>
      <c r="C5" s="79">
        <v>0.2</v>
      </c>
      <c r="D5" s="79">
        <v>0.1</v>
      </c>
    </row>
    <row r="6" spans="1:5">
      <c r="A6" s="79" t="s">
        <v>311</v>
      </c>
      <c r="B6" s="79" t="s">
        <v>312</v>
      </c>
      <c r="C6" s="79">
        <v>0.2</v>
      </c>
      <c r="D6" s="79">
        <v>0.1</v>
      </c>
    </row>
    <row r="7" spans="1:5">
      <c r="A7" s="79" t="s">
        <v>313</v>
      </c>
      <c r="B7" s="79" t="s">
        <v>314</v>
      </c>
      <c r="C7" s="79">
        <v>0.2</v>
      </c>
      <c r="D7" s="79">
        <v>0.1</v>
      </c>
    </row>
    <row r="8" spans="1:5">
      <c r="A8" s="79" t="s">
        <v>315</v>
      </c>
      <c r="B8" s="79" t="s">
        <v>316</v>
      </c>
      <c r="C8" s="79">
        <v>0.2</v>
      </c>
      <c r="D8" s="79">
        <v>0.1</v>
      </c>
    </row>
    <row r="9" spans="1:5">
      <c r="A9" s="79" t="s">
        <v>317</v>
      </c>
      <c r="B9" s="79" t="s">
        <v>318</v>
      </c>
      <c r="C9" s="79">
        <v>0.2</v>
      </c>
      <c r="D9" s="79">
        <v>0.1</v>
      </c>
    </row>
    <row r="10" spans="1:5">
      <c r="A10" s="79" t="s">
        <v>319</v>
      </c>
      <c r="B10" s="79" t="s">
        <v>320</v>
      </c>
      <c r="C10" s="79">
        <v>0.27</v>
      </c>
      <c r="D10" s="79">
        <v>0.1</v>
      </c>
    </row>
    <row r="11" spans="1:5">
      <c r="A11" s="79" t="s">
        <v>321</v>
      </c>
      <c r="B11" s="79" t="s">
        <v>322</v>
      </c>
      <c r="C11" s="79">
        <v>0.27</v>
      </c>
      <c r="D11" s="79">
        <v>0.1</v>
      </c>
    </row>
    <row r="12" spans="1:5">
      <c r="A12" s="79" t="s">
        <v>323</v>
      </c>
      <c r="B12" s="79" t="s">
        <v>324</v>
      </c>
      <c r="C12" s="79">
        <v>0.27</v>
      </c>
      <c r="D12" s="79">
        <v>0.1</v>
      </c>
    </row>
    <row r="13" spans="1:5">
      <c r="A13" s="79" t="s">
        <v>325</v>
      </c>
      <c r="B13" s="79" t="s">
        <v>326</v>
      </c>
      <c r="C13" s="79">
        <v>0.27</v>
      </c>
      <c r="D13" s="79">
        <v>0.1</v>
      </c>
    </row>
    <row r="14" spans="1:5">
      <c r="A14" s="79" t="s">
        <v>327</v>
      </c>
      <c r="B14" s="79" t="s">
        <v>328</v>
      </c>
      <c r="C14" s="79">
        <v>0.27</v>
      </c>
      <c r="D14" s="79">
        <v>0.1</v>
      </c>
    </row>
    <row r="15" spans="1:5">
      <c r="A15" s="79" t="s">
        <v>329</v>
      </c>
      <c r="B15" s="79" t="s">
        <v>330</v>
      </c>
      <c r="C15" s="79">
        <v>0.27</v>
      </c>
      <c r="D15" s="79">
        <v>0.1</v>
      </c>
    </row>
    <row r="16" spans="1:5">
      <c r="A16" s="79" t="s">
        <v>331</v>
      </c>
      <c r="B16" s="79" t="s">
        <v>332</v>
      </c>
    </row>
    <row r="17" spans="1:3">
      <c r="A17" s="79" t="s">
        <v>333</v>
      </c>
      <c r="B17" s="79" t="s">
        <v>334</v>
      </c>
    </row>
    <row r="18" spans="1:3">
      <c r="A18" s="79" t="s">
        <v>335</v>
      </c>
      <c r="B18" s="79" t="s">
        <v>336</v>
      </c>
    </row>
    <row r="19" spans="1:3">
      <c r="A19" s="79" t="s">
        <v>337</v>
      </c>
      <c r="B19" s="79" t="s">
        <v>338</v>
      </c>
    </row>
    <row r="20" spans="1:3">
      <c r="A20" s="79" t="s">
        <v>364</v>
      </c>
      <c r="B20" s="79" t="s">
        <v>365</v>
      </c>
      <c r="C20" s="79">
        <v>0.4</v>
      </c>
    </row>
    <row r="21" spans="1:3">
      <c r="A21" s="79" t="s">
        <v>366</v>
      </c>
      <c r="B21" s="79" t="s">
        <v>367</v>
      </c>
      <c r="C21" s="79">
        <v>0.4</v>
      </c>
    </row>
    <row r="22" spans="1:3">
      <c r="A22" s="79" t="s">
        <v>368</v>
      </c>
      <c r="B22" s="79" t="s">
        <v>369</v>
      </c>
      <c r="C22" s="79">
        <v>0.4</v>
      </c>
    </row>
    <row r="23" spans="1:3">
      <c r="A23" s="79" t="s">
        <v>370</v>
      </c>
      <c r="B23" s="79" t="s">
        <v>371</v>
      </c>
      <c r="C23" s="79">
        <v>0.4</v>
      </c>
    </row>
    <row r="24" spans="1:3">
      <c r="A24" s="79" t="s">
        <v>372</v>
      </c>
      <c r="B24" s="79" t="s">
        <v>373</v>
      </c>
      <c r="C24" s="79">
        <v>0.2</v>
      </c>
    </row>
    <row r="25" spans="1:3">
      <c r="A25" s="79" t="s">
        <v>374</v>
      </c>
      <c r="B25" s="79" t="s">
        <v>375</v>
      </c>
      <c r="C25" s="79">
        <v>0.2</v>
      </c>
    </row>
    <row r="26" spans="1:3">
      <c r="A26" s="79" t="s">
        <v>376</v>
      </c>
      <c r="B26" s="79" t="s">
        <v>377</v>
      </c>
      <c r="C26" s="79">
        <v>0.2</v>
      </c>
    </row>
    <row r="27" spans="1:3">
      <c r="A27" s="79" t="s">
        <v>378</v>
      </c>
      <c r="B27" s="79" t="s">
        <v>379</v>
      </c>
      <c r="C27" s="79">
        <v>0.2</v>
      </c>
    </row>
    <row r="28" spans="1:3">
      <c r="A28" s="79" t="s">
        <v>380</v>
      </c>
      <c r="B28" s="79" t="s">
        <v>381</v>
      </c>
    </row>
    <row r="29" spans="1:3">
      <c r="A29" s="79" t="s">
        <v>382</v>
      </c>
      <c r="B29" s="79" t="s">
        <v>383</v>
      </c>
    </row>
    <row r="30" spans="1:3">
      <c r="A30" s="79" t="s">
        <v>177</v>
      </c>
      <c r="B30" s="79" t="s">
        <v>178</v>
      </c>
      <c r="C30" s="79">
        <v>0.87</v>
      </c>
    </row>
    <row r="31" spans="1:3">
      <c r="A31" s="79" t="s">
        <v>179</v>
      </c>
      <c r="B31" s="79" t="s">
        <v>180</v>
      </c>
      <c r="C31" s="79">
        <v>0.87</v>
      </c>
    </row>
    <row r="32" spans="1:3">
      <c r="A32" s="79" t="s">
        <v>181</v>
      </c>
      <c r="B32" s="79" t="s">
        <v>182</v>
      </c>
      <c r="C32" s="79">
        <v>0.87</v>
      </c>
    </row>
    <row r="33" spans="1:3">
      <c r="A33" s="79" t="s">
        <v>183</v>
      </c>
      <c r="B33" s="79" t="s">
        <v>184</v>
      </c>
      <c r="C33" s="79">
        <v>0.87</v>
      </c>
    </row>
    <row r="34" spans="1:3">
      <c r="A34" s="79" t="s">
        <v>185</v>
      </c>
      <c r="B34" s="79" t="s">
        <v>186</v>
      </c>
      <c r="C34" s="79">
        <v>0.87</v>
      </c>
    </row>
    <row r="35" spans="1:3">
      <c r="A35" s="79" t="s">
        <v>187</v>
      </c>
      <c r="B35" s="79" t="s">
        <v>188</v>
      </c>
      <c r="C35" s="79">
        <v>0.87</v>
      </c>
    </row>
    <row r="36" spans="1:3">
      <c r="A36" s="79" t="s">
        <v>189</v>
      </c>
      <c r="B36" s="79" t="s">
        <v>190</v>
      </c>
      <c r="C36" s="79">
        <v>0.87</v>
      </c>
    </row>
    <row r="37" spans="1:3">
      <c r="A37" s="79" t="s">
        <v>191</v>
      </c>
      <c r="B37" s="79" t="s">
        <v>192</v>
      </c>
      <c r="C37" s="79">
        <v>0.87</v>
      </c>
    </row>
    <row r="38" spans="1:3">
      <c r="A38" s="79" t="s">
        <v>221</v>
      </c>
      <c r="B38" s="79" t="s">
        <v>222</v>
      </c>
    </row>
    <row r="39" spans="1:3">
      <c r="A39" s="79" t="s">
        <v>225</v>
      </c>
      <c r="B39" s="79" t="s">
        <v>226</v>
      </c>
    </row>
    <row r="40" spans="1:3">
      <c r="A40" s="79" t="s">
        <v>227</v>
      </c>
      <c r="B40" s="79" t="s">
        <v>228</v>
      </c>
    </row>
    <row r="41" spans="1:3">
      <c r="A41" s="79" t="s">
        <v>223</v>
      </c>
      <c r="B41" s="79" t="s">
        <v>224</v>
      </c>
    </row>
    <row r="42" spans="1:3">
      <c r="A42" s="79" t="s">
        <v>230</v>
      </c>
      <c r="B42" s="79" t="s">
        <v>231</v>
      </c>
    </row>
    <row r="43" spans="1:3">
      <c r="A43" s="79" t="s">
        <v>232</v>
      </c>
      <c r="B43" s="79" t="s">
        <v>233</v>
      </c>
    </row>
    <row r="44" spans="1:3">
      <c r="A44" s="79" t="s">
        <v>340</v>
      </c>
      <c r="B44" s="79" t="s">
        <v>341</v>
      </c>
      <c r="C44" s="79">
        <v>0.2</v>
      </c>
    </row>
    <row r="45" spans="1:3">
      <c r="A45" s="79" t="s">
        <v>342</v>
      </c>
      <c r="B45" s="79" t="s">
        <v>343</v>
      </c>
      <c r="C45" s="79">
        <v>0.2</v>
      </c>
    </row>
    <row r="46" spans="1:3">
      <c r="A46" s="79" t="s">
        <v>344</v>
      </c>
      <c r="B46" s="79" t="s">
        <v>345</v>
      </c>
      <c r="C46" s="79">
        <v>0.2</v>
      </c>
    </row>
    <row r="47" spans="1:3">
      <c r="A47" s="79" t="s">
        <v>346</v>
      </c>
      <c r="B47" s="79" t="s">
        <v>347</v>
      </c>
      <c r="C47" s="79">
        <v>0.2</v>
      </c>
    </row>
    <row r="48" spans="1:3">
      <c r="A48" s="79" t="s">
        <v>348</v>
      </c>
      <c r="B48" s="79" t="s">
        <v>349</v>
      </c>
      <c r="C48" s="79">
        <v>0.2</v>
      </c>
    </row>
    <row r="49" spans="1:4">
      <c r="A49" s="79" t="s">
        <v>350</v>
      </c>
      <c r="B49" s="79" t="s">
        <v>351</v>
      </c>
      <c r="C49" s="79">
        <v>0.2</v>
      </c>
    </row>
    <row r="50" spans="1:4">
      <c r="A50" s="79" t="s">
        <v>352</v>
      </c>
      <c r="B50" s="79" t="s">
        <v>353</v>
      </c>
      <c r="C50" s="79">
        <v>0.2</v>
      </c>
    </row>
    <row r="51" spans="1:4">
      <c r="A51" s="79" t="s">
        <v>354</v>
      </c>
      <c r="B51" s="79" t="s">
        <v>355</v>
      </c>
      <c r="C51" s="79">
        <v>0.2</v>
      </c>
    </row>
    <row r="52" spans="1:4">
      <c r="A52" s="79" t="s">
        <v>235</v>
      </c>
      <c r="B52" s="79" t="s">
        <v>236</v>
      </c>
      <c r="C52" s="79">
        <v>0.4</v>
      </c>
      <c r="D52" s="79">
        <v>0.1</v>
      </c>
    </row>
    <row r="53" spans="1:4">
      <c r="A53" s="79" t="s">
        <v>237</v>
      </c>
      <c r="B53" s="79" t="s">
        <v>238</v>
      </c>
      <c r="C53" s="79">
        <v>0.4</v>
      </c>
      <c r="D53" s="79">
        <v>0.1</v>
      </c>
    </row>
    <row r="54" spans="1:4">
      <c r="A54" s="79" t="s">
        <v>239</v>
      </c>
      <c r="B54" s="79" t="s">
        <v>240</v>
      </c>
      <c r="C54" s="79">
        <v>0.4</v>
      </c>
      <c r="D54" s="79">
        <v>0.1</v>
      </c>
    </row>
    <row r="55" spans="1:4">
      <c r="A55" s="79" t="s">
        <v>241</v>
      </c>
      <c r="B55" s="79" t="s">
        <v>242</v>
      </c>
      <c r="C55" s="79">
        <v>0.4</v>
      </c>
      <c r="D55" s="79">
        <v>0.1</v>
      </c>
    </row>
    <row r="56" spans="1:4">
      <c r="A56" s="79" t="s">
        <v>243</v>
      </c>
      <c r="B56" s="79" t="s">
        <v>244</v>
      </c>
      <c r="C56" s="79">
        <v>0.4</v>
      </c>
      <c r="D56" s="79">
        <v>0.1</v>
      </c>
    </row>
    <row r="57" spans="1:4">
      <c r="A57" s="79" t="s">
        <v>245</v>
      </c>
      <c r="B57" s="79" t="s">
        <v>246</v>
      </c>
      <c r="C57" s="79">
        <v>0.4</v>
      </c>
      <c r="D57" s="79">
        <v>0.1</v>
      </c>
    </row>
    <row r="58" spans="1:4">
      <c r="A58" s="79" t="s">
        <v>247</v>
      </c>
      <c r="B58" s="79" t="s">
        <v>248</v>
      </c>
      <c r="C58" s="79">
        <v>0.4</v>
      </c>
      <c r="D58" s="79">
        <v>0.1</v>
      </c>
    </row>
    <row r="59" spans="1:4">
      <c r="A59" s="79" t="s">
        <v>249</v>
      </c>
      <c r="B59" s="79" t="s">
        <v>250</v>
      </c>
      <c r="C59" s="79">
        <v>0.4</v>
      </c>
      <c r="D59" s="79">
        <v>0.1</v>
      </c>
    </row>
    <row r="60" spans="1:4">
      <c r="A60" s="79" t="s">
        <v>251</v>
      </c>
      <c r="B60" s="79" t="s">
        <v>252</v>
      </c>
      <c r="C60" s="79">
        <v>0.6</v>
      </c>
      <c r="D60" s="79">
        <v>0.1</v>
      </c>
    </row>
    <row r="61" spans="1:4">
      <c r="A61" s="79" t="s">
        <v>253</v>
      </c>
      <c r="B61" s="79" t="s">
        <v>254</v>
      </c>
      <c r="C61" s="79">
        <v>0.6</v>
      </c>
      <c r="D61" s="79">
        <v>0.1</v>
      </c>
    </row>
    <row r="62" spans="1:4">
      <c r="A62" s="79" t="s">
        <v>255</v>
      </c>
      <c r="B62" s="79" t="s">
        <v>256</v>
      </c>
      <c r="C62" s="79">
        <v>0.6</v>
      </c>
      <c r="D62" s="79">
        <v>0.1</v>
      </c>
    </row>
    <row r="63" spans="1:4">
      <c r="A63" s="79" t="s">
        <v>257</v>
      </c>
      <c r="B63" s="79" t="s">
        <v>258</v>
      </c>
      <c r="C63" s="79">
        <v>0.6</v>
      </c>
      <c r="D63" s="79">
        <v>0.1</v>
      </c>
    </row>
    <row r="64" spans="1:4">
      <c r="A64" s="79" t="s">
        <v>259</v>
      </c>
      <c r="B64" s="79" t="s">
        <v>260</v>
      </c>
      <c r="C64" s="79">
        <v>0.6</v>
      </c>
      <c r="D64" s="79">
        <v>0.1</v>
      </c>
    </row>
    <row r="65" spans="1:4">
      <c r="A65" s="79" t="s">
        <v>261</v>
      </c>
      <c r="B65" s="79" t="s">
        <v>262</v>
      </c>
      <c r="C65" s="79">
        <v>0.6</v>
      </c>
      <c r="D65" s="79">
        <v>0.1</v>
      </c>
    </row>
    <row r="66" spans="1:4">
      <c r="A66" s="79" t="s">
        <v>263</v>
      </c>
      <c r="B66" s="79" t="s">
        <v>264</v>
      </c>
      <c r="C66" s="79">
        <v>0.6</v>
      </c>
      <c r="D66" s="79">
        <v>0.1</v>
      </c>
    </row>
    <row r="67" spans="1:4">
      <c r="A67" s="79" t="s">
        <v>265</v>
      </c>
      <c r="B67" s="79" t="s">
        <v>266</v>
      </c>
      <c r="C67" s="79">
        <v>0.6</v>
      </c>
      <c r="D67" s="79">
        <v>0.1</v>
      </c>
    </row>
    <row r="68" spans="1:4">
      <c r="A68" s="79" t="s">
        <v>267</v>
      </c>
      <c r="B68" s="79" t="s">
        <v>268</v>
      </c>
      <c r="C68" s="79">
        <v>0.6</v>
      </c>
      <c r="D68" s="79">
        <v>0.1</v>
      </c>
    </row>
    <row r="69" spans="1:4">
      <c r="A69" s="79" t="s">
        <v>269</v>
      </c>
      <c r="B69" s="79" t="s">
        <v>270</v>
      </c>
      <c r="C69" s="79">
        <v>0.6</v>
      </c>
      <c r="D69" s="79">
        <v>0.1</v>
      </c>
    </row>
    <row r="70" spans="1:4">
      <c r="A70" s="79" t="s">
        <v>271</v>
      </c>
      <c r="B70" s="79" t="s">
        <v>272</v>
      </c>
      <c r="C70" s="79">
        <v>0.6</v>
      </c>
      <c r="D70" s="79">
        <v>0.1</v>
      </c>
    </row>
    <row r="71" spans="1:4">
      <c r="A71" s="79" t="s">
        <v>273</v>
      </c>
      <c r="B71" s="79" t="s">
        <v>274</v>
      </c>
      <c r="C71" s="79">
        <v>0.6</v>
      </c>
      <c r="D71" s="79">
        <v>0.1</v>
      </c>
    </row>
    <row r="72" spans="1:4">
      <c r="A72" s="79" t="s">
        <v>275</v>
      </c>
      <c r="B72" s="79" t="s">
        <v>276</v>
      </c>
      <c r="C72" s="79">
        <v>0.6</v>
      </c>
      <c r="D72" s="79">
        <v>0.1</v>
      </c>
    </row>
    <row r="73" spans="1:4">
      <c r="A73" s="79" t="s">
        <v>277</v>
      </c>
      <c r="B73" s="79" t="s">
        <v>278</v>
      </c>
      <c r="C73" s="79">
        <v>0.6</v>
      </c>
      <c r="D73" s="79">
        <v>0.1</v>
      </c>
    </row>
    <row r="74" spans="1:4">
      <c r="A74" s="79" t="s">
        <v>279</v>
      </c>
      <c r="B74" s="79" t="s">
        <v>280</v>
      </c>
      <c r="C74" s="79">
        <v>0.6</v>
      </c>
      <c r="D74" s="79">
        <v>0.1</v>
      </c>
    </row>
    <row r="75" spans="1:4">
      <c r="A75" s="79" t="s">
        <v>281</v>
      </c>
      <c r="B75" s="79" t="s">
        <v>282</v>
      </c>
      <c r="C75" s="79">
        <v>0.6</v>
      </c>
      <c r="D75" s="79">
        <v>0.1</v>
      </c>
    </row>
    <row r="76" spans="1:4">
      <c r="A76" s="79" t="s">
        <v>195</v>
      </c>
      <c r="B76" s="79" t="s">
        <v>196</v>
      </c>
    </row>
    <row r="77" spans="1:4">
      <c r="A77" s="79" t="s">
        <v>197</v>
      </c>
      <c r="B77" s="79" t="s">
        <v>198</v>
      </c>
    </row>
    <row r="78" spans="1:4">
      <c r="A78" s="79" t="s">
        <v>200</v>
      </c>
      <c r="B78" s="79" t="s">
        <v>201</v>
      </c>
    </row>
    <row r="79" spans="1:4">
      <c r="A79" s="79" t="s">
        <v>202</v>
      </c>
      <c r="B79" s="79" t="s">
        <v>203</v>
      </c>
    </row>
    <row r="80" spans="1:4">
      <c r="A80" s="79" t="s">
        <v>205</v>
      </c>
      <c r="B80" s="79" t="s">
        <v>206</v>
      </c>
    </row>
    <row r="81" spans="1:4">
      <c r="A81" s="79" t="s">
        <v>207</v>
      </c>
      <c r="B81" s="79" t="s">
        <v>208</v>
      </c>
    </row>
    <row r="82" spans="1:4">
      <c r="A82" s="79" t="s">
        <v>210</v>
      </c>
      <c r="B82" s="79" t="s">
        <v>211</v>
      </c>
    </row>
    <row r="83" spans="1:4">
      <c r="A83" s="79" t="s">
        <v>212</v>
      </c>
      <c r="B83" s="79" t="s">
        <v>213</v>
      </c>
    </row>
    <row r="84" spans="1:4">
      <c r="A84" s="79" t="s">
        <v>215</v>
      </c>
      <c r="B84" s="79" t="s">
        <v>216</v>
      </c>
    </row>
    <row r="85" spans="1:4">
      <c r="A85" s="79" t="s">
        <v>217</v>
      </c>
      <c r="B85" s="79" t="s">
        <v>218</v>
      </c>
    </row>
    <row r="86" spans="1:4">
      <c r="A86" s="79" t="s">
        <v>360</v>
      </c>
      <c r="B86" s="79" t="s">
        <v>361</v>
      </c>
      <c r="C86" s="79">
        <v>0.2</v>
      </c>
    </row>
    <row r="87" spans="1:4">
      <c r="A87" s="79" t="s">
        <v>362</v>
      </c>
      <c r="B87" s="79" t="s">
        <v>363</v>
      </c>
      <c r="C87" s="79">
        <v>0.2</v>
      </c>
    </row>
    <row r="88" spans="1:4">
      <c r="A88" s="79" t="s">
        <v>283</v>
      </c>
      <c r="B88" s="79" t="s">
        <v>284</v>
      </c>
      <c r="C88" s="79">
        <v>0.2</v>
      </c>
      <c r="D88" s="79">
        <v>0.1</v>
      </c>
    </row>
    <row r="89" spans="1:4">
      <c r="A89" s="79" t="s">
        <v>285</v>
      </c>
      <c r="B89" s="79" t="s">
        <v>286</v>
      </c>
      <c r="C89" s="79">
        <v>0.2</v>
      </c>
      <c r="D89" s="79">
        <v>0.1</v>
      </c>
    </row>
    <row r="90" spans="1:4">
      <c r="A90" s="79" t="s">
        <v>287</v>
      </c>
      <c r="B90" s="79" t="s">
        <v>288</v>
      </c>
      <c r="C90" s="79">
        <v>0.2</v>
      </c>
      <c r="D90" s="79">
        <v>0.1</v>
      </c>
    </row>
    <row r="91" spans="1:4">
      <c r="A91" s="79" t="s">
        <v>289</v>
      </c>
      <c r="B91" s="79" t="s">
        <v>290</v>
      </c>
      <c r="C91" s="79">
        <v>0.2</v>
      </c>
      <c r="D91" s="79">
        <v>0.1</v>
      </c>
    </row>
    <row r="92" spans="1:4">
      <c r="A92" s="79" t="s">
        <v>291</v>
      </c>
      <c r="B92" s="79" t="s">
        <v>292</v>
      </c>
      <c r="C92" s="79">
        <v>0.2</v>
      </c>
      <c r="D92" s="79">
        <v>0.1</v>
      </c>
    </row>
    <row r="93" spans="1:4">
      <c r="A93" s="79" t="s">
        <v>293</v>
      </c>
      <c r="B93" s="79" t="s">
        <v>294</v>
      </c>
      <c r="C93" s="79">
        <v>0.2</v>
      </c>
      <c r="D93" s="79">
        <v>0.1</v>
      </c>
    </row>
    <row r="94" spans="1:4">
      <c r="A94" s="79" t="s">
        <v>295</v>
      </c>
      <c r="B94" s="79" t="s">
        <v>296</v>
      </c>
      <c r="C94" s="79">
        <v>0.2</v>
      </c>
      <c r="D94" s="79">
        <v>0.1</v>
      </c>
    </row>
    <row r="95" spans="1:4">
      <c r="A95" s="79" t="s">
        <v>297</v>
      </c>
      <c r="B95" s="79" t="s">
        <v>298</v>
      </c>
      <c r="C95" s="79">
        <v>0.2</v>
      </c>
      <c r="D95" s="79">
        <v>0.1</v>
      </c>
    </row>
    <row r="96" spans="1:4">
      <c r="A96" s="79" t="s">
        <v>299</v>
      </c>
      <c r="B96" s="79" t="s">
        <v>300</v>
      </c>
      <c r="C96" s="79">
        <v>0.2</v>
      </c>
      <c r="D96" s="79">
        <v>0.1</v>
      </c>
    </row>
    <row r="97" spans="1:4">
      <c r="A97" s="79" t="s">
        <v>301</v>
      </c>
      <c r="B97" s="79" t="s">
        <v>302</v>
      </c>
      <c r="C97" s="79">
        <v>0.2</v>
      </c>
      <c r="D97" s="79">
        <v>0.1</v>
      </c>
    </row>
    <row r="98" spans="1:4">
      <c r="A98" s="79" t="s">
        <v>356</v>
      </c>
      <c r="B98" s="79" t="s">
        <v>357</v>
      </c>
    </row>
    <row r="99" spans="1:4">
      <c r="A99" s="79" t="s">
        <v>358</v>
      </c>
      <c r="B99" s="79" t="s">
        <v>359</v>
      </c>
    </row>
    <row r="100" spans="1:4">
      <c r="A100" s="79" t="s">
        <v>384</v>
      </c>
      <c r="B100" s="79" t="s">
        <v>385</v>
      </c>
      <c r="C100" s="79">
        <v>0.87</v>
      </c>
    </row>
    <row r="101" spans="1:4">
      <c r="A101" s="79" t="s">
        <v>386</v>
      </c>
      <c r="B101" s="79" t="s">
        <v>387</v>
      </c>
      <c r="C101" s="79">
        <v>0.87</v>
      </c>
    </row>
    <row r="102" spans="1:4">
      <c r="A102" s="79" t="s">
        <v>388</v>
      </c>
      <c r="B102" s="79" t="s">
        <v>389</v>
      </c>
      <c r="C102" s="79">
        <v>0.87</v>
      </c>
    </row>
    <row r="103" spans="1:4">
      <c r="A103" s="79" t="s">
        <v>390</v>
      </c>
      <c r="B103" s="79" t="s">
        <v>391</v>
      </c>
      <c r="C103" s="79">
        <v>0.87</v>
      </c>
    </row>
    <row r="104" spans="1:4">
      <c r="A104" s="79" t="s">
        <v>392</v>
      </c>
      <c r="B104" s="79" t="s">
        <v>393</v>
      </c>
      <c r="C104" s="79">
        <v>2.25</v>
      </c>
    </row>
    <row r="105" spans="1:4">
      <c r="A105" s="79" t="s">
        <v>394</v>
      </c>
      <c r="B105" s="79" t="s">
        <v>395</v>
      </c>
      <c r="C105" s="79">
        <v>2.25</v>
      </c>
    </row>
    <row r="106" spans="1:4">
      <c r="A106" s="79" t="s">
        <v>396</v>
      </c>
      <c r="B106" s="79" t="s">
        <v>397</v>
      </c>
      <c r="C106" s="79">
        <v>2.25</v>
      </c>
    </row>
    <row r="107" spans="1:4">
      <c r="A107" s="79" t="s">
        <v>398</v>
      </c>
      <c r="B107" s="79" t="s">
        <v>399</v>
      </c>
      <c r="C107" s="79">
        <v>2.25</v>
      </c>
    </row>
    <row r="108" spans="1:4">
      <c r="A108" s="79" t="s">
        <v>400</v>
      </c>
      <c r="B108" s="79" t="s">
        <v>401</v>
      </c>
      <c r="C108" s="79">
        <v>2.25</v>
      </c>
    </row>
    <row r="109" spans="1:4">
      <c r="A109" s="79" t="s">
        <v>402</v>
      </c>
      <c r="B109" s="79" t="s">
        <v>403</v>
      </c>
      <c r="C109" s="79">
        <v>2.25</v>
      </c>
    </row>
    <row r="110" spans="1:4">
      <c r="A110" s="79" t="s">
        <v>404</v>
      </c>
      <c r="B110" s="79" t="s">
        <v>405</v>
      </c>
      <c r="C110" s="79">
        <v>2.25</v>
      </c>
    </row>
    <row r="111" spans="1:4">
      <c r="A111" s="79" t="s">
        <v>406</v>
      </c>
      <c r="B111" s="79" t="s">
        <v>407</v>
      </c>
      <c r="C111" s="79">
        <v>2.25</v>
      </c>
    </row>
    <row r="112" spans="1:4">
      <c r="A112" s="79" t="s">
        <v>408</v>
      </c>
      <c r="B112" s="79" t="s">
        <v>409</v>
      </c>
    </row>
    <row r="113" spans="1:3">
      <c r="A113" s="79" t="s">
        <v>410</v>
      </c>
      <c r="B113" s="79" t="s">
        <v>411</v>
      </c>
    </row>
    <row r="114" spans="1:3">
      <c r="A114" s="79" t="s">
        <v>412</v>
      </c>
      <c r="B114" s="79" t="s">
        <v>413</v>
      </c>
    </row>
    <row r="115" spans="1:3">
      <c r="A115" s="79" t="s">
        <v>414</v>
      </c>
      <c r="B115" s="79" t="s">
        <v>415</v>
      </c>
    </row>
    <row r="116" spans="1:3">
      <c r="A116" s="79" t="s">
        <v>448</v>
      </c>
      <c r="B116" s="79" t="s">
        <v>449</v>
      </c>
      <c r="C116" s="79">
        <v>0.2</v>
      </c>
    </row>
    <row r="117" spans="1:3">
      <c r="A117" s="79" t="s">
        <v>450</v>
      </c>
      <c r="B117" s="79" t="s">
        <v>451</v>
      </c>
      <c r="C117" s="79">
        <v>0.27</v>
      </c>
    </row>
    <row r="118" spans="1:3">
      <c r="A118" s="79" t="s">
        <v>452</v>
      </c>
      <c r="B118" s="79" t="s">
        <v>453</v>
      </c>
      <c r="C118" s="79">
        <v>0.2</v>
      </c>
    </row>
    <row r="119" spans="1:3">
      <c r="A119" s="79" t="s">
        <v>454</v>
      </c>
      <c r="B119" s="79" t="s">
        <v>455</v>
      </c>
      <c r="C119" s="79">
        <v>0.27</v>
      </c>
    </row>
    <row r="120" spans="1:3">
      <c r="A120" s="79" t="s">
        <v>456</v>
      </c>
      <c r="B120" s="80" t="s">
        <v>753</v>
      </c>
    </row>
    <row r="121" spans="1:3">
      <c r="A121" s="79" t="s">
        <v>458</v>
      </c>
      <c r="B121" s="80" t="s">
        <v>754</v>
      </c>
    </row>
    <row r="122" spans="1:3">
      <c r="A122" s="79" t="s">
        <v>464</v>
      </c>
      <c r="B122" s="80" t="s">
        <v>755</v>
      </c>
    </row>
    <row r="123" spans="1:3">
      <c r="A123" s="79" t="s">
        <v>466</v>
      </c>
      <c r="B123" s="80" t="s">
        <v>756</v>
      </c>
    </row>
    <row r="124" spans="1:3">
      <c r="A124" s="79" t="s">
        <v>460</v>
      </c>
      <c r="B124" s="80" t="s">
        <v>461</v>
      </c>
    </row>
    <row r="125" spans="1:3">
      <c r="A125" s="79" t="s">
        <v>462</v>
      </c>
      <c r="B125" s="80" t="s">
        <v>463</v>
      </c>
    </row>
    <row r="126" spans="1:3">
      <c r="A126" s="79" t="s">
        <v>469</v>
      </c>
      <c r="B126" s="80" t="s">
        <v>470</v>
      </c>
      <c r="C126" s="79">
        <v>0.5</v>
      </c>
    </row>
    <row r="127" spans="1:3">
      <c r="A127" s="79" t="s">
        <v>471</v>
      </c>
      <c r="B127" s="80" t="s">
        <v>472</v>
      </c>
      <c r="C127" s="79">
        <v>0.5</v>
      </c>
    </row>
    <row r="128" spans="1:3">
      <c r="A128" s="79" t="s">
        <v>473</v>
      </c>
      <c r="B128" s="80" t="s">
        <v>474</v>
      </c>
      <c r="C128" s="79">
        <v>0.5</v>
      </c>
    </row>
    <row r="129" spans="1:3">
      <c r="A129" s="79" t="s">
        <v>475</v>
      </c>
      <c r="B129" s="80" t="s">
        <v>476</v>
      </c>
      <c r="C129" s="79">
        <v>0.5</v>
      </c>
    </row>
    <row r="130" spans="1:3">
      <c r="A130" s="79" t="s">
        <v>477</v>
      </c>
      <c r="B130" s="80" t="s">
        <v>478</v>
      </c>
      <c r="C130" s="79">
        <v>0.25</v>
      </c>
    </row>
    <row r="131" spans="1:3">
      <c r="A131" s="79" t="s">
        <v>479</v>
      </c>
      <c r="B131" s="80" t="s">
        <v>480</v>
      </c>
      <c r="C131" s="79">
        <v>0.25</v>
      </c>
    </row>
    <row r="132" spans="1:3">
      <c r="A132" s="79" t="s">
        <v>481</v>
      </c>
      <c r="B132" s="80" t="s">
        <v>482</v>
      </c>
      <c r="C132" s="79">
        <v>0.25</v>
      </c>
    </row>
    <row r="133" spans="1:3">
      <c r="A133" s="79" t="s">
        <v>483</v>
      </c>
      <c r="B133" s="80" t="s">
        <v>484</v>
      </c>
      <c r="C133" s="79">
        <v>0.25</v>
      </c>
    </row>
    <row r="134" spans="1:3">
      <c r="A134" s="79" t="s">
        <v>485</v>
      </c>
      <c r="B134" s="80" t="s">
        <v>486</v>
      </c>
    </row>
    <row r="135" spans="1:3">
      <c r="A135" s="79" t="s">
        <v>487</v>
      </c>
      <c r="B135" s="80" t="s">
        <v>488</v>
      </c>
    </row>
    <row r="136" spans="1:3">
      <c r="A136" s="79" t="s">
        <v>489</v>
      </c>
      <c r="B136" s="80" t="s">
        <v>490</v>
      </c>
    </row>
    <row r="137" spans="1:3">
      <c r="A137" s="79" t="s">
        <v>491</v>
      </c>
      <c r="B137" s="80" t="s">
        <v>492</v>
      </c>
    </row>
    <row r="138" spans="1:3">
      <c r="A138" s="79" t="s">
        <v>493</v>
      </c>
      <c r="B138" s="80" t="s">
        <v>494</v>
      </c>
    </row>
    <row r="139" spans="1:3">
      <c r="A139" s="79" t="s">
        <v>495</v>
      </c>
      <c r="B139" s="80" t="s">
        <v>496</v>
      </c>
    </row>
    <row r="140" spans="1:3">
      <c r="A140" s="79" t="s">
        <v>497</v>
      </c>
      <c r="B140" s="80" t="s">
        <v>498</v>
      </c>
    </row>
    <row r="141" spans="1:3">
      <c r="A141" s="79" t="s">
        <v>499</v>
      </c>
      <c r="B141" s="80" t="s">
        <v>500</v>
      </c>
    </row>
    <row r="142" spans="1:3">
      <c r="A142" s="79" t="s">
        <v>501</v>
      </c>
      <c r="B142" s="80" t="s">
        <v>502</v>
      </c>
    </row>
    <row r="143" spans="1:3">
      <c r="A143" s="79" t="s">
        <v>503</v>
      </c>
      <c r="B143" s="80" t="s">
        <v>504</v>
      </c>
    </row>
    <row r="144" spans="1:3">
      <c r="A144" s="79" t="s">
        <v>505</v>
      </c>
      <c r="B144" s="80" t="s">
        <v>506</v>
      </c>
    </row>
    <row r="145" spans="1:2">
      <c r="A145" s="79" t="s">
        <v>507</v>
      </c>
      <c r="B145" s="80" t="s">
        <v>508</v>
      </c>
    </row>
    <row r="146" spans="1:2">
      <c r="A146" s="79" t="s">
        <v>509</v>
      </c>
      <c r="B146" s="80" t="s">
        <v>510</v>
      </c>
    </row>
    <row r="147" spans="1:2">
      <c r="A147" s="79" t="s">
        <v>511</v>
      </c>
      <c r="B147" s="80" t="s">
        <v>512</v>
      </c>
    </row>
    <row r="148" spans="1:2">
      <c r="A148" s="79" t="s">
        <v>513</v>
      </c>
      <c r="B148" s="80" t="s">
        <v>514</v>
      </c>
    </row>
    <row r="149" spans="1:2">
      <c r="A149" s="79" t="s">
        <v>515</v>
      </c>
      <c r="B149" s="80" t="s">
        <v>516</v>
      </c>
    </row>
    <row r="150" spans="1:2">
      <c r="A150" s="79" t="s">
        <v>517</v>
      </c>
      <c r="B150" s="80" t="s">
        <v>518</v>
      </c>
    </row>
    <row r="151" spans="1:2">
      <c r="A151" s="79" t="s">
        <v>519</v>
      </c>
      <c r="B151" s="80" t="s">
        <v>520</v>
      </c>
    </row>
    <row r="152" spans="1:2">
      <c r="A152" s="79" t="s">
        <v>521</v>
      </c>
      <c r="B152" s="80" t="s">
        <v>522</v>
      </c>
    </row>
    <row r="153" spans="1:2">
      <c r="A153" s="79" t="s">
        <v>523</v>
      </c>
      <c r="B153" s="80" t="s">
        <v>524</v>
      </c>
    </row>
    <row r="154" spans="1:2">
      <c r="A154" s="79" t="s">
        <v>525</v>
      </c>
      <c r="B154" s="80" t="s">
        <v>526</v>
      </c>
    </row>
    <row r="155" spans="1:2">
      <c r="A155" s="79" t="s">
        <v>527</v>
      </c>
      <c r="B155" s="80" t="s">
        <v>528</v>
      </c>
    </row>
    <row r="156" spans="1:2">
      <c r="A156" s="79" t="s">
        <v>529</v>
      </c>
      <c r="B156" s="80" t="s">
        <v>530</v>
      </c>
    </row>
    <row r="157" spans="1:2">
      <c r="A157" s="79" t="s">
        <v>531</v>
      </c>
      <c r="B157" s="80" t="s">
        <v>532</v>
      </c>
    </row>
    <row r="158" spans="1:2">
      <c r="A158" s="79" t="s">
        <v>533</v>
      </c>
      <c r="B158" s="80" t="s">
        <v>534</v>
      </c>
    </row>
    <row r="159" spans="1:2">
      <c r="A159" s="79" t="s">
        <v>535</v>
      </c>
      <c r="B159" s="80" t="s">
        <v>536</v>
      </c>
    </row>
    <row r="160" spans="1:2">
      <c r="A160" s="79" t="s">
        <v>537</v>
      </c>
      <c r="B160" s="80" t="s">
        <v>538</v>
      </c>
    </row>
    <row r="161" spans="1:7">
      <c r="A161" s="79" t="s">
        <v>539</v>
      </c>
      <c r="B161" s="80" t="s">
        <v>540</v>
      </c>
    </row>
    <row r="162" spans="1:7">
      <c r="A162" s="79" t="s">
        <v>541</v>
      </c>
      <c r="B162" s="80" t="s">
        <v>542</v>
      </c>
    </row>
    <row r="163" spans="1:7">
      <c r="A163" s="79" t="s">
        <v>543</v>
      </c>
      <c r="B163" s="80" t="s">
        <v>544</v>
      </c>
    </row>
    <row r="164" spans="1:7">
      <c r="A164" s="79" t="s">
        <v>545</v>
      </c>
      <c r="B164" s="80" t="s">
        <v>546</v>
      </c>
    </row>
    <row r="165" spans="1:7">
      <c r="A165" s="79" t="s">
        <v>547</v>
      </c>
      <c r="B165" s="80" t="s">
        <v>548</v>
      </c>
    </row>
    <row r="166" spans="1:7">
      <c r="A166" s="79" t="s">
        <v>549</v>
      </c>
      <c r="B166" s="80" t="s">
        <v>550</v>
      </c>
      <c r="C166" s="79">
        <v>0.5</v>
      </c>
    </row>
    <row r="167" spans="1:7">
      <c r="A167" s="79" t="s">
        <v>551</v>
      </c>
      <c r="B167" s="80" t="s">
        <v>552</v>
      </c>
      <c r="C167" s="79">
        <v>0.5</v>
      </c>
    </row>
    <row r="168" spans="1:7">
      <c r="A168" s="79" t="s">
        <v>553</v>
      </c>
      <c r="B168" s="80" t="s">
        <v>554</v>
      </c>
      <c r="C168" s="79">
        <v>0.5</v>
      </c>
    </row>
    <row r="169" spans="1:7">
      <c r="A169" s="79" t="s">
        <v>555</v>
      </c>
      <c r="B169" s="80" t="s">
        <v>556</v>
      </c>
      <c r="C169" s="79">
        <v>0.5</v>
      </c>
    </row>
    <row r="170" spans="1:7">
      <c r="A170" s="79" t="s">
        <v>557</v>
      </c>
      <c r="B170" s="80" t="s">
        <v>558</v>
      </c>
      <c r="C170" s="79">
        <v>0.25</v>
      </c>
      <c r="G170" s="80"/>
    </row>
    <row r="171" spans="1:7">
      <c r="A171" s="79" t="s">
        <v>559</v>
      </c>
      <c r="B171" s="80" t="s">
        <v>560</v>
      </c>
      <c r="C171" s="79">
        <v>0.25</v>
      </c>
      <c r="G171" s="80"/>
    </row>
    <row r="172" spans="1:7">
      <c r="A172" s="79" t="s">
        <v>561</v>
      </c>
      <c r="B172" s="80" t="s">
        <v>562</v>
      </c>
      <c r="C172" s="79">
        <v>0.25</v>
      </c>
    </row>
    <row r="173" spans="1:7">
      <c r="A173" s="79" t="s">
        <v>563</v>
      </c>
      <c r="B173" s="80" t="s">
        <v>564</v>
      </c>
      <c r="C173" s="79">
        <v>0.25</v>
      </c>
    </row>
    <row r="174" spans="1:7">
      <c r="A174" s="79" t="s">
        <v>565</v>
      </c>
      <c r="B174" s="80" t="s">
        <v>566</v>
      </c>
      <c r="C174" s="79">
        <v>0.2</v>
      </c>
    </row>
    <row r="175" spans="1:7">
      <c r="A175" s="79" t="s">
        <v>567</v>
      </c>
      <c r="B175" s="80" t="s">
        <v>568</v>
      </c>
      <c r="C175" s="79">
        <v>0.2</v>
      </c>
    </row>
    <row r="176" spans="1:7">
      <c r="A176" s="79" t="s">
        <v>570</v>
      </c>
      <c r="B176" s="79" t="s">
        <v>571</v>
      </c>
      <c r="C176" s="79">
        <v>0.5</v>
      </c>
      <c r="D176" s="79">
        <v>0.1</v>
      </c>
    </row>
    <row r="177" spans="1:4">
      <c r="A177" s="79" t="s">
        <v>572</v>
      </c>
      <c r="B177" s="79" t="s">
        <v>573</v>
      </c>
      <c r="C177" s="79">
        <v>0.5</v>
      </c>
      <c r="D177" s="79">
        <v>0.1</v>
      </c>
    </row>
    <row r="178" spans="1:4">
      <c r="A178" s="79" t="s">
        <v>574</v>
      </c>
      <c r="B178" s="79" t="s">
        <v>575</v>
      </c>
      <c r="C178" s="79">
        <v>0.5</v>
      </c>
      <c r="D178" s="79">
        <v>0.1</v>
      </c>
    </row>
    <row r="179" spans="1:4">
      <c r="A179" s="79" t="s">
        <v>576</v>
      </c>
      <c r="B179" s="79" t="s">
        <v>577</v>
      </c>
      <c r="C179" s="79">
        <v>0.5</v>
      </c>
      <c r="D179" s="79">
        <v>0.1</v>
      </c>
    </row>
    <row r="180" spans="1:4">
      <c r="A180" s="80" t="s">
        <v>578</v>
      </c>
      <c r="B180" s="80" t="s">
        <v>737</v>
      </c>
      <c r="C180" s="79">
        <v>0.1</v>
      </c>
      <c r="D180" s="79">
        <v>0.05</v>
      </c>
    </row>
    <row r="181" spans="1:4">
      <c r="A181" s="80" t="s">
        <v>580</v>
      </c>
      <c r="B181" s="80" t="s">
        <v>738</v>
      </c>
      <c r="C181" s="79">
        <v>0.1</v>
      </c>
      <c r="D181" s="79">
        <v>0.05</v>
      </c>
    </row>
    <row r="182" spans="1:4">
      <c r="A182" s="79" t="s">
        <v>582</v>
      </c>
      <c r="B182" s="79" t="s">
        <v>583</v>
      </c>
      <c r="C182" s="79">
        <v>0.75</v>
      </c>
      <c r="D182" s="79">
        <v>0.1</v>
      </c>
    </row>
    <row r="183" spans="1:4">
      <c r="A183" s="79" t="s">
        <v>584</v>
      </c>
      <c r="B183" s="79" t="s">
        <v>585</v>
      </c>
      <c r="C183" s="79">
        <v>0.125</v>
      </c>
      <c r="D183" s="79">
        <v>0.05</v>
      </c>
    </row>
    <row r="184" spans="1:4">
      <c r="A184" s="79" t="s">
        <v>586</v>
      </c>
      <c r="B184" s="79" t="s">
        <v>587</v>
      </c>
    </row>
    <row r="185" spans="1:4">
      <c r="A185" s="79" t="s">
        <v>588</v>
      </c>
      <c r="B185" s="80" t="s">
        <v>589</v>
      </c>
      <c r="C185" s="79">
        <v>0.05</v>
      </c>
      <c r="D185" s="79">
        <v>2.5000000000000001E-2</v>
      </c>
    </row>
    <row r="186" spans="1:4">
      <c r="A186" s="79" t="s">
        <v>590</v>
      </c>
      <c r="B186" s="80" t="s">
        <v>591</v>
      </c>
      <c r="C186" s="79">
        <v>0.05</v>
      </c>
      <c r="D186" s="79">
        <v>2.5000000000000001E-2</v>
      </c>
    </row>
    <row r="187" spans="1:4" ht="15.95">
      <c r="A187" s="79" t="s">
        <v>623</v>
      </c>
      <c r="B187" s="81" t="s">
        <v>660</v>
      </c>
    </row>
    <row r="188" spans="1:4" ht="15.95">
      <c r="A188" s="83" t="s">
        <v>624</v>
      </c>
      <c r="B188" s="81" t="s">
        <v>661</v>
      </c>
    </row>
    <row r="189" spans="1:4">
      <c r="A189" s="79" t="s">
        <v>625</v>
      </c>
      <c r="B189" s="82" t="s">
        <v>662</v>
      </c>
    </row>
    <row r="190" spans="1:4">
      <c r="A190" s="79" t="s">
        <v>626</v>
      </c>
      <c r="B190" s="82" t="s">
        <v>663</v>
      </c>
    </row>
    <row r="191" spans="1:4">
      <c r="A191" s="79" t="s">
        <v>627</v>
      </c>
      <c r="B191" s="82" t="s">
        <v>664</v>
      </c>
    </row>
    <row r="192" spans="1:4" ht="15.95">
      <c r="A192" s="79" t="s">
        <v>628</v>
      </c>
      <c r="B192" s="81" t="s">
        <v>665</v>
      </c>
    </row>
    <row r="193" spans="1:2" ht="15.95">
      <c r="A193" s="79" t="s">
        <v>629</v>
      </c>
      <c r="B193" s="81" t="s">
        <v>666</v>
      </c>
    </row>
    <row r="194" spans="1:2">
      <c r="A194" s="79" t="s">
        <v>630</v>
      </c>
      <c r="B194" s="82" t="s">
        <v>667</v>
      </c>
    </row>
    <row r="195" spans="1:2">
      <c r="A195" s="79" t="s">
        <v>631</v>
      </c>
      <c r="B195" s="82" t="s">
        <v>668</v>
      </c>
    </row>
    <row r="196" spans="1:2">
      <c r="A196" s="79" t="s">
        <v>632</v>
      </c>
      <c r="B196" s="82" t="s">
        <v>669</v>
      </c>
    </row>
    <row r="197" spans="1:2">
      <c r="A197" s="79" t="s">
        <v>633</v>
      </c>
      <c r="B197" s="82" t="s">
        <v>670</v>
      </c>
    </row>
    <row r="198" spans="1:2">
      <c r="A198" s="79" t="s">
        <v>634</v>
      </c>
      <c r="B198" s="82" t="s">
        <v>671</v>
      </c>
    </row>
    <row r="199" spans="1:2">
      <c r="A199" s="79" t="s">
        <v>635</v>
      </c>
      <c r="B199" s="82" t="s">
        <v>672</v>
      </c>
    </row>
    <row r="200" spans="1:2">
      <c r="A200" s="79" t="s">
        <v>636</v>
      </c>
      <c r="B200" s="82" t="s">
        <v>673</v>
      </c>
    </row>
    <row r="201" spans="1:2">
      <c r="A201" s="79" t="s">
        <v>637</v>
      </c>
      <c r="B201" s="82" t="s">
        <v>674</v>
      </c>
    </row>
    <row r="202" spans="1:2">
      <c r="A202" s="83" t="s">
        <v>638</v>
      </c>
      <c r="B202" s="82" t="s">
        <v>675</v>
      </c>
    </row>
    <row r="203" spans="1:2">
      <c r="A203" s="79" t="s">
        <v>640</v>
      </c>
      <c r="B203" s="82" t="s">
        <v>677</v>
      </c>
    </row>
    <row r="204" spans="1:2">
      <c r="A204" s="79" t="s">
        <v>641</v>
      </c>
      <c r="B204" s="82" t="s">
        <v>678</v>
      </c>
    </row>
    <row r="205" spans="1:2">
      <c r="A205" s="79" t="s">
        <v>644</v>
      </c>
      <c r="B205" s="82" t="s">
        <v>679</v>
      </c>
    </row>
    <row r="206" spans="1:2">
      <c r="A206" s="79" t="s">
        <v>645</v>
      </c>
      <c r="B206" s="82" t="s">
        <v>682</v>
      </c>
    </row>
    <row r="207" spans="1:2">
      <c r="A207" s="79" t="s">
        <v>646</v>
      </c>
      <c r="B207" s="79" t="s">
        <v>683</v>
      </c>
    </row>
    <row r="208" spans="1:2">
      <c r="A208" s="79" t="s">
        <v>647</v>
      </c>
      <c r="B208" s="79" t="s">
        <v>684</v>
      </c>
    </row>
    <row r="209" spans="1:2">
      <c r="A209" s="79" t="s">
        <v>416</v>
      </c>
      <c r="B209" s="79" t="s">
        <v>417</v>
      </c>
    </row>
    <row r="210" spans="1:2">
      <c r="A210" s="79" t="s">
        <v>418</v>
      </c>
      <c r="B210" s="79" t="s">
        <v>419</v>
      </c>
    </row>
    <row r="211" spans="1:2">
      <c r="A211" s="79" t="s">
        <v>420</v>
      </c>
      <c r="B211" s="79" t="s">
        <v>421</v>
      </c>
    </row>
    <row r="212" spans="1:2">
      <c r="A212" s="79" t="s">
        <v>422</v>
      </c>
      <c r="B212" s="79" t="s">
        <v>423</v>
      </c>
    </row>
    <row r="213" spans="1:2">
      <c r="A213" s="79" t="s">
        <v>424</v>
      </c>
      <c r="B213" s="79" t="s">
        <v>425</v>
      </c>
    </row>
    <row r="214" spans="1:2">
      <c r="A214" s="79" t="s">
        <v>426</v>
      </c>
      <c r="B214" s="79" t="s">
        <v>427</v>
      </c>
    </row>
    <row r="215" spans="1:2">
      <c r="A215" s="79" t="s">
        <v>428</v>
      </c>
      <c r="B215" s="79" t="s">
        <v>429</v>
      </c>
    </row>
    <row r="216" spans="1:2">
      <c r="A216" s="79" t="s">
        <v>430</v>
      </c>
      <c r="B216" s="79" t="s">
        <v>431</v>
      </c>
    </row>
    <row r="217" spans="1:2">
      <c r="A217" s="79" t="s">
        <v>432</v>
      </c>
      <c r="B217" s="79" t="s">
        <v>433</v>
      </c>
    </row>
    <row r="218" spans="1:2">
      <c r="A218" s="79" t="s">
        <v>434</v>
      </c>
      <c r="B218" s="79" t="s">
        <v>435</v>
      </c>
    </row>
    <row r="219" spans="1:2">
      <c r="A219" s="79" t="s">
        <v>436</v>
      </c>
      <c r="B219" s="79" t="s">
        <v>437</v>
      </c>
    </row>
    <row r="220" spans="1:2">
      <c r="A220" s="79" t="s">
        <v>438</v>
      </c>
      <c r="B220" s="79" t="s">
        <v>439</v>
      </c>
    </row>
    <row r="221" spans="1:2">
      <c r="A221" s="79" t="s">
        <v>444</v>
      </c>
      <c r="B221" s="79" t="s">
        <v>445</v>
      </c>
    </row>
    <row r="222" spans="1:2">
      <c r="A222" s="79" t="s">
        <v>446</v>
      </c>
      <c r="B222" s="79" t="s">
        <v>447</v>
      </c>
    </row>
    <row r="223" spans="1:2">
      <c r="A223" s="79" t="s">
        <v>440</v>
      </c>
      <c r="B223" s="79" t="s">
        <v>441</v>
      </c>
    </row>
    <row r="224" spans="1:2">
      <c r="A224" s="79" t="s">
        <v>442</v>
      </c>
      <c r="B224" s="79" t="s">
        <v>443</v>
      </c>
    </row>
    <row r="225" spans="1:2">
      <c r="A225" s="79" t="s">
        <v>648</v>
      </c>
      <c r="B225" s="79" t="s">
        <v>685</v>
      </c>
    </row>
    <row r="226" spans="1:2">
      <c r="A226" s="79" t="s">
        <v>649</v>
      </c>
      <c r="B226" s="79" t="s">
        <v>686</v>
      </c>
    </row>
    <row r="227" spans="1:2">
      <c r="A227" s="79" t="s">
        <v>650</v>
      </c>
      <c r="B227" s="79" t="s">
        <v>687</v>
      </c>
    </row>
    <row r="228" spans="1:2">
      <c r="A228" s="79" t="s">
        <v>651</v>
      </c>
      <c r="B228" s="79" t="s">
        <v>688</v>
      </c>
    </row>
    <row r="229" spans="1:2">
      <c r="A229" s="79" t="s">
        <v>652</v>
      </c>
      <c r="B229" s="79" t="s">
        <v>689</v>
      </c>
    </row>
    <row r="230" spans="1:2">
      <c r="A230" t="s">
        <v>642</v>
      </c>
      <c r="B230" t="s">
        <v>680</v>
      </c>
    </row>
    <row r="231" spans="1:2">
      <c r="A231" t="s">
        <v>643</v>
      </c>
      <c r="B231" t="s">
        <v>681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RequestQuote xmlns="f612c0a1-74ac-403d-b4e3-0f2214b6a642" xsi:nil="true"/>
    <PurchaseOrder xmlns="f612c0a1-74ac-403d-b4e3-0f2214b6a642" xsi:nil="true"/>
    <Quote xmlns="f612c0a1-74ac-403d-b4e3-0f2214b6a642" xsi:nil="true"/>
    <RequestCopy xmlns="f612c0a1-74ac-403d-b4e3-0f2214b6a642" xsi:nil="true"/>
    <RequestPurchaseOrder xmlns="f612c0a1-74ac-403d-b4e3-0f2214b6a642" xsi:nil="true"/>
    <Template xmlns="f612c0a1-74ac-403d-b4e3-0f2214b6a642" xsi:nil="true"/>
    <TaxCatchAll xmlns="dfce2342-f322-49bd-866f-8434722037b4" xsi:nil="true"/>
    <lcf76f155ced4ddcb4097134ff3c332f xmlns="f612c0a1-74ac-403d-b4e3-0f2214b6a64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C0F14FA8647CC41B38B91028E710BC7" ma:contentTypeVersion="17" ma:contentTypeDescription="Crée un document." ma:contentTypeScope="" ma:versionID="dba94c72aea15d11d5df1b53996e4356">
  <xsd:schema xmlns:xsd="http://www.w3.org/2001/XMLSchema" xmlns:xs="http://www.w3.org/2001/XMLSchema" xmlns:p="http://schemas.microsoft.com/office/2006/metadata/properties" xmlns:ns2="f612c0a1-74ac-403d-b4e3-0f2214b6a642" xmlns:ns3="dfce2342-f322-49bd-866f-8434722037b4" targetNamespace="http://schemas.microsoft.com/office/2006/metadata/properties" ma:root="true" ma:fieldsID="8f3e49fcd38dc8526b3d785bda2bd176" ns2:_="" ns3:_="">
    <xsd:import namespace="f612c0a1-74ac-403d-b4e3-0f2214b6a642"/>
    <xsd:import namespace="dfce2342-f322-49bd-866f-8434722037b4"/>
    <xsd:element name="properties">
      <xsd:complexType>
        <xsd:sequence>
          <xsd:element name="documentManagement">
            <xsd:complexType>
              <xsd:all>
                <xsd:element ref="ns2:RequestCopy" minOccurs="0"/>
                <xsd:element ref="ns2:RequestQuote" minOccurs="0"/>
                <xsd:element ref="ns2:RequestPurchaseOrder" minOccurs="0"/>
                <xsd:element ref="ns2:Template" minOccurs="0"/>
                <xsd:element ref="ns2:Quote" minOccurs="0"/>
                <xsd:element ref="ns2:PurchaseOrder"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12c0a1-74ac-403d-b4e3-0f2214b6a642" elementFormDefault="qualified">
    <xsd:import namespace="http://schemas.microsoft.com/office/2006/documentManagement/types"/>
    <xsd:import namespace="http://schemas.microsoft.com/office/infopath/2007/PartnerControls"/>
    <xsd:element name="RequestCopy" ma:index="2" nillable="true" ma:displayName="RequestCopy" ma:format="Dropdown" ma:internalName="RequestCopy" ma:readOnly="false">
      <xsd:simpleType>
        <xsd:restriction base="dms:Choice">
          <xsd:enumeration value="No"/>
          <xsd:enumeration value="Yes"/>
        </xsd:restriction>
      </xsd:simpleType>
    </xsd:element>
    <xsd:element name="RequestQuote" ma:index="3" nillable="true" ma:displayName="RequestQuote" ma:format="Dropdown" ma:internalName="RequestQuote">
      <xsd:simpleType>
        <xsd:restriction base="dms:Choice">
          <xsd:enumeration value="No"/>
          <xsd:enumeration value="Yes"/>
        </xsd:restriction>
      </xsd:simpleType>
    </xsd:element>
    <xsd:element name="RequestPurchaseOrder" ma:index="4" nillable="true" ma:displayName="RequestPurchaseOrder" ma:format="Dropdown" ma:internalName="RequestPurchaseOrder">
      <xsd:simpleType>
        <xsd:restriction base="dms:Choice">
          <xsd:enumeration value="No"/>
          <xsd:enumeration value="Yes"/>
        </xsd:restriction>
      </xsd:simpleType>
    </xsd:element>
    <xsd:element name="Template" ma:index="8" nillable="true" ma:displayName="Template" ma:format="Dropdown" ma:hidden="true" ma:internalName="Template" ma:readOnly="false">
      <xsd:simpleType>
        <xsd:restriction base="dms:Text">
          <xsd:maxLength value="255"/>
        </xsd:restriction>
      </xsd:simpleType>
    </xsd:element>
    <xsd:element name="Quote" ma:index="9" nillable="true" ma:displayName="Quote" ma:format="Dropdown" ma:hidden="true" ma:internalName="Quote" ma:readOnly="false">
      <xsd:simpleType>
        <xsd:restriction base="dms:Text">
          <xsd:maxLength value="255"/>
        </xsd:restriction>
      </xsd:simpleType>
    </xsd:element>
    <xsd:element name="PurchaseOrder" ma:index="10" nillable="true" ma:displayName="Purchase Order" ma:format="Dropdown" ma:hidden="true" ma:internalName="PurchaseOrder"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9051da9c-3f0b-4cf2-9fdc-63f5952008bc"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ce2342-f322-49bd-866f-8434722037b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cf7399e5-8f96-47fc-b59e-f83761f1c7ff}" ma:internalName="TaxCatchAll" ma:showField="CatchAllData" ma:web="dfce2342-f322-49bd-866f-8434722037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ype de contenu"/>
        <xsd:element ref="dc:title" minOccurs="0" maxOccurs="1" ma:index="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68F7AF-5159-4992-B7B0-97F523B419A2}"/>
</file>

<file path=customXml/itemProps2.xml><?xml version="1.0" encoding="utf-8"?>
<ds:datastoreItem xmlns:ds="http://schemas.openxmlformats.org/officeDocument/2006/customXml" ds:itemID="{C116BF76-242C-4292-838B-B759D767F035}"/>
</file>

<file path=customXml/itemProps3.xml><?xml version="1.0" encoding="utf-8"?>
<ds:datastoreItem xmlns:ds="http://schemas.openxmlformats.org/officeDocument/2006/customXml" ds:itemID="{88FB7F5B-B9FA-449C-B57A-5AE9289CECD3}"/>
</file>

<file path=customXml/itemProps4.xml><?xml version="1.0" encoding="utf-8"?>
<ds:datastoreItem xmlns:ds="http://schemas.openxmlformats.org/officeDocument/2006/customXml" ds:itemID="{2808EB16-FD75-4093-9036-5A29C32430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Tyncke</dc:creator>
  <cp:keywords/>
  <dc:description/>
  <cp:lastModifiedBy/>
  <cp:revision/>
  <dcterms:created xsi:type="dcterms:W3CDTF">2023-09-19T06:53:39Z</dcterms:created>
  <dcterms:modified xsi:type="dcterms:W3CDTF">2025-11-26T13:36:59Z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0x010100EC0F14FA8647CC41B38B91028E710BC7</vt:lpwstr>
  </property>
  <property fmtid="{D5CDD505-2E9C-101B-9397-08002B2CF9AE}" pid="3" name="MediaServiceImageTags">
    <vt:lpwstr/>
  </property>
</Properties>
</file>