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poschp\Credicorp\Aprendizaje\"/>
    </mc:Choice>
  </mc:AlternateContent>
  <bookViews>
    <workbookView xWindow="0" yWindow="0" windowWidth="28800" windowHeight="12210" activeTab="1" xr2:uid="{0529A0DC-768C-4C6B-82D2-3E7FB1F5C141}"/>
  </bookViews>
  <sheets>
    <sheet name="subida de tasas" sheetId="3" r:id="rId1"/>
    <sheet name="Analisis" sheetId="1" r:id="rId2"/>
    <sheet name="TD BTP0450321" sheetId="2" r:id="rId3"/>
  </sheets>
  <definedNames>
    <definedName name="_xlnm._FilterDatabase" localSheetId="2" hidden="1">'TD BTP0450321'!$M$1:$O$13</definedName>
    <definedName name="solver_adj" localSheetId="2" hidden="1">'TD BTP0450321'!$O$10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'TD BTP0450321'!$O$11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'TD BTP0450321'!$O$10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'TD BTP0450321'!$B$22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G9" i="1"/>
  <c r="E20" i="2"/>
  <c r="F17" i="2"/>
  <c r="C23" i="2"/>
  <c r="D19" i="2"/>
  <c r="C25" i="2"/>
  <c r="C26" i="2" s="1"/>
  <c r="B17" i="2"/>
  <c r="B20" i="2"/>
  <c r="B22" i="2" s="1"/>
  <c r="D23" i="2"/>
  <c r="N10" i="2" l="1"/>
  <c r="D24" i="2"/>
  <c r="D36" i="2" s="1"/>
  <c r="C24" i="2"/>
  <c r="O6" i="2"/>
  <c r="O7" i="2" s="1"/>
  <c r="C19" i="2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C16" i="3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K6" i="3"/>
  <c r="G5" i="3"/>
  <c r="H5" i="3" s="1"/>
  <c r="G4" i="3"/>
  <c r="H4" i="3" s="1"/>
  <c r="G3" i="3"/>
  <c r="H3" i="3" s="1"/>
  <c r="G2" i="3"/>
  <c r="H2" i="3" s="1"/>
  <c r="K3" i="3" l="1"/>
  <c r="K7" i="3" s="1"/>
  <c r="K8" i="3" s="1"/>
  <c r="K9" i="3" s="1"/>
  <c r="N6" i="2"/>
  <c r="N7" i="2" s="1"/>
  <c r="H9" i="1"/>
  <c r="G10" i="1"/>
  <c r="H7" i="1"/>
  <c r="H8" i="1"/>
  <c r="I8" i="1" s="1"/>
  <c r="H10" i="1"/>
  <c r="I10" i="1" s="1"/>
  <c r="G3" i="2"/>
  <c r="G4" i="2"/>
  <c r="G5" i="2"/>
  <c r="G6" i="2"/>
  <c r="G7" i="2"/>
  <c r="G8" i="2"/>
  <c r="G9" i="2"/>
  <c r="G10" i="2"/>
  <c r="G11" i="2"/>
  <c r="G12" i="2"/>
  <c r="G2" i="2"/>
  <c r="L7" i="1"/>
  <c r="C9" i="1"/>
  <c r="C8" i="1"/>
  <c r="F8" i="1" s="1"/>
  <c r="D2" i="1"/>
  <c r="B3" i="1" s="1"/>
  <c r="B4" i="1" s="1"/>
  <c r="H8" i="2" l="1"/>
  <c r="J8" i="2" s="1"/>
  <c r="I8" i="2"/>
  <c r="K8" i="2" s="1"/>
  <c r="H7" i="2"/>
  <c r="J7" i="2" s="1"/>
  <c r="I7" i="2"/>
  <c r="K7" i="2" s="1"/>
  <c r="H6" i="2"/>
  <c r="J6" i="2" s="1"/>
  <c r="I6" i="2"/>
  <c r="K6" i="2" s="1"/>
  <c r="H5" i="2"/>
  <c r="J5" i="2" s="1"/>
  <c r="I5" i="2"/>
  <c r="K5" i="2" s="1"/>
  <c r="H3" i="2"/>
  <c r="J3" i="2" s="1"/>
  <c r="I3" i="2"/>
  <c r="K3" i="2" s="1"/>
  <c r="H4" i="2"/>
  <c r="J4" i="2" s="1"/>
  <c r="I4" i="2"/>
  <c r="K4" i="2" s="1"/>
  <c r="H10" i="2"/>
  <c r="J10" i="2" s="1"/>
  <c r="I10" i="2"/>
  <c r="K10" i="2" s="1"/>
  <c r="H2" i="2"/>
  <c r="J2" i="2" s="1"/>
  <c r="I2" i="2"/>
  <c r="H12" i="2"/>
  <c r="J12" i="2" s="1"/>
  <c r="I12" i="2"/>
  <c r="K12" i="2" s="1"/>
  <c r="H11" i="2"/>
  <c r="J11" i="2" s="1"/>
  <c r="I11" i="2"/>
  <c r="K11" i="2" s="1"/>
  <c r="H9" i="2"/>
  <c r="J9" i="2" s="1"/>
  <c r="I9" i="2"/>
  <c r="K9" i="2" s="1"/>
  <c r="G8" i="1"/>
  <c r="L8" i="1"/>
  <c r="D9" i="1"/>
  <c r="O4" i="2" l="1"/>
  <c r="K2" i="2"/>
  <c r="N4" i="2"/>
  <c r="C17" i="2" s="1"/>
  <c r="I9" i="1"/>
  <c r="C28" i="2" l="1"/>
  <c r="C31" i="2" s="1"/>
  <c r="F18" i="2"/>
  <c r="F19" i="2" s="1"/>
  <c r="N12" i="2"/>
  <c r="N13" i="2" s="1"/>
  <c r="C18" i="2"/>
  <c r="O12" i="2"/>
  <c r="O13" i="2" s="1"/>
  <c r="O8" i="2"/>
  <c r="O9" i="2" s="1"/>
  <c r="O11" i="2"/>
  <c r="N8" i="2"/>
  <c r="N9" i="2" s="1"/>
  <c r="N11" i="2" l="1"/>
  <c r="C27" i="2"/>
  <c r="D25" i="2"/>
  <c r="D18" i="2" s="1"/>
  <c r="D20" i="2" s="1"/>
  <c r="C29" i="2" l="1"/>
  <c r="C30" i="2"/>
  <c r="D35" i="2"/>
  <c r="C20" i="2"/>
  <c r="C35" i="2" l="1"/>
</calcChain>
</file>

<file path=xl/sharedStrings.xml><?xml version="1.0" encoding="utf-8"?>
<sst xmlns="http://schemas.openxmlformats.org/spreadsheetml/2006/main" count="97" uniqueCount="62">
  <si>
    <t>dias</t>
  </si>
  <si>
    <t>VP 28/02</t>
  </si>
  <si>
    <t>VP 01/03</t>
  </si>
  <si>
    <t>Cupon</t>
  </si>
  <si>
    <t>VP tot 01/03</t>
  </si>
  <si>
    <t>retorno</t>
  </si>
  <si>
    <t>si la tir se mantuviera</t>
  </si>
  <si>
    <t>Fecha</t>
  </si>
  <si>
    <t>tir</t>
  </si>
  <si>
    <t>VP</t>
  </si>
  <si>
    <t>-</t>
  </si>
  <si>
    <t>N°</t>
  </si>
  <si>
    <t>Interés</t>
  </si>
  <si>
    <t>Amort.</t>
  </si>
  <si>
    <t>Flujo</t>
  </si>
  <si>
    <t>Cap. Insol.</t>
  </si>
  <si>
    <t>plazo</t>
  </si>
  <si>
    <t>PPVPAR</t>
  </si>
  <si>
    <t>TERA</t>
  </si>
  <si>
    <t>vPar</t>
  </si>
  <si>
    <t>PPVPAR bolsa</t>
  </si>
  <si>
    <t>retornos bolsa</t>
  </si>
  <si>
    <t>devengo diario bolsa 3.7%</t>
  </si>
  <si>
    <t>devengo diario formula 3.7%</t>
  </si>
  <si>
    <t>retornos exactos</t>
  </si>
  <si>
    <t>VP exacto</t>
  </si>
  <si>
    <t>Pt</t>
  </si>
  <si>
    <t>Nominales</t>
  </si>
  <si>
    <t>Nt</t>
  </si>
  <si>
    <t>Vt</t>
  </si>
  <si>
    <t>Rt (cuotas)</t>
  </si>
  <si>
    <t>Rt ($)</t>
  </si>
  <si>
    <t>t</t>
  </si>
  <si>
    <t>t+1</t>
  </si>
  <si>
    <t>VP Nominal</t>
  </si>
  <si>
    <t>VP1</t>
  </si>
  <si>
    <t>VP2</t>
  </si>
  <si>
    <t>Retorno</t>
  </si>
  <si>
    <t>s/ rescate</t>
  </si>
  <si>
    <t>c/ rescate</t>
  </si>
  <si>
    <t>tasa venta</t>
  </si>
  <si>
    <t>tasa val</t>
  </si>
  <si>
    <t>duration VP1</t>
  </si>
  <si>
    <t>duration VP2</t>
  </si>
  <si>
    <t>durationMac</t>
  </si>
  <si>
    <t>durMod</t>
  </si>
  <si>
    <t>delta bp</t>
  </si>
  <si>
    <t>Retorno duation</t>
  </si>
  <si>
    <t>durationMod</t>
  </si>
  <si>
    <t>dia</t>
  </si>
  <si>
    <t>condicion</t>
  </si>
  <si>
    <t>Perdida nominales extra</t>
  </si>
  <si>
    <t>Perdida VP trading</t>
  </si>
  <si>
    <t>Perdida valor cuota trading</t>
  </si>
  <si>
    <t>Correr solver para ajustar nominales</t>
  </si>
  <si>
    <t>VP base 100</t>
  </si>
  <si>
    <t>Perdida VP Valorizacion</t>
  </si>
  <si>
    <t>Perdida total VP</t>
  </si>
  <si>
    <t>Perdida valor cuota Valorizacion</t>
  </si>
  <si>
    <t>Perdida total valor cuota</t>
  </si>
  <si>
    <t>Analisis fijando tir 3.7%</t>
  </si>
  <si>
    <t>VP bolsa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</si>
</sst>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  <numFmt numFmtId="166" formatCode="0.0000%"/>
    <numFmt numFmtId="167" formatCode="0.00000%"/>
    <numFmt numFmtId="168" formatCode="dd/mm/yy"/>
    <numFmt numFmtId="169" formatCode="0.00000000%"/>
    <numFmt numFmtId="170" formatCode="_-&quot;$&quot;* #,##0.0_-;\-&quot;$&quot;* #,##0.0_-;_-&quot;$&quot;* &quot;-&quot;??_-;_-@_-"/>
    <numFmt numFmtId="171" formatCode="0.0000"/>
    <numFmt numFmtId="176" formatCode="0.0000000"/>
    <numFmt numFmtId="180" formatCode="_-&quot;$&quot;* #,##0.0000_-;\-&quot;$&quot;* #,##0.0000_-;_-&quot;$&quot;* &quot;-&quot;??_-;_-@_-"/>
    <numFmt numFmtId="181" formatCode="_-&quot;$&quot;* #,##0.00000_-;\-&quot;$&quot;* #,##0.00000_-;_-&quot;$&quot;* &quot;-&quot;??_-;_-@_-"/>
    <numFmt numFmtId="188" formatCode="0.000000000000000000%"/>
    <numFmt numFmtId="189" formatCode="0.000000%"/>
    <numFmt numFmtId="190" formatCode="0.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6" fontId="0" fillId="0" borderId="0" xfId="2" applyNumberFormat="1" applyFont="1"/>
    <xf numFmtId="0" fontId="0" fillId="0" borderId="0" xfId="2" applyNumberFormat="1" applyFont="1"/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7" fontId="0" fillId="0" borderId="0" xfId="2" applyNumberFormat="1" applyFont="1"/>
    <xf numFmtId="0" fontId="2" fillId="0" borderId="0" xfId="3"/>
    <xf numFmtId="0" fontId="2" fillId="0" borderId="1" xfId="3" applyBorder="1" applyAlignment="1">
      <alignment vertical="center"/>
    </xf>
    <xf numFmtId="0" fontId="3" fillId="2" borderId="1" xfId="3" applyFont="1" applyFill="1" applyBorder="1" applyAlignment="1">
      <alignment horizontal="center" vertical="center"/>
    </xf>
    <xf numFmtId="168" fontId="2" fillId="0" borderId="1" xfId="3" applyNumberFormat="1" applyBorder="1" applyAlignment="1">
      <alignment vertical="center"/>
    </xf>
    <xf numFmtId="14" fontId="2" fillId="0" borderId="0" xfId="3" applyNumberFormat="1"/>
    <xf numFmtId="0" fontId="3" fillId="2" borderId="2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10" fontId="2" fillId="0" borderId="0" xfId="4" applyNumberFormat="1" applyFont="1"/>
    <xf numFmtId="2" fontId="0" fillId="0" borderId="0" xfId="0" applyNumberFormat="1" applyAlignment="1">
      <alignment horizontal="center"/>
    </xf>
    <xf numFmtId="165" fontId="0" fillId="3" borderId="0" xfId="2" applyNumberFormat="1" applyFont="1" applyFill="1"/>
    <xf numFmtId="165" fontId="2" fillId="0" borderId="0" xfId="3" applyNumberFormat="1"/>
    <xf numFmtId="166" fontId="2" fillId="0" borderId="0" xfId="3" applyNumberFormat="1"/>
    <xf numFmtId="165" fontId="2" fillId="0" borderId="0" xfId="2" applyNumberFormat="1" applyFont="1"/>
    <xf numFmtId="169" fontId="0" fillId="0" borderId="0" xfId="0" applyNumberFormat="1"/>
    <xf numFmtId="14" fontId="0" fillId="0" borderId="0" xfId="0" applyNumberFormat="1"/>
    <xf numFmtId="10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/>
    </xf>
    <xf numFmtId="164" fontId="2" fillId="0" borderId="0" xfId="1" applyNumberFormat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10" fontId="0" fillId="0" borderId="0" xfId="0" applyNumberFormat="1"/>
    <xf numFmtId="9" fontId="0" fillId="0" borderId="0" xfId="2" applyFont="1"/>
    <xf numFmtId="0" fontId="2" fillId="0" borderId="0" xfId="3" applyFill="1"/>
    <xf numFmtId="0" fontId="3" fillId="2" borderId="0" xfId="3" applyFont="1" applyFill="1" applyBorder="1" applyAlignment="1">
      <alignment horizontal="center" vertical="center"/>
    </xf>
    <xf numFmtId="164" fontId="2" fillId="4" borderId="0" xfId="1" applyNumberFormat="1" applyFont="1" applyFill="1"/>
    <xf numFmtId="176" fontId="2" fillId="0" borderId="0" xfId="3" applyNumberFormat="1"/>
    <xf numFmtId="2" fontId="2" fillId="0" borderId="0" xfId="3" applyNumberForma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4" fontId="5" fillId="0" borderId="8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44" fontId="0" fillId="0" borderId="0" xfId="2" applyNumberFormat="1" applyFont="1"/>
    <xf numFmtId="180" fontId="0" fillId="0" borderId="0" xfId="0" applyNumberFormat="1"/>
    <xf numFmtId="181" fontId="0" fillId="0" borderId="0" xfId="0" applyNumberFormat="1"/>
    <xf numFmtId="171" fontId="0" fillId="0" borderId="0" xfId="2" applyNumberFormat="1" applyFont="1"/>
    <xf numFmtId="1" fontId="0" fillId="0" borderId="0" xfId="2" applyNumberFormat="1" applyFont="1"/>
    <xf numFmtId="188" fontId="0" fillId="0" borderId="0" xfId="0" applyNumberFormat="1"/>
    <xf numFmtId="170" fontId="0" fillId="0" borderId="8" xfId="0" applyNumberFormat="1" applyBorder="1" applyAlignment="1">
      <alignment horizontal="center"/>
    </xf>
    <xf numFmtId="189" fontId="0" fillId="0" borderId="5" xfId="2" applyNumberFormat="1" applyFont="1" applyBorder="1" applyAlignment="1">
      <alignment horizontal="center"/>
    </xf>
    <xf numFmtId="190" fontId="0" fillId="0" borderId="0" xfId="0" applyNumberFormat="1"/>
  </cellXfs>
  <cellStyles count="5">
    <cellStyle name="Moneda" xfId="1" builtinId="4"/>
    <cellStyle name="Normal" xfId="0" builtinId="0"/>
    <cellStyle name="Normal 2" xfId="3" xr:uid="{00000000-0005-0000-0000-00002F000000}"/>
    <cellStyle name="Porcentaje" xfId="2" builtinId="5"/>
    <cellStyle name="Porcentaje 2" xfId="4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'subida de tasas'!$B$15</c:f>
              <c:strCache>
                <c:ptCount val="1"/>
                <c:pt idx="0">
                  <c:v>3.77%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'subida de tasas'!$A$16:$A$103</c:f>
              <c:numCache>
                <c:formatCode>m/d/yyyy</c:formatCode>
                <c:ptCount val="88"/>
                <c:pt idx="0">
                  <c:v>43060</c:v>
                </c:pt>
                <c:pt idx="1">
                  <c:v>43061</c:v>
                </c:pt>
                <c:pt idx="2">
                  <c:v>43062</c:v>
                </c:pt>
                <c:pt idx="3">
                  <c:v>43063</c:v>
                </c:pt>
                <c:pt idx="4">
                  <c:v>43064</c:v>
                </c:pt>
                <c:pt idx="5">
                  <c:v>43065</c:v>
                </c:pt>
                <c:pt idx="6">
                  <c:v>43066</c:v>
                </c:pt>
                <c:pt idx="7">
                  <c:v>43067</c:v>
                </c:pt>
                <c:pt idx="8">
                  <c:v>43068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43085</c:v>
                </c:pt>
                <c:pt idx="26">
                  <c:v>43086</c:v>
                </c:pt>
                <c:pt idx="27">
                  <c:v>43087</c:v>
                </c:pt>
                <c:pt idx="28">
                  <c:v>43088</c:v>
                </c:pt>
                <c:pt idx="29">
                  <c:v>43089</c:v>
                </c:pt>
                <c:pt idx="30">
                  <c:v>43090</c:v>
                </c:pt>
                <c:pt idx="31">
                  <c:v>43091</c:v>
                </c:pt>
                <c:pt idx="32">
                  <c:v>43092</c:v>
                </c:pt>
                <c:pt idx="33">
                  <c:v>43093</c:v>
                </c:pt>
                <c:pt idx="34">
                  <c:v>43094</c:v>
                </c:pt>
                <c:pt idx="35">
                  <c:v>43095</c:v>
                </c:pt>
                <c:pt idx="36">
                  <c:v>43096</c:v>
                </c:pt>
                <c:pt idx="37">
                  <c:v>43097</c:v>
                </c:pt>
                <c:pt idx="38">
                  <c:v>43098</c:v>
                </c:pt>
                <c:pt idx="39">
                  <c:v>43099</c:v>
                </c:pt>
                <c:pt idx="40">
                  <c:v>43100</c:v>
                </c:pt>
                <c:pt idx="41">
                  <c:v>43101</c:v>
                </c:pt>
                <c:pt idx="42">
                  <c:v>43102</c:v>
                </c:pt>
                <c:pt idx="43">
                  <c:v>43103</c:v>
                </c:pt>
                <c:pt idx="44">
                  <c:v>43104</c:v>
                </c:pt>
                <c:pt idx="45">
                  <c:v>43105</c:v>
                </c:pt>
                <c:pt idx="46">
                  <c:v>43106</c:v>
                </c:pt>
                <c:pt idx="47">
                  <c:v>43107</c:v>
                </c:pt>
                <c:pt idx="48">
                  <c:v>43108</c:v>
                </c:pt>
                <c:pt idx="49">
                  <c:v>43109</c:v>
                </c:pt>
                <c:pt idx="50">
                  <c:v>43110</c:v>
                </c:pt>
                <c:pt idx="51">
                  <c:v>43111</c:v>
                </c:pt>
                <c:pt idx="52">
                  <c:v>43112</c:v>
                </c:pt>
                <c:pt idx="53">
                  <c:v>43113</c:v>
                </c:pt>
                <c:pt idx="54">
                  <c:v>43114</c:v>
                </c:pt>
                <c:pt idx="55">
                  <c:v>43115</c:v>
                </c:pt>
                <c:pt idx="56">
                  <c:v>43116</c:v>
                </c:pt>
                <c:pt idx="57">
                  <c:v>43117</c:v>
                </c:pt>
                <c:pt idx="58">
                  <c:v>43118</c:v>
                </c:pt>
                <c:pt idx="59">
                  <c:v>43119</c:v>
                </c:pt>
                <c:pt idx="60">
                  <c:v>43120</c:v>
                </c:pt>
                <c:pt idx="61">
                  <c:v>43121</c:v>
                </c:pt>
                <c:pt idx="62">
                  <c:v>43122</c:v>
                </c:pt>
                <c:pt idx="63">
                  <c:v>43123</c:v>
                </c:pt>
                <c:pt idx="64">
                  <c:v>43124</c:v>
                </c:pt>
                <c:pt idx="65">
                  <c:v>43125</c:v>
                </c:pt>
                <c:pt idx="66">
                  <c:v>43126</c:v>
                </c:pt>
                <c:pt idx="67">
                  <c:v>43127</c:v>
                </c:pt>
                <c:pt idx="68">
                  <c:v>43128</c:v>
                </c:pt>
                <c:pt idx="69">
                  <c:v>43129</c:v>
                </c:pt>
                <c:pt idx="70">
                  <c:v>43130</c:v>
                </c:pt>
                <c:pt idx="71">
                  <c:v>43131</c:v>
                </c:pt>
                <c:pt idx="72">
                  <c:v>43132</c:v>
                </c:pt>
                <c:pt idx="73">
                  <c:v>43133</c:v>
                </c:pt>
                <c:pt idx="74">
                  <c:v>43134</c:v>
                </c:pt>
                <c:pt idx="75">
                  <c:v>43135</c:v>
                </c:pt>
                <c:pt idx="76">
                  <c:v>43136</c:v>
                </c:pt>
                <c:pt idx="77">
                  <c:v>43137</c:v>
                </c:pt>
                <c:pt idx="78">
                  <c:v>43138</c:v>
                </c:pt>
                <c:pt idx="79">
                  <c:v>43139</c:v>
                </c:pt>
                <c:pt idx="80">
                  <c:v>43140</c:v>
                </c:pt>
                <c:pt idx="81">
                  <c:v>43141</c:v>
                </c:pt>
                <c:pt idx="82">
                  <c:v>43142</c:v>
                </c:pt>
                <c:pt idx="83">
                  <c:v>43143</c:v>
                </c:pt>
                <c:pt idx="84">
                  <c:v>43144</c:v>
                </c:pt>
                <c:pt idx="85">
                  <c:v>43145</c:v>
                </c:pt>
                <c:pt idx="86">
                  <c:v>43146</c:v>
                </c:pt>
                <c:pt idx="87">
                  <c:v>43147</c:v>
                </c:pt>
              </c:numCache>
            </c:numRef>
          </c:cat>
          <c:val>
            <c:numRef>
              <c:f>'subida de tasas'!$B$16:$B$103</c:f>
              <c:numCache>
                <c:formatCode>0.00</c:formatCode>
                <c:ptCount val="88"/>
                <c:pt idx="0">
                  <c:v>103.33808780207148</c:v>
                </c:pt>
                <c:pt idx="1">
                  <c:v>103.34856560517734</c:v>
                </c:pt>
                <c:pt idx="2">
                  <c:v>103.35904447066359</c:v>
                </c:pt>
                <c:pt idx="3">
                  <c:v>103.36952439863795</c:v>
                </c:pt>
                <c:pt idx="4">
                  <c:v>103.38000538920814</c:v>
                </c:pt>
                <c:pt idx="5">
                  <c:v>103.39048744248191</c:v>
                </c:pt>
                <c:pt idx="6">
                  <c:v>103.40097055856701</c:v>
                </c:pt>
                <c:pt idx="7">
                  <c:v>103.4114547375712</c:v>
                </c:pt>
                <c:pt idx="8">
                  <c:v>103.42193997960226</c:v>
                </c:pt>
                <c:pt idx="9">
                  <c:v>103.43242628476796</c:v>
                </c:pt>
                <c:pt idx="10">
                  <c:v>103.44291365317609</c:v>
                </c:pt>
                <c:pt idx="11">
                  <c:v>103.45340208493448</c:v>
                </c:pt>
                <c:pt idx="12">
                  <c:v>103.46389158015093</c:v>
                </c:pt>
                <c:pt idx="13">
                  <c:v>103.47438213893328</c:v>
                </c:pt>
                <c:pt idx="14">
                  <c:v>103.48487376138935</c:v>
                </c:pt>
                <c:pt idx="15">
                  <c:v>103.49536644762701</c:v>
                </c:pt>
                <c:pt idx="16">
                  <c:v>103.5058601977541</c:v>
                </c:pt>
                <c:pt idx="17">
                  <c:v>103.51635501187852</c:v>
                </c:pt>
                <c:pt idx="18">
                  <c:v>103.52685089010812</c:v>
                </c:pt>
                <c:pt idx="19">
                  <c:v>103.53734783255081</c:v>
                </c:pt>
                <c:pt idx="20">
                  <c:v>103.54784583931449</c:v>
                </c:pt>
                <c:pt idx="21">
                  <c:v>103.55834491050709</c:v>
                </c:pt>
                <c:pt idx="22">
                  <c:v>103.56884504623652</c:v>
                </c:pt>
                <c:pt idx="23">
                  <c:v>103.57934624661071</c:v>
                </c:pt>
                <c:pt idx="24">
                  <c:v>103.58984851173763</c:v>
                </c:pt>
                <c:pt idx="25">
                  <c:v>103.60035184172521</c:v>
                </c:pt>
                <c:pt idx="26">
                  <c:v>103.61085623668146</c:v>
                </c:pt>
                <c:pt idx="27">
                  <c:v>103.62136169671432</c:v>
                </c:pt>
                <c:pt idx="28">
                  <c:v>103.6318682219318</c:v>
                </c:pt>
                <c:pt idx="29">
                  <c:v>103.6423758124419</c:v>
                </c:pt>
                <c:pt idx="30">
                  <c:v>103.65288446835264</c:v>
                </c:pt>
                <c:pt idx="31">
                  <c:v>103.66339418977205</c:v>
                </c:pt>
                <c:pt idx="32">
                  <c:v>103.67390497680815</c:v>
                </c:pt>
                <c:pt idx="33">
                  <c:v>103.68441682956899</c:v>
                </c:pt>
                <c:pt idx="34">
                  <c:v>103.69492974816264</c:v>
                </c:pt>
                <c:pt idx="35">
                  <c:v>103.70544373269715</c:v>
                </c:pt>
                <c:pt idx="36">
                  <c:v>103.71595878328061</c:v>
                </c:pt>
                <c:pt idx="37">
                  <c:v>103.72647490002112</c:v>
                </c:pt>
                <c:pt idx="38">
                  <c:v>103.73699208302676</c:v>
                </c:pt>
                <c:pt idx="39">
                  <c:v>103.74751033240565</c:v>
                </c:pt>
                <c:pt idx="40">
                  <c:v>103.75802964826592</c:v>
                </c:pt>
                <c:pt idx="41">
                  <c:v>103.7685500307157</c:v>
                </c:pt>
                <c:pt idx="42">
                  <c:v>103.77907147986313</c:v>
                </c:pt>
                <c:pt idx="43">
                  <c:v>103.78959399581638</c:v>
                </c:pt>
                <c:pt idx="44">
                  <c:v>103.8001175786836</c:v>
                </c:pt>
                <c:pt idx="45">
                  <c:v>103.81064222857297</c:v>
                </c:pt>
                <c:pt idx="46">
                  <c:v>103.82116794559269</c:v>
                </c:pt>
                <c:pt idx="47">
                  <c:v>103.83169472985095</c:v>
                </c:pt>
                <c:pt idx="48">
                  <c:v>103.84222258145597</c:v>
                </c:pt>
                <c:pt idx="49">
                  <c:v>103.85275150051598</c:v>
                </c:pt>
                <c:pt idx="50">
                  <c:v>103.86328148713919</c:v>
                </c:pt>
                <c:pt idx="51">
                  <c:v>103.87381254143386</c:v>
                </c:pt>
                <c:pt idx="52">
                  <c:v>103.88434466350824</c:v>
                </c:pt>
                <c:pt idx="53">
                  <c:v>103.8948778534706</c:v>
                </c:pt>
                <c:pt idx="54">
                  <c:v>103.90541211142921</c:v>
                </c:pt>
                <c:pt idx="55">
                  <c:v>103.91594743749236</c:v>
                </c:pt>
                <c:pt idx="56">
                  <c:v>103.92648383176835</c:v>
                </c:pt>
                <c:pt idx="57">
                  <c:v>103.93702129436548</c:v>
                </c:pt>
                <c:pt idx="58">
                  <c:v>103.94755982539208</c:v>
                </c:pt>
                <c:pt idx="59">
                  <c:v>103.95809942495649</c:v>
                </c:pt>
                <c:pt idx="60">
                  <c:v>103.96864009316704</c:v>
                </c:pt>
                <c:pt idx="61">
                  <c:v>103.97918183013209</c:v>
                </c:pt>
                <c:pt idx="62">
                  <c:v>103.98972463596</c:v>
                </c:pt>
                <c:pt idx="63">
                  <c:v>104.00026851075914</c:v>
                </c:pt>
                <c:pt idx="64">
                  <c:v>104.01081345463791</c:v>
                </c:pt>
                <c:pt idx="65">
                  <c:v>104.0213594677047</c:v>
                </c:pt>
                <c:pt idx="66">
                  <c:v>104.03190655006792</c:v>
                </c:pt>
                <c:pt idx="67">
                  <c:v>104.04245470183599</c:v>
                </c:pt>
                <c:pt idx="68">
                  <c:v>104.05300392311734</c:v>
                </c:pt>
                <c:pt idx="69">
                  <c:v>104.06355421402043</c:v>
                </c:pt>
                <c:pt idx="70">
                  <c:v>104.07410557465369</c:v>
                </c:pt>
                <c:pt idx="71">
                  <c:v>104.08465800512558</c:v>
                </c:pt>
                <c:pt idx="72">
                  <c:v>104.09521150554458</c:v>
                </c:pt>
                <c:pt idx="73">
                  <c:v>104.10576607601919</c:v>
                </c:pt>
                <c:pt idx="74">
                  <c:v>104.11632171665789</c:v>
                </c:pt>
                <c:pt idx="75">
                  <c:v>104.1268784275692</c:v>
                </c:pt>
                <c:pt idx="76">
                  <c:v>104.13743620886163</c:v>
                </c:pt>
                <c:pt idx="77">
                  <c:v>104.14799506064371</c:v>
                </c:pt>
                <c:pt idx="78">
                  <c:v>104.15855498302398</c:v>
                </c:pt>
                <c:pt idx="79">
                  <c:v>104.16911597611099</c:v>
                </c:pt>
                <c:pt idx="80">
                  <c:v>104.17967804001331</c:v>
                </c:pt>
                <c:pt idx="81">
                  <c:v>104.19024117483951</c:v>
                </c:pt>
                <c:pt idx="82">
                  <c:v>104.20080538069818</c:v>
                </c:pt>
                <c:pt idx="83">
                  <c:v>104.21137065769791</c:v>
                </c:pt>
                <c:pt idx="84">
                  <c:v>104.22193700594731</c:v>
                </c:pt>
                <c:pt idx="85">
                  <c:v>104.23250442555499</c:v>
                </c:pt>
                <c:pt idx="86">
                  <c:v>104.24307291662959</c:v>
                </c:pt>
                <c:pt idx="87">
                  <c:v>104.25364247927973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D-456F-9A2C-3B3AADA7EDEC}"/>
            </c:ext>
          </c:extLst>
        </c:ser>
        <c:ser>
          <c:idx val="1"/>
          <c:order val="1"/>
          <c:tx>
            <c:strRef>
              <c:f>'subida de tasas'!$C$15</c:f>
              <c:strCache>
                <c:ptCount val="1"/>
                <c:pt idx="0">
                  <c:v>3.80%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'subida de tasas'!$A$16:$A$103</c:f>
              <c:numCache>
                <c:formatCode>m/d/yyyy</c:formatCode>
                <c:ptCount val="88"/>
                <c:pt idx="0">
                  <c:v>43060</c:v>
                </c:pt>
                <c:pt idx="1">
                  <c:v>43061</c:v>
                </c:pt>
                <c:pt idx="2">
                  <c:v>43062</c:v>
                </c:pt>
                <c:pt idx="3">
                  <c:v>43063</c:v>
                </c:pt>
                <c:pt idx="4">
                  <c:v>43064</c:v>
                </c:pt>
                <c:pt idx="5">
                  <c:v>43065</c:v>
                </c:pt>
                <c:pt idx="6">
                  <c:v>43066</c:v>
                </c:pt>
                <c:pt idx="7">
                  <c:v>43067</c:v>
                </c:pt>
                <c:pt idx="8">
                  <c:v>43068</c:v>
                </c:pt>
                <c:pt idx="9">
                  <c:v>43069</c:v>
                </c:pt>
                <c:pt idx="10">
                  <c:v>43070</c:v>
                </c:pt>
                <c:pt idx="11">
                  <c:v>43071</c:v>
                </c:pt>
                <c:pt idx="12">
                  <c:v>43072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43077</c:v>
                </c:pt>
                <c:pt idx="18">
                  <c:v>43078</c:v>
                </c:pt>
                <c:pt idx="19">
                  <c:v>43079</c:v>
                </c:pt>
                <c:pt idx="20">
                  <c:v>43080</c:v>
                </c:pt>
                <c:pt idx="21">
                  <c:v>43081</c:v>
                </c:pt>
                <c:pt idx="22">
                  <c:v>43082</c:v>
                </c:pt>
                <c:pt idx="23">
                  <c:v>43083</c:v>
                </c:pt>
                <c:pt idx="24">
                  <c:v>43084</c:v>
                </c:pt>
                <c:pt idx="25">
                  <c:v>43085</c:v>
                </c:pt>
                <c:pt idx="26">
                  <c:v>43086</c:v>
                </c:pt>
                <c:pt idx="27">
                  <c:v>43087</c:v>
                </c:pt>
                <c:pt idx="28">
                  <c:v>43088</c:v>
                </c:pt>
                <c:pt idx="29">
                  <c:v>43089</c:v>
                </c:pt>
                <c:pt idx="30">
                  <c:v>43090</c:v>
                </c:pt>
                <c:pt idx="31">
                  <c:v>43091</c:v>
                </c:pt>
                <c:pt idx="32">
                  <c:v>43092</c:v>
                </c:pt>
                <c:pt idx="33">
                  <c:v>43093</c:v>
                </c:pt>
                <c:pt idx="34">
                  <c:v>43094</c:v>
                </c:pt>
                <c:pt idx="35">
                  <c:v>43095</c:v>
                </c:pt>
                <c:pt idx="36">
                  <c:v>43096</c:v>
                </c:pt>
                <c:pt idx="37">
                  <c:v>43097</c:v>
                </c:pt>
                <c:pt idx="38">
                  <c:v>43098</c:v>
                </c:pt>
                <c:pt idx="39">
                  <c:v>43099</c:v>
                </c:pt>
                <c:pt idx="40">
                  <c:v>43100</c:v>
                </c:pt>
                <c:pt idx="41">
                  <c:v>43101</c:v>
                </c:pt>
                <c:pt idx="42">
                  <c:v>43102</c:v>
                </c:pt>
                <c:pt idx="43">
                  <c:v>43103</c:v>
                </c:pt>
                <c:pt idx="44">
                  <c:v>43104</c:v>
                </c:pt>
                <c:pt idx="45">
                  <c:v>43105</c:v>
                </c:pt>
                <c:pt idx="46">
                  <c:v>43106</c:v>
                </c:pt>
                <c:pt idx="47">
                  <c:v>43107</c:v>
                </c:pt>
                <c:pt idx="48">
                  <c:v>43108</c:v>
                </c:pt>
                <c:pt idx="49">
                  <c:v>43109</c:v>
                </c:pt>
                <c:pt idx="50">
                  <c:v>43110</c:v>
                </c:pt>
                <c:pt idx="51">
                  <c:v>43111</c:v>
                </c:pt>
                <c:pt idx="52">
                  <c:v>43112</c:v>
                </c:pt>
                <c:pt idx="53">
                  <c:v>43113</c:v>
                </c:pt>
                <c:pt idx="54">
                  <c:v>43114</c:v>
                </c:pt>
                <c:pt idx="55">
                  <c:v>43115</c:v>
                </c:pt>
                <c:pt idx="56">
                  <c:v>43116</c:v>
                </c:pt>
                <c:pt idx="57">
                  <c:v>43117</c:v>
                </c:pt>
                <c:pt idx="58">
                  <c:v>43118</c:v>
                </c:pt>
                <c:pt idx="59">
                  <c:v>43119</c:v>
                </c:pt>
                <c:pt idx="60">
                  <c:v>43120</c:v>
                </c:pt>
                <c:pt idx="61">
                  <c:v>43121</c:v>
                </c:pt>
                <c:pt idx="62">
                  <c:v>43122</c:v>
                </c:pt>
                <c:pt idx="63">
                  <c:v>43123</c:v>
                </c:pt>
                <c:pt idx="64">
                  <c:v>43124</c:v>
                </c:pt>
                <c:pt idx="65">
                  <c:v>43125</c:v>
                </c:pt>
                <c:pt idx="66">
                  <c:v>43126</c:v>
                </c:pt>
                <c:pt idx="67">
                  <c:v>43127</c:v>
                </c:pt>
                <c:pt idx="68">
                  <c:v>43128</c:v>
                </c:pt>
                <c:pt idx="69">
                  <c:v>43129</c:v>
                </c:pt>
                <c:pt idx="70">
                  <c:v>43130</c:v>
                </c:pt>
                <c:pt idx="71">
                  <c:v>43131</c:v>
                </c:pt>
                <c:pt idx="72">
                  <c:v>43132</c:v>
                </c:pt>
                <c:pt idx="73">
                  <c:v>43133</c:v>
                </c:pt>
                <c:pt idx="74">
                  <c:v>43134</c:v>
                </c:pt>
                <c:pt idx="75">
                  <c:v>43135</c:v>
                </c:pt>
                <c:pt idx="76">
                  <c:v>43136</c:v>
                </c:pt>
                <c:pt idx="77">
                  <c:v>43137</c:v>
                </c:pt>
                <c:pt idx="78">
                  <c:v>43138</c:v>
                </c:pt>
                <c:pt idx="79">
                  <c:v>43139</c:v>
                </c:pt>
                <c:pt idx="80">
                  <c:v>43140</c:v>
                </c:pt>
                <c:pt idx="81">
                  <c:v>43141</c:v>
                </c:pt>
                <c:pt idx="82">
                  <c:v>43142</c:v>
                </c:pt>
                <c:pt idx="83">
                  <c:v>43143</c:v>
                </c:pt>
                <c:pt idx="84">
                  <c:v>43144</c:v>
                </c:pt>
                <c:pt idx="85">
                  <c:v>43145</c:v>
                </c:pt>
                <c:pt idx="86">
                  <c:v>43146</c:v>
                </c:pt>
                <c:pt idx="87">
                  <c:v>43147</c:v>
                </c:pt>
              </c:numCache>
            </c:numRef>
          </c:cat>
          <c:val>
            <c:numRef>
              <c:f>'subida de tasas'!$C$16:$C$103</c:f>
              <c:numCache>
                <c:formatCode>0.00</c:formatCode>
                <c:ptCount val="88"/>
                <c:pt idx="0">
                  <c:v>103.33808780207148</c:v>
                </c:pt>
                <c:pt idx="1">
                  <c:v>103.25735841484594</c:v>
                </c:pt>
                <c:pt idx="2">
                  <c:v>103.26790981476557</c:v>
                </c:pt>
                <c:pt idx="3">
                  <c:v>103.27846229288478</c:v>
                </c:pt>
                <c:pt idx="4">
                  <c:v>103.28901584931374</c:v>
                </c:pt>
                <c:pt idx="5">
                  <c:v>103.29957048416264</c:v>
                </c:pt>
                <c:pt idx="6">
                  <c:v>103.31012619754169</c:v>
                </c:pt>
                <c:pt idx="7">
                  <c:v>103.32068298956109</c:v>
                </c:pt>
                <c:pt idx="8">
                  <c:v>103.33124086033106</c:v>
                </c:pt>
                <c:pt idx="9">
                  <c:v>103.34179980996184</c:v>
                </c:pt>
                <c:pt idx="10">
                  <c:v>103.35235983856366</c:v>
                </c:pt>
                <c:pt idx="11">
                  <c:v>103.36292094624677</c:v>
                </c:pt>
                <c:pt idx="12">
                  <c:v>103.37348313312147</c:v>
                </c:pt>
                <c:pt idx="13">
                  <c:v>103.38404639929801</c:v>
                </c:pt>
                <c:pt idx="14">
                  <c:v>103.39461074488669</c:v>
                </c:pt>
                <c:pt idx="15">
                  <c:v>103.4051761699978</c:v>
                </c:pt>
                <c:pt idx="16">
                  <c:v>103.41574267474167</c:v>
                </c:pt>
                <c:pt idx="17">
                  <c:v>103.4263102592286</c:v>
                </c:pt>
                <c:pt idx="18">
                  <c:v>103.43687892356894</c:v>
                </c:pt>
                <c:pt idx="19">
                  <c:v>103.44744866787303</c:v>
                </c:pt>
                <c:pt idx="20">
                  <c:v>103.45801949225122</c:v>
                </c:pt>
                <c:pt idx="21">
                  <c:v>103.46859139681389</c:v>
                </c:pt>
                <c:pt idx="22">
                  <c:v>103.47916438167142</c:v>
                </c:pt>
                <c:pt idx="23">
                  <c:v>103.4897384469342</c:v>
                </c:pt>
                <c:pt idx="24">
                  <c:v>103.50031359271262</c:v>
                </c:pt>
                <c:pt idx="25">
                  <c:v>103.5108898191171</c:v>
                </c:pt>
                <c:pt idx="26">
                  <c:v>103.52146712625806</c:v>
                </c:pt>
                <c:pt idx="27">
                  <c:v>103.53204551424594</c:v>
                </c:pt>
                <c:pt idx="28">
                  <c:v>103.54262498319119</c:v>
                </c:pt>
                <c:pt idx="29">
                  <c:v>103.55320553320426</c:v>
                </c:pt>
                <c:pt idx="30">
                  <c:v>103.56378716439562</c:v>
                </c:pt>
                <c:pt idx="31">
                  <c:v>103.57436987687576</c:v>
                </c:pt>
                <c:pt idx="32">
                  <c:v>103.58495367075517</c:v>
                </c:pt>
                <c:pt idx="33">
                  <c:v>103.59553854614434</c:v>
                </c:pt>
                <c:pt idx="34">
                  <c:v>103.60612450315379</c:v>
                </c:pt>
                <c:pt idx="35">
                  <c:v>103.61671154189406</c:v>
                </c:pt>
                <c:pt idx="36">
                  <c:v>103.62729966247568</c:v>
                </c:pt>
                <c:pt idx="37">
                  <c:v>103.63788886500919</c:v>
                </c:pt>
                <c:pt idx="38">
                  <c:v>103.64847914960515</c:v>
                </c:pt>
                <c:pt idx="39">
                  <c:v>103.65907051637414</c:v>
                </c:pt>
                <c:pt idx="40">
                  <c:v>103.66966296542674</c:v>
                </c:pt>
                <c:pt idx="41">
                  <c:v>103.68025649687354</c:v>
                </c:pt>
                <c:pt idx="42">
                  <c:v>103.69085111082515</c:v>
                </c:pt>
                <c:pt idx="43">
                  <c:v>103.70144680739219</c:v>
                </c:pt>
                <c:pt idx="44">
                  <c:v>103.71204358668527</c:v>
                </c:pt>
                <c:pt idx="45">
                  <c:v>103.72264144881504</c:v>
                </c:pt>
                <c:pt idx="46">
                  <c:v>103.73324039389215</c:v>
                </c:pt>
                <c:pt idx="47">
                  <c:v>103.74384042202726</c:v>
                </c:pt>
                <c:pt idx="48">
                  <c:v>103.75444153333105</c:v>
                </c:pt>
                <c:pt idx="49">
                  <c:v>103.76504372791419</c:v>
                </c:pt>
                <c:pt idx="50">
                  <c:v>103.77564700588739</c:v>
                </c:pt>
                <c:pt idx="51">
                  <c:v>103.78625136736136</c:v>
                </c:pt>
                <c:pt idx="52">
                  <c:v>103.7968568124468</c:v>
                </c:pt>
                <c:pt idx="53">
                  <c:v>103.80746334125445</c:v>
                </c:pt>
                <c:pt idx="54">
                  <c:v>103.81807095389505</c:v>
                </c:pt>
                <c:pt idx="55">
                  <c:v>103.82867965047934</c:v>
                </c:pt>
                <c:pt idx="56">
                  <c:v>103.8392894311181</c:v>
                </c:pt>
                <c:pt idx="57">
                  <c:v>103.8499002959221</c:v>
                </c:pt>
                <c:pt idx="58">
                  <c:v>103.86051224500211</c:v>
                </c:pt>
                <c:pt idx="59">
                  <c:v>103.87112527846895</c:v>
                </c:pt>
                <c:pt idx="60">
                  <c:v>103.88173939643343</c:v>
                </c:pt>
                <c:pt idx="61">
                  <c:v>103.89235459900635</c:v>
                </c:pt>
                <c:pt idx="62">
                  <c:v>103.90297088629856</c:v>
                </c:pt>
                <c:pt idx="63">
                  <c:v>103.91358825842089</c:v>
                </c:pt>
                <c:pt idx="64">
                  <c:v>103.92420671548419</c:v>
                </c:pt>
                <c:pt idx="65">
                  <c:v>103.93482625759934</c:v>
                </c:pt>
                <c:pt idx="66">
                  <c:v>103.9454468848772</c:v>
                </c:pt>
                <c:pt idx="67">
                  <c:v>103.95606859742867</c:v>
                </c:pt>
                <c:pt idx="68">
                  <c:v>103.96669139536465</c:v>
                </c:pt>
                <c:pt idx="69">
                  <c:v>103.97731527879604</c:v>
                </c:pt>
                <c:pt idx="70">
                  <c:v>103.98794024783378</c:v>
                </c:pt>
                <c:pt idx="71">
                  <c:v>103.99856630258878</c:v>
                </c:pt>
                <c:pt idx="72">
                  <c:v>104.00919344317201</c:v>
                </c:pt>
                <c:pt idx="73">
                  <c:v>104.01982166969441</c:v>
                </c:pt>
                <c:pt idx="74">
                  <c:v>104.03045098226694</c:v>
                </c:pt>
                <c:pt idx="75">
                  <c:v>104.04108138100059</c:v>
                </c:pt>
                <c:pt idx="76">
                  <c:v>104.05171286600635</c:v>
                </c:pt>
                <c:pt idx="77">
                  <c:v>104.06234543739522</c:v>
                </c:pt>
                <c:pt idx="78">
                  <c:v>104.07297909527821</c:v>
                </c:pt>
                <c:pt idx="79">
                  <c:v>104.08361383976634</c:v>
                </c:pt>
                <c:pt idx="80">
                  <c:v>104.09424967097065</c:v>
                </c:pt>
                <c:pt idx="81">
                  <c:v>104.10488658900219</c:v>
                </c:pt>
                <c:pt idx="82">
                  <c:v>104.11552459397201</c:v>
                </c:pt>
                <c:pt idx="83">
                  <c:v>104.12616368599119</c:v>
                </c:pt>
                <c:pt idx="84">
                  <c:v>104.1368038651708</c:v>
                </c:pt>
                <c:pt idx="85">
                  <c:v>104.14744513162195</c:v>
                </c:pt>
                <c:pt idx="86">
                  <c:v>104.15808748545572</c:v>
                </c:pt>
                <c:pt idx="87">
                  <c:v>104.16873092678324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56F-9A2C-3B3AADA7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18352"/>
        <c:axId val="523102304"/>
      </c:lineChart>
      <c:dateAx>
        <c:axId val="51941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2304"/>
        <c:crosses val="autoZero"/>
        <c:auto val="1"/>
        <c:lblOffset val="100"/>
        <c:baseTimeUnit val="days"/>
      </c:dateAx>
      <c:valAx>
        <c:axId val="5231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190499</xdr:rowOff>
    </xdr:from>
    <xdr:to>
      <xdr:col>12</xdr:col>
      <xdr:colOff>495300</xdr:colOff>
      <xdr:row>33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C3AEBE4-6A0A-4721-8D68-4245A3633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542925</xdr:colOff>
      <xdr:row>13</xdr:row>
      <xdr:rowOff>38100</xdr:rowOff>
    </xdr:from>
    <xdr:ext cx="4678460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786FD94-22B2-4AF1-9058-49DD81EB8F4E}"/>
            </a:ext>
          </a:extLst>
        </xdr:cNvPr>
        <xdr:cNvSpPr txBox="1"/>
      </xdr:nvSpPr>
      <xdr:spPr>
        <a:xfrm>
          <a:off x="4029075" y="4610100"/>
          <a:ext cx="4678460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Los días que se paga cupón cambia el retorno</a:t>
          </a:r>
          <a:r>
            <a:rPr lang="es-MX" sz="1100" baseline="0"/>
            <a:t> diario aunque se mantenga la tir.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B20E-3A8D-406A-AC4F-FEF2867484B6}">
  <sheetPr codeName="Hoja2"/>
  <dimension ref="A1:O103"/>
  <sheetViews>
    <sheetView workbookViewId="0">
      <selection activeCell="K9" sqref="K9"/>
    </sheetView>
  </sheetViews>
  <sheetFormatPr baseColWidth="10" defaultRowHeight="15" x14ac:dyDescent="0.25"/>
  <cols>
    <col min="1" max="1" width="10.7109375" bestFit="1" customWidth="1"/>
    <col min="11" max="11" width="12" bestFit="1" customWidth="1"/>
    <col min="14" max="14" width="11.85546875" bestFit="1" customWidth="1"/>
    <col min="15" max="15" width="12" bestFit="1" customWidth="1"/>
  </cols>
  <sheetData>
    <row r="1" spans="1:15" ht="15.75" thickBot="1" x14ac:dyDescent="0.3">
      <c r="A1" s="14" t="s">
        <v>11</v>
      </c>
      <c r="B1" s="14" t="s">
        <v>7</v>
      </c>
      <c r="C1" s="14" t="s">
        <v>12</v>
      </c>
      <c r="D1" s="14" t="s">
        <v>13</v>
      </c>
      <c r="E1" s="14" t="s">
        <v>14</v>
      </c>
      <c r="F1" s="14" t="s">
        <v>15</v>
      </c>
      <c r="G1" s="17" t="s">
        <v>16</v>
      </c>
      <c r="H1" s="17" t="s">
        <v>9</v>
      </c>
      <c r="I1" s="12"/>
      <c r="J1" s="18" t="s">
        <v>8</v>
      </c>
      <c r="K1" s="19">
        <v>3.6999999999999998E-2</v>
      </c>
    </row>
    <row r="2" spans="1:15" ht="15.75" thickBot="1" x14ac:dyDescent="0.3">
      <c r="A2" s="13">
        <v>0</v>
      </c>
      <c r="B2" s="15">
        <v>42430</v>
      </c>
      <c r="C2" s="13">
        <v>0</v>
      </c>
      <c r="D2" s="13">
        <v>0</v>
      </c>
      <c r="E2" s="13">
        <v>0</v>
      </c>
      <c r="F2" s="13">
        <v>100</v>
      </c>
      <c r="G2" s="12" t="e">
        <f>IF(B2&gt;$K$2,(B2-$K$2)/365,NA())</f>
        <v>#N/A</v>
      </c>
      <c r="H2" s="12">
        <f>+IFERROR(E2/(1+$K$1)^G2,0)</f>
        <v>0</v>
      </c>
      <c r="I2" s="12"/>
      <c r="J2" s="12" t="s">
        <v>7</v>
      </c>
      <c r="K2" s="16">
        <v>42795</v>
      </c>
    </row>
    <row r="3" spans="1:15" ht="15.75" thickBot="1" x14ac:dyDescent="0.3">
      <c r="A3" s="13">
        <v>1</v>
      </c>
      <c r="B3" s="15">
        <v>42614</v>
      </c>
      <c r="C3" s="13">
        <v>2.25</v>
      </c>
      <c r="D3" s="13">
        <v>0</v>
      </c>
      <c r="E3" s="13">
        <v>2.25</v>
      </c>
      <c r="F3" s="13">
        <v>100</v>
      </c>
      <c r="G3" s="12" t="e">
        <f t="shared" ref="G3:G12" si="0">IF(B3&gt;$K$2,(B3-$K$2)/365,NA())</f>
        <v>#N/A</v>
      </c>
      <c r="H3" s="12">
        <f t="shared" ref="H3:H12" si="1">+IFERROR(E3/(1+$K$1)^G3,0)</f>
        <v>0</v>
      </c>
      <c r="I3" s="12"/>
      <c r="J3" s="12" t="s">
        <v>9</v>
      </c>
      <c r="K3" s="12">
        <f>+SUM($H$2:$H$12)</f>
        <v>103.06490258009823</v>
      </c>
    </row>
    <row r="4" spans="1:15" ht="15.75" thickBot="1" x14ac:dyDescent="0.3">
      <c r="A4" s="13">
        <v>2</v>
      </c>
      <c r="B4" s="15">
        <v>42795</v>
      </c>
      <c r="C4" s="13">
        <v>2.25</v>
      </c>
      <c r="D4" s="13">
        <v>0</v>
      </c>
      <c r="E4" s="13">
        <v>2.25</v>
      </c>
      <c r="F4" s="13">
        <v>100</v>
      </c>
      <c r="G4" s="12" t="e">
        <f t="shared" si="0"/>
        <v>#N/A</v>
      </c>
      <c r="H4" s="12">
        <f t="shared" si="1"/>
        <v>0</v>
      </c>
      <c r="I4" s="12"/>
      <c r="J4" s="12" t="s">
        <v>18</v>
      </c>
      <c r="K4" s="23">
        <v>4.5477999999999998E-2</v>
      </c>
      <c r="O4" s="11"/>
    </row>
    <row r="5" spans="1:15" ht="15.75" thickBot="1" x14ac:dyDescent="0.3">
      <c r="A5" s="13">
        <v>3</v>
      </c>
      <c r="B5" s="15">
        <v>42979</v>
      </c>
      <c r="C5" s="13">
        <v>2.25</v>
      </c>
      <c r="D5" s="13">
        <v>0</v>
      </c>
      <c r="E5" s="13">
        <v>2.25</v>
      </c>
      <c r="F5" s="13">
        <v>100</v>
      </c>
      <c r="G5" s="12">
        <f t="shared" si="0"/>
        <v>0.50410958904109593</v>
      </c>
      <c r="H5" s="12">
        <f t="shared" si="1"/>
        <v>2.2091657206606623</v>
      </c>
      <c r="I5" s="12"/>
      <c r="J5" s="12" t="s">
        <v>0</v>
      </c>
      <c r="K5" s="12">
        <f>+(K2-B4)/365</f>
        <v>0</v>
      </c>
    </row>
    <row r="6" spans="1:15" ht="15.75" thickBot="1" x14ac:dyDescent="0.3">
      <c r="A6" s="13">
        <v>4</v>
      </c>
      <c r="B6" s="15">
        <v>43160</v>
      </c>
      <c r="C6" s="13">
        <v>2.25</v>
      </c>
      <c r="D6" s="13">
        <v>0</v>
      </c>
      <c r="E6" s="13">
        <v>2.25</v>
      </c>
      <c r="F6" s="13">
        <v>100</v>
      </c>
      <c r="G6" s="12">
        <f t="shared" si="0"/>
        <v>1</v>
      </c>
      <c r="H6" s="12">
        <f t="shared" si="1"/>
        <v>2.1697203471552555</v>
      </c>
      <c r="I6" s="12"/>
      <c r="J6" s="12" t="s">
        <v>19</v>
      </c>
      <c r="K6" s="12">
        <f>100*(1+K4)^K5</f>
        <v>100</v>
      </c>
    </row>
    <row r="7" spans="1:15" ht="15.75" thickBot="1" x14ac:dyDescent="0.3">
      <c r="A7" s="13">
        <v>5</v>
      </c>
      <c r="B7" s="15">
        <v>43344</v>
      </c>
      <c r="C7" s="13">
        <v>2.25</v>
      </c>
      <c r="D7" s="13">
        <v>0</v>
      </c>
      <c r="E7" s="13">
        <v>2.25</v>
      </c>
      <c r="F7" s="13">
        <v>100</v>
      </c>
      <c r="G7" s="12">
        <f t="shared" si="0"/>
        <v>1.5041095890410958</v>
      </c>
      <c r="H7" s="12">
        <f t="shared" si="1"/>
        <v>2.130343028602375</v>
      </c>
      <c r="I7" s="12"/>
      <c r="J7" s="12" t="s">
        <v>17</v>
      </c>
      <c r="K7" s="24">
        <f>+K3/K6</f>
        <v>1.0306490258009824</v>
      </c>
    </row>
    <row r="8" spans="1:15" ht="15.75" thickBot="1" x14ac:dyDescent="0.3">
      <c r="A8" s="13">
        <v>6</v>
      </c>
      <c r="B8" s="15">
        <v>43525</v>
      </c>
      <c r="C8" s="13">
        <v>2.25</v>
      </c>
      <c r="D8" s="13">
        <v>0</v>
      </c>
      <c r="E8" s="13">
        <v>2.25</v>
      </c>
      <c r="F8" s="13">
        <v>100</v>
      </c>
      <c r="G8" s="12">
        <f t="shared" si="0"/>
        <v>2</v>
      </c>
      <c r="H8" s="12">
        <f t="shared" si="1"/>
        <v>2.0923050599375661</v>
      </c>
      <c r="I8" s="12"/>
      <c r="J8" s="12" t="s">
        <v>20</v>
      </c>
      <c r="K8" s="22">
        <f>+ROUND(K7,4)</f>
        <v>1.0306</v>
      </c>
    </row>
    <row r="9" spans="1:15" ht="15.75" thickBot="1" x14ac:dyDescent="0.3">
      <c r="A9" s="13">
        <v>7</v>
      </c>
      <c r="B9" s="15">
        <v>43709</v>
      </c>
      <c r="C9" s="13">
        <v>2.25</v>
      </c>
      <c r="D9" s="13">
        <v>0</v>
      </c>
      <c r="E9" s="13">
        <v>2.25</v>
      </c>
      <c r="F9" s="13">
        <v>100</v>
      </c>
      <c r="G9" s="12">
        <f t="shared" si="0"/>
        <v>2.504109589041096</v>
      </c>
      <c r="H9" s="12">
        <f t="shared" si="1"/>
        <v>2.0543327180350772</v>
      </c>
      <c r="I9" s="12"/>
      <c r="J9" s="12" t="s">
        <v>61</v>
      </c>
      <c r="K9" s="38">
        <f>+K8*K6</f>
        <v>103.06</v>
      </c>
    </row>
    <row r="10" spans="1:15" ht="15.75" thickBot="1" x14ac:dyDescent="0.3">
      <c r="A10" s="13">
        <v>8</v>
      </c>
      <c r="B10" s="15">
        <v>43891</v>
      </c>
      <c r="C10" s="13">
        <v>2.25</v>
      </c>
      <c r="D10" s="13">
        <v>0</v>
      </c>
      <c r="E10" s="13">
        <v>2.25</v>
      </c>
      <c r="F10" s="13">
        <v>100</v>
      </c>
      <c r="G10" s="12">
        <f t="shared" si="0"/>
        <v>3.0027397260273974</v>
      </c>
      <c r="H10" s="12">
        <f t="shared" si="1"/>
        <v>2.017451112088497</v>
      </c>
      <c r="I10" s="12"/>
      <c r="J10" s="12"/>
      <c r="K10" s="12"/>
    </row>
    <row r="11" spans="1:15" ht="15.75" thickBot="1" x14ac:dyDescent="0.3">
      <c r="A11" s="13">
        <v>9</v>
      </c>
      <c r="B11" s="15">
        <v>44075</v>
      </c>
      <c r="C11" s="13">
        <v>2.25</v>
      </c>
      <c r="D11" s="13">
        <v>0</v>
      </c>
      <c r="E11" s="13">
        <v>2.25</v>
      </c>
      <c r="F11" s="13">
        <v>100</v>
      </c>
      <c r="G11" s="12">
        <f t="shared" si="0"/>
        <v>3.506849315068493</v>
      </c>
      <c r="H11" s="12">
        <f t="shared" si="1"/>
        <v>1.9808372621931736</v>
      </c>
      <c r="I11" s="12"/>
      <c r="J11" s="12"/>
      <c r="K11" s="12"/>
    </row>
    <row r="12" spans="1:15" ht="15.75" thickBot="1" x14ac:dyDescent="0.3">
      <c r="A12" s="13">
        <v>10</v>
      </c>
      <c r="B12" s="15">
        <v>44256</v>
      </c>
      <c r="C12" s="13">
        <v>2.25</v>
      </c>
      <c r="D12" s="13">
        <v>100</v>
      </c>
      <c r="E12" s="13">
        <v>102.25</v>
      </c>
      <c r="F12" s="13">
        <v>0</v>
      </c>
      <c r="G12" s="12">
        <f t="shared" si="0"/>
        <v>4.0027397260273974</v>
      </c>
      <c r="H12" s="12">
        <f t="shared" si="1"/>
        <v>88.410747331425625</v>
      </c>
      <c r="I12" s="12"/>
      <c r="J12" s="12"/>
      <c r="K12" s="12"/>
    </row>
    <row r="15" spans="1:15" x14ac:dyDescent="0.25">
      <c r="A15" t="s">
        <v>7</v>
      </c>
      <c r="B15" s="27">
        <v>3.7699999999999997E-2</v>
      </c>
      <c r="C15" s="27">
        <v>3.7999999999999999E-2</v>
      </c>
    </row>
    <row r="16" spans="1:15" x14ac:dyDescent="0.25">
      <c r="A16" s="26">
        <v>43060</v>
      </c>
      <c r="B16" s="20">
        <v>103.33808780207148</v>
      </c>
      <c r="C16" s="20">
        <f>+B16</f>
        <v>103.33808780207148</v>
      </c>
    </row>
    <row r="17" spans="1:3" x14ac:dyDescent="0.25">
      <c r="A17" s="26">
        <v>43061</v>
      </c>
      <c r="B17" s="20">
        <f>+B16*(1+B$15)^(0.00273972602739726)</f>
        <v>103.34856560517734</v>
      </c>
      <c r="C17" s="20">
        <v>103.25735841484594</v>
      </c>
    </row>
    <row r="18" spans="1:3" x14ac:dyDescent="0.25">
      <c r="A18" s="26">
        <v>43062</v>
      </c>
      <c r="B18" s="20">
        <f t="shared" ref="B18:B49" si="2">+B17*(1+$B$15)^(0.00273972602739726)</f>
        <v>103.35904447066359</v>
      </c>
      <c r="C18" s="20">
        <v>103.26790981476557</v>
      </c>
    </row>
    <row r="19" spans="1:3" x14ac:dyDescent="0.25">
      <c r="A19" s="26">
        <v>43063</v>
      </c>
      <c r="B19" s="20">
        <f t="shared" si="2"/>
        <v>103.36952439863795</v>
      </c>
      <c r="C19" s="20">
        <v>103.27846229288478</v>
      </c>
    </row>
    <row r="20" spans="1:3" x14ac:dyDescent="0.25">
      <c r="A20" s="26">
        <v>43064</v>
      </c>
      <c r="B20" s="20">
        <f t="shared" si="2"/>
        <v>103.38000538920814</v>
      </c>
      <c r="C20" s="20">
        <v>103.28901584931374</v>
      </c>
    </row>
    <row r="21" spans="1:3" x14ac:dyDescent="0.25">
      <c r="A21" s="26">
        <v>43065</v>
      </c>
      <c r="B21" s="20">
        <f t="shared" si="2"/>
        <v>103.39048744248191</v>
      </c>
      <c r="C21" s="20">
        <v>103.29957048416264</v>
      </c>
    </row>
    <row r="22" spans="1:3" x14ac:dyDescent="0.25">
      <c r="A22" s="26">
        <v>43066</v>
      </c>
      <c r="B22" s="20">
        <f t="shared" si="2"/>
        <v>103.40097055856701</v>
      </c>
      <c r="C22" s="20">
        <v>103.31012619754169</v>
      </c>
    </row>
    <row r="23" spans="1:3" x14ac:dyDescent="0.25">
      <c r="A23" s="26">
        <v>43067</v>
      </c>
      <c r="B23" s="20">
        <f t="shared" si="2"/>
        <v>103.4114547375712</v>
      </c>
      <c r="C23" s="20">
        <v>103.32068298956109</v>
      </c>
    </row>
    <row r="24" spans="1:3" x14ac:dyDescent="0.25">
      <c r="A24" s="26">
        <v>43068</v>
      </c>
      <c r="B24" s="20">
        <f t="shared" si="2"/>
        <v>103.42193997960226</v>
      </c>
      <c r="C24" s="20">
        <v>103.33124086033106</v>
      </c>
    </row>
    <row r="25" spans="1:3" x14ac:dyDescent="0.25">
      <c r="A25" s="26">
        <v>43069</v>
      </c>
      <c r="B25" s="20">
        <f t="shared" si="2"/>
        <v>103.43242628476796</v>
      </c>
      <c r="C25" s="20">
        <v>103.34179980996184</v>
      </c>
    </row>
    <row r="26" spans="1:3" x14ac:dyDescent="0.25">
      <c r="A26" s="26">
        <v>43070</v>
      </c>
      <c r="B26" s="20">
        <f t="shared" si="2"/>
        <v>103.44291365317609</v>
      </c>
      <c r="C26" s="20">
        <v>103.35235983856366</v>
      </c>
    </row>
    <row r="27" spans="1:3" x14ac:dyDescent="0.25">
      <c r="A27" s="26">
        <v>43071</v>
      </c>
      <c r="B27" s="20">
        <f t="shared" si="2"/>
        <v>103.45340208493448</v>
      </c>
      <c r="C27" s="20">
        <v>103.36292094624677</v>
      </c>
    </row>
    <row r="28" spans="1:3" x14ac:dyDescent="0.25">
      <c r="A28" s="26">
        <v>43072</v>
      </c>
      <c r="B28" s="20">
        <f t="shared" si="2"/>
        <v>103.46389158015093</v>
      </c>
      <c r="C28" s="20">
        <v>103.37348313312147</v>
      </c>
    </row>
    <row r="29" spans="1:3" x14ac:dyDescent="0.25">
      <c r="A29" s="26">
        <v>43073</v>
      </c>
      <c r="B29" s="20">
        <f t="shared" si="2"/>
        <v>103.47438213893328</v>
      </c>
      <c r="C29" s="20">
        <v>103.38404639929801</v>
      </c>
    </row>
    <row r="30" spans="1:3" x14ac:dyDescent="0.25">
      <c r="A30" s="26">
        <v>43074</v>
      </c>
      <c r="B30" s="20">
        <f t="shared" si="2"/>
        <v>103.48487376138935</v>
      </c>
      <c r="C30" s="20">
        <v>103.39461074488669</v>
      </c>
    </row>
    <row r="31" spans="1:3" x14ac:dyDescent="0.25">
      <c r="A31" s="26">
        <v>43075</v>
      </c>
      <c r="B31" s="20">
        <f t="shared" si="2"/>
        <v>103.49536644762701</v>
      </c>
      <c r="C31" s="20">
        <v>103.4051761699978</v>
      </c>
    </row>
    <row r="32" spans="1:3" x14ac:dyDescent="0.25">
      <c r="A32" s="26">
        <v>43076</v>
      </c>
      <c r="B32" s="20">
        <f t="shared" si="2"/>
        <v>103.5058601977541</v>
      </c>
      <c r="C32" s="20">
        <v>103.41574267474167</v>
      </c>
    </row>
    <row r="33" spans="1:3" x14ac:dyDescent="0.25">
      <c r="A33" s="26">
        <v>43077</v>
      </c>
      <c r="B33" s="20">
        <f t="shared" si="2"/>
        <v>103.51635501187852</v>
      </c>
      <c r="C33" s="20">
        <v>103.4263102592286</v>
      </c>
    </row>
    <row r="34" spans="1:3" x14ac:dyDescent="0.25">
      <c r="A34" s="26">
        <v>43078</v>
      </c>
      <c r="B34" s="20">
        <f t="shared" si="2"/>
        <v>103.52685089010812</v>
      </c>
      <c r="C34" s="20">
        <v>103.43687892356894</v>
      </c>
    </row>
    <row r="35" spans="1:3" x14ac:dyDescent="0.25">
      <c r="A35" s="26">
        <v>43079</v>
      </c>
      <c r="B35" s="20">
        <f t="shared" si="2"/>
        <v>103.53734783255081</v>
      </c>
      <c r="C35" s="20">
        <v>103.44744866787303</v>
      </c>
    </row>
    <row r="36" spans="1:3" x14ac:dyDescent="0.25">
      <c r="A36" s="26">
        <v>43080</v>
      </c>
      <c r="B36" s="20">
        <f t="shared" si="2"/>
        <v>103.54784583931449</v>
      </c>
      <c r="C36" s="20">
        <v>103.45801949225122</v>
      </c>
    </row>
    <row r="37" spans="1:3" x14ac:dyDescent="0.25">
      <c r="A37" s="26">
        <v>43081</v>
      </c>
      <c r="B37" s="20">
        <f t="shared" si="2"/>
        <v>103.55834491050709</v>
      </c>
      <c r="C37" s="20">
        <v>103.46859139681389</v>
      </c>
    </row>
    <row r="38" spans="1:3" x14ac:dyDescent="0.25">
      <c r="A38" s="26">
        <v>43082</v>
      </c>
      <c r="B38" s="20">
        <f t="shared" si="2"/>
        <v>103.56884504623652</v>
      </c>
      <c r="C38" s="20">
        <v>103.47916438167142</v>
      </c>
    </row>
    <row r="39" spans="1:3" x14ac:dyDescent="0.25">
      <c r="A39" s="26">
        <v>43083</v>
      </c>
      <c r="B39" s="20">
        <f t="shared" si="2"/>
        <v>103.57934624661071</v>
      </c>
      <c r="C39" s="20">
        <v>103.4897384469342</v>
      </c>
    </row>
    <row r="40" spans="1:3" x14ac:dyDescent="0.25">
      <c r="A40" s="26">
        <v>43084</v>
      </c>
      <c r="B40" s="20">
        <f t="shared" si="2"/>
        <v>103.58984851173763</v>
      </c>
      <c r="C40" s="20">
        <v>103.50031359271262</v>
      </c>
    </row>
    <row r="41" spans="1:3" x14ac:dyDescent="0.25">
      <c r="A41" s="26">
        <v>43085</v>
      </c>
      <c r="B41" s="20">
        <f t="shared" si="2"/>
        <v>103.60035184172521</v>
      </c>
      <c r="C41" s="20">
        <v>103.5108898191171</v>
      </c>
    </row>
    <row r="42" spans="1:3" x14ac:dyDescent="0.25">
      <c r="A42" s="26">
        <v>43086</v>
      </c>
      <c r="B42" s="20">
        <f t="shared" si="2"/>
        <v>103.61085623668146</v>
      </c>
      <c r="C42" s="20">
        <v>103.52146712625806</v>
      </c>
    </row>
    <row r="43" spans="1:3" x14ac:dyDescent="0.25">
      <c r="A43" s="26">
        <v>43087</v>
      </c>
      <c r="B43" s="20">
        <f t="shared" si="2"/>
        <v>103.62136169671432</v>
      </c>
      <c r="C43" s="20">
        <v>103.53204551424594</v>
      </c>
    </row>
    <row r="44" spans="1:3" x14ac:dyDescent="0.25">
      <c r="A44" s="26">
        <v>43088</v>
      </c>
      <c r="B44" s="20">
        <f t="shared" si="2"/>
        <v>103.6318682219318</v>
      </c>
      <c r="C44" s="20">
        <v>103.54262498319119</v>
      </c>
    </row>
    <row r="45" spans="1:3" x14ac:dyDescent="0.25">
      <c r="A45" s="26">
        <v>43089</v>
      </c>
      <c r="B45" s="20">
        <f t="shared" si="2"/>
        <v>103.6423758124419</v>
      </c>
      <c r="C45" s="20">
        <v>103.55320553320426</v>
      </c>
    </row>
    <row r="46" spans="1:3" x14ac:dyDescent="0.25">
      <c r="A46" s="26">
        <v>43090</v>
      </c>
      <c r="B46" s="20">
        <f t="shared" si="2"/>
        <v>103.65288446835264</v>
      </c>
      <c r="C46" s="20">
        <v>103.56378716439562</v>
      </c>
    </row>
    <row r="47" spans="1:3" x14ac:dyDescent="0.25">
      <c r="A47" s="26">
        <v>43091</v>
      </c>
      <c r="B47" s="20">
        <f t="shared" si="2"/>
        <v>103.66339418977205</v>
      </c>
      <c r="C47" s="20">
        <v>103.57436987687576</v>
      </c>
    </row>
    <row r="48" spans="1:3" x14ac:dyDescent="0.25">
      <c r="A48" s="26">
        <v>43092</v>
      </c>
      <c r="B48" s="20">
        <f t="shared" si="2"/>
        <v>103.67390497680815</v>
      </c>
      <c r="C48" s="20">
        <v>103.58495367075517</v>
      </c>
    </row>
    <row r="49" spans="1:3" x14ac:dyDescent="0.25">
      <c r="A49" s="26">
        <v>43093</v>
      </c>
      <c r="B49" s="20">
        <f t="shared" si="2"/>
        <v>103.68441682956899</v>
      </c>
      <c r="C49" s="20">
        <v>103.59553854614434</v>
      </c>
    </row>
    <row r="50" spans="1:3" x14ac:dyDescent="0.25">
      <c r="A50" s="26">
        <v>43094</v>
      </c>
      <c r="B50" s="20">
        <f t="shared" ref="B50:B81" si="3">+B49*(1+$B$15)^(0.00273972602739726)</f>
        <v>103.69492974816264</v>
      </c>
      <c r="C50" s="20">
        <v>103.60612450315379</v>
      </c>
    </row>
    <row r="51" spans="1:3" x14ac:dyDescent="0.25">
      <c r="A51" s="26">
        <v>43095</v>
      </c>
      <c r="B51" s="20">
        <f t="shared" si="3"/>
        <v>103.70544373269715</v>
      </c>
      <c r="C51" s="20">
        <v>103.61671154189406</v>
      </c>
    </row>
    <row r="52" spans="1:3" x14ac:dyDescent="0.25">
      <c r="A52" s="26">
        <v>43096</v>
      </c>
      <c r="B52" s="20">
        <f t="shared" si="3"/>
        <v>103.71595878328061</v>
      </c>
      <c r="C52" s="20">
        <v>103.62729966247568</v>
      </c>
    </row>
    <row r="53" spans="1:3" x14ac:dyDescent="0.25">
      <c r="A53" s="26">
        <v>43097</v>
      </c>
      <c r="B53" s="20">
        <f t="shared" si="3"/>
        <v>103.72647490002112</v>
      </c>
      <c r="C53" s="20">
        <v>103.63788886500919</v>
      </c>
    </row>
    <row r="54" spans="1:3" x14ac:dyDescent="0.25">
      <c r="A54" s="26">
        <v>43098</v>
      </c>
      <c r="B54" s="20">
        <f t="shared" si="3"/>
        <v>103.73699208302676</v>
      </c>
      <c r="C54" s="20">
        <v>103.64847914960515</v>
      </c>
    </row>
    <row r="55" spans="1:3" x14ac:dyDescent="0.25">
      <c r="A55" s="26">
        <v>43099</v>
      </c>
      <c r="B55" s="20">
        <f t="shared" si="3"/>
        <v>103.74751033240565</v>
      </c>
      <c r="C55" s="20">
        <v>103.65907051637414</v>
      </c>
    </row>
    <row r="56" spans="1:3" x14ac:dyDescent="0.25">
      <c r="A56" s="26">
        <v>43100</v>
      </c>
      <c r="B56" s="20">
        <f t="shared" si="3"/>
        <v>103.75802964826592</v>
      </c>
      <c r="C56" s="20">
        <v>103.66966296542674</v>
      </c>
    </row>
    <row r="57" spans="1:3" x14ac:dyDescent="0.25">
      <c r="A57" s="26">
        <v>43101</v>
      </c>
      <c r="B57" s="20">
        <f t="shared" si="3"/>
        <v>103.7685500307157</v>
      </c>
      <c r="C57" s="20">
        <v>103.68025649687354</v>
      </c>
    </row>
    <row r="58" spans="1:3" x14ac:dyDescent="0.25">
      <c r="A58" s="26">
        <v>43102</v>
      </c>
      <c r="B58" s="20">
        <f t="shared" si="3"/>
        <v>103.77907147986313</v>
      </c>
      <c r="C58" s="20">
        <v>103.69085111082515</v>
      </c>
    </row>
    <row r="59" spans="1:3" x14ac:dyDescent="0.25">
      <c r="A59" s="26">
        <v>43103</v>
      </c>
      <c r="B59" s="20">
        <f t="shared" si="3"/>
        <v>103.78959399581638</v>
      </c>
      <c r="C59" s="20">
        <v>103.70144680739219</v>
      </c>
    </row>
    <row r="60" spans="1:3" x14ac:dyDescent="0.25">
      <c r="A60" s="26">
        <v>43104</v>
      </c>
      <c r="B60" s="20">
        <f t="shared" si="3"/>
        <v>103.8001175786836</v>
      </c>
      <c r="C60" s="20">
        <v>103.71204358668527</v>
      </c>
    </row>
    <row r="61" spans="1:3" x14ac:dyDescent="0.25">
      <c r="A61" s="26">
        <v>43105</v>
      </c>
      <c r="B61" s="20">
        <f t="shared" si="3"/>
        <v>103.81064222857297</v>
      </c>
      <c r="C61" s="20">
        <v>103.72264144881504</v>
      </c>
    </row>
    <row r="62" spans="1:3" x14ac:dyDescent="0.25">
      <c r="A62" s="26">
        <v>43106</v>
      </c>
      <c r="B62" s="20">
        <f t="shared" si="3"/>
        <v>103.82116794559269</v>
      </c>
      <c r="C62" s="20">
        <v>103.73324039389215</v>
      </c>
    </row>
    <row r="63" spans="1:3" x14ac:dyDescent="0.25">
      <c r="A63" s="26">
        <v>43107</v>
      </c>
      <c r="B63" s="20">
        <f t="shared" si="3"/>
        <v>103.83169472985095</v>
      </c>
      <c r="C63" s="20">
        <v>103.74384042202726</v>
      </c>
    </row>
    <row r="64" spans="1:3" x14ac:dyDescent="0.25">
      <c r="A64" s="26">
        <v>43108</v>
      </c>
      <c r="B64" s="20">
        <f t="shared" si="3"/>
        <v>103.84222258145597</v>
      </c>
      <c r="C64" s="20">
        <v>103.75444153333105</v>
      </c>
    </row>
    <row r="65" spans="1:3" x14ac:dyDescent="0.25">
      <c r="A65" s="26">
        <v>43109</v>
      </c>
      <c r="B65" s="20">
        <f t="shared" si="3"/>
        <v>103.85275150051598</v>
      </c>
      <c r="C65" s="20">
        <v>103.76504372791419</v>
      </c>
    </row>
    <row r="66" spans="1:3" x14ac:dyDescent="0.25">
      <c r="A66" s="26">
        <v>43110</v>
      </c>
      <c r="B66" s="20">
        <f t="shared" si="3"/>
        <v>103.86328148713919</v>
      </c>
      <c r="C66" s="20">
        <v>103.77564700588739</v>
      </c>
    </row>
    <row r="67" spans="1:3" x14ac:dyDescent="0.25">
      <c r="A67" s="26">
        <v>43111</v>
      </c>
      <c r="B67" s="20">
        <f t="shared" si="3"/>
        <v>103.87381254143386</v>
      </c>
      <c r="C67" s="20">
        <v>103.78625136736136</v>
      </c>
    </row>
    <row r="68" spans="1:3" x14ac:dyDescent="0.25">
      <c r="A68" s="26">
        <v>43112</v>
      </c>
      <c r="B68" s="20">
        <f t="shared" si="3"/>
        <v>103.88434466350824</v>
      </c>
      <c r="C68" s="20">
        <v>103.7968568124468</v>
      </c>
    </row>
    <row r="69" spans="1:3" x14ac:dyDescent="0.25">
      <c r="A69" s="26">
        <v>43113</v>
      </c>
      <c r="B69" s="20">
        <f t="shared" si="3"/>
        <v>103.8948778534706</v>
      </c>
      <c r="C69" s="20">
        <v>103.80746334125445</v>
      </c>
    </row>
    <row r="70" spans="1:3" x14ac:dyDescent="0.25">
      <c r="A70" s="26">
        <v>43114</v>
      </c>
      <c r="B70" s="20">
        <f t="shared" si="3"/>
        <v>103.90541211142921</v>
      </c>
      <c r="C70" s="20">
        <v>103.81807095389505</v>
      </c>
    </row>
    <row r="71" spans="1:3" x14ac:dyDescent="0.25">
      <c r="A71" s="26">
        <v>43115</v>
      </c>
      <c r="B71" s="20">
        <f t="shared" si="3"/>
        <v>103.91594743749236</v>
      </c>
      <c r="C71" s="20">
        <v>103.82867965047934</v>
      </c>
    </row>
    <row r="72" spans="1:3" x14ac:dyDescent="0.25">
      <c r="A72" s="26">
        <v>43116</v>
      </c>
      <c r="B72" s="20">
        <f t="shared" si="3"/>
        <v>103.92648383176835</v>
      </c>
      <c r="C72" s="20">
        <v>103.8392894311181</v>
      </c>
    </row>
    <row r="73" spans="1:3" x14ac:dyDescent="0.25">
      <c r="A73" s="26">
        <v>43117</v>
      </c>
      <c r="B73" s="20">
        <f t="shared" si="3"/>
        <v>103.93702129436548</v>
      </c>
      <c r="C73" s="20">
        <v>103.8499002959221</v>
      </c>
    </row>
    <row r="74" spans="1:3" x14ac:dyDescent="0.25">
      <c r="A74" s="26">
        <v>43118</v>
      </c>
      <c r="B74" s="20">
        <f t="shared" si="3"/>
        <v>103.94755982539208</v>
      </c>
      <c r="C74" s="20">
        <v>103.86051224500211</v>
      </c>
    </row>
    <row r="75" spans="1:3" x14ac:dyDescent="0.25">
      <c r="A75" s="26">
        <v>43119</v>
      </c>
      <c r="B75" s="20">
        <f t="shared" si="3"/>
        <v>103.95809942495649</v>
      </c>
      <c r="C75" s="20">
        <v>103.87112527846895</v>
      </c>
    </row>
    <row r="76" spans="1:3" x14ac:dyDescent="0.25">
      <c r="A76" s="26">
        <v>43120</v>
      </c>
      <c r="B76" s="20">
        <f t="shared" si="3"/>
        <v>103.96864009316704</v>
      </c>
      <c r="C76" s="20">
        <v>103.88173939643343</v>
      </c>
    </row>
    <row r="77" spans="1:3" x14ac:dyDescent="0.25">
      <c r="A77" s="26">
        <v>43121</v>
      </c>
      <c r="B77" s="20">
        <f t="shared" si="3"/>
        <v>103.97918183013209</v>
      </c>
      <c r="C77" s="20">
        <v>103.89235459900635</v>
      </c>
    </row>
    <row r="78" spans="1:3" x14ac:dyDescent="0.25">
      <c r="A78" s="26">
        <v>43122</v>
      </c>
      <c r="B78" s="20">
        <f t="shared" si="3"/>
        <v>103.98972463596</v>
      </c>
      <c r="C78" s="20">
        <v>103.90297088629856</v>
      </c>
    </row>
    <row r="79" spans="1:3" x14ac:dyDescent="0.25">
      <c r="A79" s="26">
        <v>43123</v>
      </c>
      <c r="B79" s="20">
        <f t="shared" si="3"/>
        <v>104.00026851075914</v>
      </c>
      <c r="C79" s="20">
        <v>103.91358825842089</v>
      </c>
    </row>
    <row r="80" spans="1:3" x14ac:dyDescent="0.25">
      <c r="A80" s="26">
        <v>43124</v>
      </c>
      <c r="B80" s="20">
        <f t="shared" si="3"/>
        <v>104.01081345463791</v>
      </c>
      <c r="C80" s="20">
        <v>103.92420671548419</v>
      </c>
    </row>
    <row r="81" spans="1:3" x14ac:dyDescent="0.25">
      <c r="A81" s="26">
        <v>43125</v>
      </c>
      <c r="B81" s="20">
        <f t="shared" si="3"/>
        <v>104.0213594677047</v>
      </c>
      <c r="C81" s="20">
        <v>103.93482625759934</v>
      </c>
    </row>
    <row r="82" spans="1:3" x14ac:dyDescent="0.25">
      <c r="A82" s="26">
        <v>43126</v>
      </c>
      <c r="B82" s="20">
        <f t="shared" ref="B82:B103" si="4">+B81*(1+$B$15)^(0.00273972602739726)</f>
        <v>104.03190655006792</v>
      </c>
      <c r="C82" s="20">
        <v>103.9454468848772</v>
      </c>
    </row>
    <row r="83" spans="1:3" x14ac:dyDescent="0.25">
      <c r="A83" s="26">
        <v>43127</v>
      </c>
      <c r="B83" s="20">
        <f t="shared" si="4"/>
        <v>104.04245470183599</v>
      </c>
      <c r="C83" s="20">
        <v>103.95606859742867</v>
      </c>
    </row>
    <row r="84" spans="1:3" x14ac:dyDescent="0.25">
      <c r="A84" s="26">
        <v>43128</v>
      </c>
      <c r="B84" s="20">
        <f t="shared" si="4"/>
        <v>104.05300392311734</v>
      </c>
      <c r="C84" s="20">
        <v>103.96669139536465</v>
      </c>
    </row>
    <row r="85" spans="1:3" x14ac:dyDescent="0.25">
      <c r="A85" s="26">
        <v>43129</v>
      </c>
      <c r="B85" s="20">
        <f t="shared" si="4"/>
        <v>104.06355421402043</v>
      </c>
      <c r="C85" s="20">
        <v>103.97731527879604</v>
      </c>
    </row>
    <row r="86" spans="1:3" x14ac:dyDescent="0.25">
      <c r="A86" s="26">
        <v>43130</v>
      </c>
      <c r="B86" s="20">
        <f t="shared" si="4"/>
        <v>104.07410557465369</v>
      </c>
      <c r="C86" s="20">
        <v>103.98794024783378</v>
      </c>
    </row>
    <row r="87" spans="1:3" x14ac:dyDescent="0.25">
      <c r="A87" s="26">
        <v>43131</v>
      </c>
      <c r="B87" s="20">
        <f t="shared" si="4"/>
        <v>104.08465800512558</v>
      </c>
      <c r="C87" s="20">
        <v>103.99856630258878</v>
      </c>
    </row>
    <row r="88" spans="1:3" x14ac:dyDescent="0.25">
      <c r="A88" s="26">
        <v>43132</v>
      </c>
      <c r="B88" s="20">
        <f t="shared" si="4"/>
        <v>104.09521150554458</v>
      </c>
      <c r="C88" s="20">
        <v>104.00919344317201</v>
      </c>
    </row>
    <row r="89" spans="1:3" x14ac:dyDescent="0.25">
      <c r="A89" s="26">
        <v>43133</v>
      </c>
      <c r="B89" s="20">
        <f t="shared" si="4"/>
        <v>104.10576607601919</v>
      </c>
      <c r="C89" s="20">
        <v>104.01982166969441</v>
      </c>
    </row>
    <row r="90" spans="1:3" x14ac:dyDescent="0.25">
      <c r="A90" s="26">
        <v>43134</v>
      </c>
      <c r="B90" s="20">
        <f t="shared" si="4"/>
        <v>104.11632171665789</v>
      </c>
      <c r="C90" s="20">
        <v>104.03045098226694</v>
      </c>
    </row>
    <row r="91" spans="1:3" x14ac:dyDescent="0.25">
      <c r="A91" s="26">
        <v>43135</v>
      </c>
      <c r="B91" s="20">
        <f t="shared" si="4"/>
        <v>104.1268784275692</v>
      </c>
      <c r="C91" s="20">
        <v>104.04108138100059</v>
      </c>
    </row>
    <row r="92" spans="1:3" x14ac:dyDescent="0.25">
      <c r="A92" s="26">
        <v>43136</v>
      </c>
      <c r="B92" s="20">
        <f t="shared" si="4"/>
        <v>104.13743620886163</v>
      </c>
      <c r="C92" s="20">
        <v>104.05171286600635</v>
      </c>
    </row>
    <row r="93" spans="1:3" x14ac:dyDescent="0.25">
      <c r="A93" s="26">
        <v>43137</v>
      </c>
      <c r="B93" s="20">
        <f t="shared" si="4"/>
        <v>104.14799506064371</v>
      </c>
      <c r="C93" s="20">
        <v>104.06234543739522</v>
      </c>
    </row>
    <row r="94" spans="1:3" x14ac:dyDescent="0.25">
      <c r="A94" s="26">
        <v>43138</v>
      </c>
      <c r="B94" s="20">
        <f t="shared" si="4"/>
        <v>104.15855498302398</v>
      </c>
      <c r="C94" s="20">
        <v>104.07297909527821</v>
      </c>
    </row>
    <row r="95" spans="1:3" x14ac:dyDescent="0.25">
      <c r="A95" s="26">
        <v>43139</v>
      </c>
      <c r="B95" s="20">
        <f t="shared" si="4"/>
        <v>104.16911597611099</v>
      </c>
      <c r="C95" s="20">
        <v>104.08361383976634</v>
      </c>
    </row>
    <row r="96" spans="1:3" x14ac:dyDescent="0.25">
      <c r="A96" s="26">
        <v>43140</v>
      </c>
      <c r="B96" s="20">
        <f t="shared" si="4"/>
        <v>104.17967804001331</v>
      </c>
      <c r="C96" s="20">
        <v>104.09424967097065</v>
      </c>
    </row>
    <row r="97" spans="1:3" x14ac:dyDescent="0.25">
      <c r="A97" s="26">
        <v>43141</v>
      </c>
      <c r="B97" s="20">
        <f t="shared" si="4"/>
        <v>104.19024117483951</v>
      </c>
      <c r="C97" s="20">
        <v>104.10488658900219</v>
      </c>
    </row>
    <row r="98" spans="1:3" x14ac:dyDescent="0.25">
      <c r="A98" s="26">
        <v>43142</v>
      </c>
      <c r="B98" s="20">
        <f t="shared" si="4"/>
        <v>104.20080538069818</v>
      </c>
      <c r="C98" s="20">
        <v>104.11552459397201</v>
      </c>
    </row>
    <row r="99" spans="1:3" x14ac:dyDescent="0.25">
      <c r="A99" s="26">
        <v>43143</v>
      </c>
      <c r="B99" s="20">
        <f t="shared" si="4"/>
        <v>104.21137065769791</v>
      </c>
      <c r="C99" s="20">
        <v>104.12616368599119</v>
      </c>
    </row>
    <row r="100" spans="1:3" x14ac:dyDescent="0.25">
      <c r="A100" s="26">
        <v>43144</v>
      </c>
      <c r="B100" s="20">
        <f t="shared" si="4"/>
        <v>104.22193700594731</v>
      </c>
      <c r="C100" s="20">
        <v>104.1368038651708</v>
      </c>
    </row>
    <row r="101" spans="1:3" x14ac:dyDescent="0.25">
      <c r="A101" s="26">
        <v>43145</v>
      </c>
      <c r="B101" s="20">
        <f t="shared" si="4"/>
        <v>104.23250442555499</v>
      </c>
      <c r="C101" s="20">
        <v>104.14744513162195</v>
      </c>
    </row>
    <row r="102" spans="1:3" x14ac:dyDescent="0.25">
      <c r="A102" s="26">
        <v>43146</v>
      </c>
      <c r="B102" s="20">
        <f t="shared" si="4"/>
        <v>104.24307291662959</v>
      </c>
      <c r="C102" s="20">
        <v>104.15808748545572</v>
      </c>
    </row>
    <row r="103" spans="1:3" x14ac:dyDescent="0.25">
      <c r="A103" s="26">
        <v>43147</v>
      </c>
      <c r="B103" s="20">
        <f t="shared" si="4"/>
        <v>104.25364247927973</v>
      </c>
      <c r="C103" s="20">
        <v>104.16873092678324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A24F-F3CD-4540-867A-B01FDC59925E}">
  <sheetPr codeName="Hoja1"/>
  <dimension ref="A1:M24"/>
  <sheetViews>
    <sheetView tabSelected="1" workbookViewId="0">
      <selection activeCell="K20" sqref="K20"/>
    </sheetView>
  </sheetViews>
  <sheetFormatPr baseColWidth="10" defaultRowHeight="15" x14ac:dyDescent="0.25"/>
  <cols>
    <col min="1" max="1" width="12.5703125" bestFit="1" customWidth="1"/>
    <col min="2" max="3" width="14.140625" bestFit="1" customWidth="1"/>
    <col min="5" max="5" width="16.28515625" bestFit="1" customWidth="1"/>
    <col min="6" max="6" width="20" bestFit="1" customWidth="1"/>
    <col min="7" max="7" width="13.7109375" bestFit="1" customWidth="1"/>
    <col min="8" max="8" width="16.7109375" bestFit="1" customWidth="1"/>
    <col min="9" max="9" width="15.7109375" bestFit="1" customWidth="1"/>
    <col min="10" max="10" width="22" bestFit="1" customWidth="1"/>
    <col min="11" max="11" width="26.7109375" bestFit="1" customWidth="1"/>
    <col min="12" max="12" width="23.140625" bestFit="1" customWidth="1"/>
    <col min="13" max="13" width="18.28515625" bestFit="1" customWidth="1"/>
  </cols>
  <sheetData>
    <row r="1" spans="1:13" x14ac:dyDescent="0.25">
      <c r="A1" t="s">
        <v>1</v>
      </c>
      <c r="B1" s="4">
        <v>1053044</v>
      </c>
      <c r="F1" t="s">
        <v>6</v>
      </c>
    </row>
    <row r="2" spans="1:13" x14ac:dyDescent="0.25">
      <c r="A2" t="s">
        <v>2</v>
      </c>
      <c r="B2" s="4">
        <v>1032100</v>
      </c>
      <c r="C2" t="s">
        <v>3</v>
      </c>
      <c r="D2">
        <f>2.25*10000</f>
        <v>22500</v>
      </c>
      <c r="E2" s="8"/>
    </row>
    <row r="3" spans="1:13" x14ac:dyDescent="0.25">
      <c r="A3" t="s">
        <v>4</v>
      </c>
      <c r="B3" s="5">
        <f>+(B2+D2)</f>
        <v>1054600</v>
      </c>
    </row>
    <row r="4" spans="1:13" x14ac:dyDescent="0.25">
      <c r="A4" t="s">
        <v>5</v>
      </c>
      <c r="B4" s="6">
        <f>+B3/B1-1</f>
        <v>1.4776210680655932E-3</v>
      </c>
    </row>
    <row r="5" spans="1:13" x14ac:dyDescent="0.25">
      <c r="E5" s="28" t="s">
        <v>60</v>
      </c>
      <c r="F5" s="28"/>
      <c r="G5" s="28"/>
      <c r="H5" s="28"/>
      <c r="I5" s="28"/>
    </row>
    <row r="6" spans="1:13" x14ac:dyDescent="0.25">
      <c r="A6" s="3" t="s">
        <v>7</v>
      </c>
      <c r="B6" s="3" t="s">
        <v>8</v>
      </c>
      <c r="C6" s="3" t="s">
        <v>9</v>
      </c>
      <c r="D6" s="3" t="s">
        <v>3</v>
      </c>
      <c r="E6" s="3" t="s">
        <v>8</v>
      </c>
      <c r="F6" s="3" t="s">
        <v>9</v>
      </c>
      <c r="G6" s="3" t="s">
        <v>21</v>
      </c>
      <c r="H6" s="3" t="s">
        <v>25</v>
      </c>
      <c r="I6" s="3" t="s">
        <v>24</v>
      </c>
    </row>
    <row r="7" spans="1:13" x14ac:dyDescent="0.25">
      <c r="A7" s="9">
        <v>42793</v>
      </c>
      <c r="B7" s="3">
        <v>3.73</v>
      </c>
      <c r="C7" s="10">
        <v>1051792</v>
      </c>
      <c r="D7" s="10" t="s">
        <v>10</v>
      </c>
      <c r="E7" s="20">
        <v>3.7</v>
      </c>
      <c r="F7" s="10">
        <v>1052916</v>
      </c>
      <c r="G7" s="6"/>
      <c r="H7" s="10">
        <f>10000*105.293938674635</f>
        <v>1052939.38674635</v>
      </c>
      <c r="K7" t="s">
        <v>23</v>
      </c>
      <c r="L7" s="2">
        <f>+(1+E7/100)^(1/365)-1</f>
        <v>9.9544486408253974E-5</v>
      </c>
      <c r="M7" s="1"/>
    </row>
    <row r="8" spans="1:13" x14ac:dyDescent="0.25">
      <c r="A8" s="9">
        <v>42794</v>
      </c>
      <c r="B8" s="3">
        <v>3.7</v>
      </c>
      <c r="C8" s="10">
        <f>+B1</f>
        <v>1053044</v>
      </c>
      <c r="D8" s="10" t="s">
        <v>10</v>
      </c>
      <c r="E8" s="3"/>
      <c r="F8" s="10">
        <f>+C8</f>
        <v>1053044</v>
      </c>
      <c r="G8" s="6">
        <f t="shared" ref="G8" si="0">+F8/F7-1</f>
        <v>1.2156715255540185E-4</v>
      </c>
      <c r="H8" s="10">
        <f>10000*105.304420105682</f>
        <v>1053044.2010568199</v>
      </c>
      <c r="I8" s="7">
        <f>+H8/H7-1</f>
        <v>9.9544486405589439E-5</v>
      </c>
      <c r="K8" t="s">
        <v>22</v>
      </c>
      <c r="L8" s="2">
        <f>+F8/F7-1</f>
        <v>1.2156715255540185E-4</v>
      </c>
    </row>
    <row r="9" spans="1:13" x14ac:dyDescent="0.25">
      <c r="A9" s="9">
        <v>42795</v>
      </c>
      <c r="B9" s="3">
        <v>3.66</v>
      </c>
      <c r="C9" s="10">
        <f>+B2</f>
        <v>1032100</v>
      </c>
      <c r="D9" s="10">
        <f>+D2</f>
        <v>22500</v>
      </c>
      <c r="E9" s="3">
        <v>3.7</v>
      </c>
      <c r="F9" s="10">
        <v>1030600</v>
      </c>
      <c r="G9" s="21">
        <f>+(F9+D9)/F8-1</f>
        <v>5.3179164403394097E-5</v>
      </c>
      <c r="H9" s="10">
        <f>10000*103.064902580098</f>
        <v>1030649.02580098</v>
      </c>
      <c r="I9" s="7">
        <f>+(H9+D9)/H8-1</f>
        <v>9.9544486409142152E-5</v>
      </c>
      <c r="J9" s="25"/>
    </row>
    <row r="10" spans="1:13" x14ac:dyDescent="0.25">
      <c r="A10" s="9">
        <v>42796</v>
      </c>
      <c r="B10" s="3">
        <v>3.65</v>
      </c>
      <c r="C10" s="10">
        <v>1032626</v>
      </c>
      <c r="D10" s="3" t="s">
        <v>10</v>
      </c>
      <c r="E10" s="3">
        <v>3.7</v>
      </c>
      <c r="F10" s="10">
        <v>1030726</v>
      </c>
      <c r="G10" s="6">
        <f>+F10/F9-1</f>
        <v>1.2225887832340021E-4</v>
      </c>
      <c r="H10" s="10">
        <f>10000*103.075162122892</f>
        <v>1030751.6212289199</v>
      </c>
      <c r="I10" s="7">
        <f>+H10/H9-1</f>
        <v>9.954448640758784E-5</v>
      </c>
    </row>
    <row r="11" spans="1:13" x14ac:dyDescent="0.25">
      <c r="A11" s="3"/>
      <c r="B11" s="3"/>
      <c r="C11" s="3"/>
      <c r="D11" s="3"/>
      <c r="E11" s="3"/>
      <c r="F11" s="3"/>
      <c r="G11" s="70"/>
    </row>
    <row r="12" spans="1:13" x14ac:dyDescent="0.25">
      <c r="A12" s="3"/>
      <c r="B12" s="3"/>
      <c r="C12" s="3"/>
      <c r="D12" s="3"/>
      <c r="E12" s="3"/>
      <c r="F12" s="3"/>
    </row>
    <row r="13" spans="1:13" x14ac:dyDescent="0.25">
      <c r="A13" s="3"/>
      <c r="B13" s="3"/>
      <c r="C13" s="3"/>
      <c r="D13" s="3"/>
      <c r="E13" s="3"/>
      <c r="F13" s="3"/>
    </row>
    <row r="14" spans="1:13" x14ac:dyDescent="0.25">
      <c r="A14" s="3"/>
      <c r="B14" s="3"/>
      <c r="C14" s="3"/>
      <c r="D14" s="3"/>
      <c r="E14" s="3"/>
      <c r="F14" s="3"/>
    </row>
    <row r="15" spans="1:13" x14ac:dyDescent="0.25">
      <c r="A15" s="3"/>
      <c r="B15" s="3"/>
      <c r="C15" s="3"/>
      <c r="D15" s="3"/>
      <c r="E15" s="3"/>
      <c r="F15" s="3"/>
    </row>
    <row r="16" spans="1:13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</sheetData>
  <mergeCells count="1">
    <mergeCell ref="E5:I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9BFD-DB9F-4BBB-BE0D-4A6DDF986107}">
  <sheetPr codeName="Hoja3"/>
  <dimension ref="A1:R36"/>
  <sheetViews>
    <sheetView workbookViewId="0">
      <selection activeCell="K21" sqref="K21"/>
    </sheetView>
  </sheetViews>
  <sheetFormatPr baseColWidth="10" defaultRowHeight="15" x14ac:dyDescent="0.25"/>
  <cols>
    <col min="1" max="1" width="29.7109375" bestFit="1" customWidth="1"/>
    <col min="2" max="4" width="14.140625" bestFit="1" customWidth="1"/>
    <col min="6" max="6" width="12.5703125" bestFit="1" customWidth="1"/>
    <col min="7" max="7" width="23.140625" bestFit="1" customWidth="1"/>
    <col min="10" max="11" width="12.42578125" bestFit="1" customWidth="1"/>
    <col min="14" max="14" width="14.140625" bestFit="1" customWidth="1"/>
    <col min="15" max="16" width="12.5703125" bestFit="1" customWidth="1"/>
    <col min="17" max="17" width="11.85546875" bestFit="1" customWidth="1"/>
    <col min="18" max="18" width="12" bestFit="1" customWidth="1"/>
  </cols>
  <sheetData>
    <row r="1" spans="1:18" ht="15.75" thickBot="1" x14ac:dyDescent="0.3">
      <c r="A1" s="14" t="s">
        <v>11</v>
      </c>
      <c r="B1" s="14" t="s">
        <v>7</v>
      </c>
      <c r="C1" s="14" t="s">
        <v>12</v>
      </c>
      <c r="D1" s="14" t="s">
        <v>13</v>
      </c>
      <c r="E1" s="14" t="s">
        <v>14</v>
      </c>
      <c r="F1" s="14" t="s">
        <v>15</v>
      </c>
      <c r="G1" s="17" t="s">
        <v>16</v>
      </c>
      <c r="H1" s="17" t="s">
        <v>35</v>
      </c>
      <c r="I1" s="17" t="s">
        <v>36</v>
      </c>
      <c r="J1" s="36" t="s">
        <v>42</v>
      </c>
      <c r="K1" s="36" t="s">
        <v>43</v>
      </c>
      <c r="L1" s="12"/>
      <c r="N1" s="36" t="s">
        <v>41</v>
      </c>
      <c r="O1" s="36" t="s">
        <v>40</v>
      </c>
    </row>
    <row r="2" spans="1:18" ht="15.75" thickBot="1" x14ac:dyDescent="0.3">
      <c r="A2" s="13">
        <v>0</v>
      </c>
      <c r="B2" s="15">
        <v>42430</v>
      </c>
      <c r="C2" s="13">
        <v>0</v>
      </c>
      <c r="D2" s="13">
        <v>0</v>
      </c>
      <c r="E2" s="13">
        <v>0</v>
      </c>
      <c r="F2" s="13">
        <v>100</v>
      </c>
      <c r="G2" s="12" t="e">
        <f>IF(B2&gt;$N$3,(B2-$N$3)/365,NA())</f>
        <v>#N/A</v>
      </c>
      <c r="H2" s="12">
        <f>+IFERROR(E2/(1+$N$2)^G2,0)</f>
        <v>0</v>
      </c>
      <c r="I2" s="12">
        <f>+IFERROR(E2/(1+$O$2)^G2,0)</f>
        <v>0</v>
      </c>
      <c r="J2" s="12">
        <f>+IFERROR(G2*H2,0)</f>
        <v>0</v>
      </c>
      <c r="K2" s="12">
        <f>+IFERROR(G2*I2,0)</f>
        <v>0</v>
      </c>
      <c r="L2" s="12"/>
      <c r="M2" s="18" t="s">
        <v>8</v>
      </c>
      <c r="N2" s="19">
        <v>3.6999999999999998E-2</v>
      </c>
      <c r="O2" s="19">
        <v>3.7199999999999997E-2</v>
      </c>
    </row>
    <row r="3" spans="1:18" ht="15.75" thickBot="1" x14ac:dyDescent="0.3">
      <c r="A3" s="13">
        <v>1</v>
      </c>
      <c r="B3" s="15">
        <v>42614</v>
      </c>
      <c r="C3" s="13">
        <v>2.25</v>
      </c>
      <c r="D3" s="13">
        <v>0</v>
      </c>
      <c r="E3" s="13">
        <v>2.25</v>
      </c>
      <c r="F3" s="13">
        <v>100</v>
      </c>
      <c r="G3" s="12" t="e">
        <f>IF(B3&gt;$N$3,(B3-$N$3)/365,NA())</f>
        <v>#N/A</v>
      </c>
      <c r="H3" s="12">
        <f>+IFERROR(E3/(1+$N$2)^G3,0)</f>
        <v>0</v>
      </c>
      <c r="I3" s="12">
        <f>+IFERROR(E3/(1+$O$2)^G3,0)</f>
        <v>0</v>
      </c>
      <c r="J3" s="12">
        <f t="shared" ref="J3:J12" si="0">+IFERROR(G3*H3,0)</f>
        <v>0</v>
      </c>
      <c r="K3" s="12">
        <f t="shared" ref="K3:K12" si="1">+IFERROR(G3*I3,0)</f>
        <v>0</v>
      </c>
      <c r="L3" s="12"/>
      <c r="M3" s="12" t="s">
        <v>7</v>
      </c>
      <c r="N3" s="16">
        <v>42795</v>
      </c>
      <c r="O3" s="16">
        <v>42795</v>
      </c>
    </row>
    <row r="4" spans="1:18" ht="15.75" thickBot="1" x14ac:dyDescent="0.3">
      <c r="A4" s="13">
        <v>2</v>
      </c>
      <c r="B4" s="15">
        <v>42795</v>
      </c>
      <c r="C4" s="13">
        <v>2.25</v>
      </c>
      <c r="D4" s="13">
        <v>0</v>
      </c>
      <c r="E4" s="13">
        <v>2.25</v>
      </c>
      <c r="F4" s="13">
        <v>100</v>
      </c>
      <c r="G4" s="12" t="e">
        <f>IF(B4&gt;$N$3,(B4-$N$3)/365,NA())</f>
        <v>#N/A</v>
      </c>
      <c r="H4" s="12">
        <f>+IFERROR(E4/(1+$N$2)^G4,0)</f>
        <v>0</v>
      </c>
      <c r="I4" s="12">
        <f>+IFERROR(E4/(1+$O$2)^G4,0)</f>
        <v>0</v>
      </c>
      <c r="J4" s="12">
        <f t="shared" si="0"/>
        <v>0</v>
      </c>
      <c r="K4" s="12">
        <f t="shared" si="1"/>
        <v>0</v>
      </c>
      <c r="L4" s="12"/>
      <c r="M4" s="12" t="s">
        <v>9</v>
      </c>
      <c r="N4" s="12">
        <f>+SUM($H$2:$H$12)</f>
        <v>103.06490258009823</v>
      </c>
      <c r="O4" s="12">
        <f>+SUM($I$2:$I$12)</f>
        <v>102.99112711033396</v>
      </c>
      <c r="Q4" t="s">
        <v>54</v>
      </c>
      <c r="R4" s="11"/>
    </row>
    <row r="5" spans="1:18" ht="15.75" thickBot="1" x14ac:dyDescent="0.3">
      <c r="A5" s="13">
        <v>3</v>
      </c>
      <c r="B5" s="15">
        <v>42979</v>
      </c>
      <c r="C5" s="13">
        <v>2.25</v>
      </c>
      <c r="D5" s="13">
        <v>0</v>
      </c>
      <c r="E5" s="13">
        <v>2.25</v>
      </c>
      <c r="F5" s="13">
        <v>100</v>
      </c>
      <c r="G5" s="12">
        <f>IF(B5&gt;$N$3,(B5-$N$3)/365,NA())</f>
        <v>0.50410958904109593</v>
      </c>
      <c r="H5" s="12">
        <f>+IFERROR(E5/(1+$N$2)^G5,0)</f>
        <v>2.2091657206606623</v>
      </c>
      <c r="I5" s="12">
        <f>+IFERROR(E5/(1+$O$2)^G5,0)</f>
        <v>2.2089509665392981</v>
      </c>
      <c r="J5" s="12">
        <f t="shared" si="0"/>
        <v>1.1136616235659229</v>
      </c>
      <c r="K5" s="12">
        <f t="shared" si="1"/>
        <v>1.1135533639540571</v>
      </c>
      <c r="L5" s="12"/>
      <c r="M5" s="12" t="s">
        <v>18</v>
      </c>
      <c r="N5" s="23">
        <v>4.5477999999999998E-2</v>
      </c>
      <c r="O5" s="23">
        <v>4.5477999999999998E-2</v>
      </c>
    </row>
    <row r="6" spans="1:18" ht="15.75" thickBot="1" x14ac:dyDescent="0.3">
      <c r="A6" s="13">
        <v>4</v>
      </c>
      <c r="B6" s="15">
        <v>43160</v>
      </c>
      <c r="C6" s="13">
        <v>2.25</v>
      </c>
      <c r="D6" s="13">
        <v>0</v>
      </c>
      <c r="E6" s="13">
        <v>2.25</v>
      </c>
      <c r="F6" s="13">
        <v>100</v>
      </c>
      <c r="G6" s="12">
        <f>IF(B6&gt;$N$3,(B6-$N$3)/365,NA())</f>
        <v>1</v>
      </c>
      <c r="H6" s="12">
        <f>+IFERROR(E6/(1+$N$2)^G6,0)</f>
        <v>2.1697203471552555</v>
      </c>
      <c r="I6" s="12">
        <f>+IFERROR(E6/(1+$O$2)^G6,0)</f>
        <v>2.1693019668337836</v>
      </c>
      <c r="J6" s="12">
        <f t="shared" si="0"/>
        <v>2.1697203471552555</v>
      </c>
      <c r="K6" s="12">
        <f t="shared" si="1"/>
        <v>2.1693019668337836</v>
      </c>
      <c r="L6" s="12"/>
      <c r="M6" s="12" t="s">
        <v>0</v>
      </c>
      <c r="N6" s="12">
        <f>+(N3-B4)/365</f>
        <v>0</v>
      </c>
      <c r="O6" s="12">
        <f>+(O3-B4)/365</f>
        <v>0</v>
      </c>
    </row>
    <row r="7" spans="1:18" ht="15.75" thickBot="1" x14ac:dyDescent="0.3">
      <c r="A7" s="13">
        <v>5</v>
      </c>
      <c r="B7" s="15">
        <v>43344</v>
      </c>
      <c r="C7" s="13">
        <v>2.25</v>
      </c>
      <c r="D7" s="13">
        <v>0</v>
      </c>
      <c r="E7" s="13">
        <v>2.25</v>
      </c>
      <c r="F7" s="13">
        <v>100</v>
      </c>
      <c r="G7" s="12">
        <f>IF(B7&gt;$N$3,(B7-$N$3)/365,NA())</f>
        <v>1.5041095890410958</v>
      </c>
      <c r="H7" s="12">
        <f>+IFERROR(E7/(1+$N$2)^G7,0)</f>
        <v>2.130343028602375</v>
      </c>
      <c r="I7" s="12">
        <f>+IFERROR(E7/(1+$O$2)^G7,0)</f>
        <v>2.1297251894902609</v>
      </c>
      <c r="J7" s="12">
        <f t="shared" si="0"/>
        <v>3.2042693772676816</v>
      </c>
      <c r="K7" s="12">
        <f t="shared" si="1"/>
        <v>3.2033400795346663</v>
      </c>
      <c r="L7" s="12"/>
      <c r="M7" s="12" t="s">
        <v>19</v>
      </c>
      <c r="N7" s="12">
        <f>100*(1+N5)^N6</f>
        <v>100</v>
      </c>
      <c r="O7" s="12">
        <f>100*(1+O5)^O6</f>
        <v>100</v>
      </c>
    </row>
    <row r="8" spans="1:18" ht="15.75" thickBot="1" x14ac:dyDescent="0.3">
      <c r="A8" s="13">
        <v>6</v>
      </c>
      <c r="B8" s="15">
        <v>43525</v>
      </c>
      <c r="C8" s="13">
        <v>2.25</v>
      </c>
      <c r="D8" s="13">
        <v>0</v>
      </c>
      <c r="E8" s="13">
        <v>2.25</v>
      </c>
      <c r="F8" s="13">
        <v>100</v>
      </c>
      <c r="G8" s="12">
        <f>IF(B8&gt;$N$3,(B8-$N$3)/365,NA())</f>
        <v>2</v>
      </c>
      <c r="H8" s="12">
        <f>+IFERROR(E8/(1+$N$2)^G8,0)</f>
        <v>2.0923050599375661</v>
      </c>
      <c r="I8" s="12">
        <f>+IFERROR(E8/(1+$O$2)^G8,0)</f>
        <v>2.0914982325817428</v>
      </c>
      <c r="J8" s="12">
        <f t="shared" si="0"/>
        <v>4.1846101198751322</v>
      </c>
      <c r="K8" s="12">
        <f t="shared" si="1"/>
        <v>4.1829964651634857</v>
      </c>
      <c r="L8" s="12"/>
      <c r="M8" s="12" t="s">
        <v>17</v>
      </c>
      <c r="N8" s="24">
        <f>+N4/N7</f>
        <v>1.0306490258009824</v>
      </c>
      <c r="O8" s="24">
        <f>+O4/O7</f>
        <v>1.0299112711033396</v>
      </c>
    </row>
    <row r="9" spans="1:18" ht="15.75" thickBot="1" x14ac:dyDescent="0.3">
      <c r="A9" s="13">
        <v>7</v>
      </c>
      <c r="B9" s="15">
        <v>43709</v>
      </c>
      <c r="C9" s="13">
        <v>2.25</v>
      </c>
      <c r="D9" s="13">
        <v>0</v>
      </c>
      <c r="E9" s="13">
        <v>2.25</v>
      </c>
      <c r="F9" s="13">
        <v>100</v>
      </c>
      <c r="G9" s="12">
        <f>IF(B9&gt;$N$3,(B9-$N$3)/365,NA())</f>
        <v>2.504109589041096</v>
      </c>
      <c r="H9" s="12">
        <f>+IFERROR(E9/(1+$N$2)^G9,0)</f>
        <v>2.0543327180350772</v>
      </c>
      <c r="I9" s="12">
        <f>+IFERROR(E9/(1+$O$2)^G9,0)</f>
        <v>2.0533409077229665</v>
      </c>
      <c r="J9" s="12">
        <f t="shared" si="0"/>
        <v>5.1442742583124952</v>
      </c>
      <c r="K9" s="12">
        <f t="shared" si="1"/>
        <v>5.1417906565994285</v>
      </c>
      <c r="L9" s="12"/>
      <c r="M9" s="12" t="s">
        <v>20</v>
      </c>
      <c r="N9" s="22">
        <f>+ROUND(N8,4)</f>
        <v>1.0306</v>
      </c>
      <c r="O9" s="22">
        <f>+ROUND(O8,4)</f>
        <v>1.0299</v>
      </c>
    </row>
    <row r="10" spans="1:18" ht="15.75" thickBot="1" x14ac:dyDescent="0.3">
      <c r="A10" s="13">
        <v>8</v>
      </c>
      <c r="B10" s="15">
        <v>43891</v>
      </c>
      <c r="C10" s="13">
        <v>2.25</v>
      </c>
      <c r="D10" s="13">
        <v>0</v>
      </c>
      <c r="E10" s="13">
        <v>2.25</v>
      </c>
      <c r="F10" s="13">
        <v>100</v>
      </c>
      <c r="G10" s="12">
        <f>IF(B10&gt;$N$3,(B10-$N$3)/365,NA())</f>
        <v>3.0027397260273974</v>
      </c>
      <c r="H10" s="12">
        <f>+IFERROR(E10/(1+$N$2)^G10,0)</f>
        <v>2.017451112088497</v>
      </c>
      <c r="I10" s="12">
        <f>+IFERROR(E10/(1+$O$2)^G10,0)</f>
        <v>2.0162832156456072</v>
      </c>
      <c r="J10" s="12">
        <f t="shared" si="0"/>
        <v>6.0578805995862819</v>
      </c>
      <c r="K10" s="12">
        <f t="shared" si="1"/>
        <v>6.0543737105413307</v>
      </c>
      <c r="L10" s="12"/>
      <c r="M10" s="12" t="s">
        <v>27</v>
      </c>
      <c r="N10" s="29">
        <f>+B25-O10</f>
        <v>99354.404435897944</v>
      </c>
      <c r="O10" s="37">
        <v>900645.59556410206</v>
      </c>
      <c r="P10" s="32"/>
    </row>
    <row r="11" spans="1:18" ht="15.75" thickBot="1" x14ac:dyDescent="0.3">
      <c r="A11" s="13">
        <v>9</v>
      </c>
      <c r="B11" s="15">
        <v>44075</v>
      </c>
      <c r="C11" s="13">
        <v>2.25</v>
      </c>
      <c r="D11" s="13">
        <v>0</v>
      </c>
      <c r="E11" s="13">
        <v>2.25</v>
      </c>
      <c r="F11" s="13">
        <v>100</v>
      </c>
      <c r="G11" s="12">
        <f>IF(B11&gt;$N$3,(B11-$N$3)/365,NA())</f>
        <v>3.506849315068493</v>
      </c>
      <c r="H11" s="12">
        <f>+IFERROR(E11/(1+$N$2)^G11,0)</f>
        <v>1.9808372621931736</v>
      </c>
      <c r="I11" s="12">
        <f>+IFERROR(E11/(1+$O$2)^G11,0)</f>
        <v>1.9794981146743684</v>
      </c>
      <c r="J11" s="12">
        <f t="shared" si="0"/>
        <v>6.9464977961842793</v>
      </c>
      <c r="K11" s="12">
        <f t="shared" si="1"/>
        <v>6.9418016076251821</v>
      </c>
      <c r="L11" s="12"/>
      <c r="M11" s="12" t="s">
        <v>34</v>
      </c>
      <c r="N11" s="29">
        <f>+N10*N4/100</f>
        <v>102399.52014089502</v>
      </c>
      <c r="O11" s="29">
        <f>+O4/100*O10</f>
        <v>927585.05014104862</v>
      </c>
    </row>
    <row r="12" spans="1:18" ht="15.75" thickBot="1" x14ac:dyDescent="0.3">
      <c r="A12" s="13">
        <v>10</v>
      </c>
      <c r="B12" s="15">
        <v>44256</v>
      </c>
      <c r="C12" s="13">
        <v>2.25</v>
      </c>
      <c r="D12" s="13">
        <v>100</v>
      </c>
      <c r="E12" s="13">
        <v>102.25</v>
      </c>
      <c r="F12" s="13">
        <v>0</v>
      </c>
      <c r="G12" s="12">
        <f>IF(B12&gt;$N$3,(B12-$N$3)/365,NA())</f>
        <v>4.0027397260273974</v>
      </c>
      <c r="H12" s="12">
        <f>+IFERROR(E12/(1+$N$2)^G12,0)</f>
        <v>88.410747331425625</v>
      </c>
      <c r="I12" s="12">
        <f>+IFERROR(E12/(1+$O$2)^G12,0)</f>
        <v>88.342528516845931</v>
      </c>
      <c r="J12" s="12">
        <f t="shared" si="0"/>
        <v>353.88521055126807</v>
      </c>
      <c r="K12" s="12">
        <f t="shared" si="1"/>
        <v>353.61214839208742</v>
      </c>
      <c r="L12" s="12"/>
      <c r="M12" s="12" t="s">
        <v>44</v>
      </c>
      <c r="N12" s="39">
        <f>+SUM(J2:J12)/N4</f>
        <v>3.7132536401108038</v>
      </c>
      <c r="O12" s="39">
        <f>+SUM(K2:K12)/O4</f>
        <v>3.7131286643038206</v>
      </c>
    </row>
    <row r="13" spans="1:18" x14ac:dyDescent="0.25">
      <c r="M13" s="35" t="s">
        <v>45</v>
      </c>
      <c r="N13" s="30">
        <f>+N12/(1+N2)</f>
        <v>3.5807653231541021</v>
      </c>
      <c r="O13" s="30">
        <f>+O12/(1+O2)</f>
        <v>3.5799543620360788</v>
      </c>
    </row>
    <row r="15" spans="1:18" x14ac:dyDescent="0.25">
      <c r="A15" s="50" t="s">
        <v>49</v>
      </c>
      <c r="B15" s="51" t="s">
        <v>32</v>
      </c>
      <c r="C15" s="52" t="s">
        <v>33</v>
      </c>
      <c r="D15" s="52"/>
      <c r="H15" s="33"/>
    </row>
    <row r="16" spans="1:18" x14ac:dyDescent="0.25">
      <c r="A16" s="53" t="s">
        <v>50</v>
      </c>
      <c r="B16" s="45"/>
      <c r="C16" s="45" t="s">
        <v>39</v>
      </c>
      <c r="D16" s="40" t="s">
        <v>38</v>
      </c>
    </row>
    <row r="17" spans="1:8" x14ac:dyDescent="0.25">
      <c r="A17" s="53" t="s">
        <v>55</v>
      </c>
      <c r="B17" s="43">
        <f>+B18/B25*100</f>
        <v>103.06490258009823</v>
      </c>
      <c r="C17" s="60">
        <f>+N4</f>
        <v>103.06490258009823</v>
      </c>
      <c r="D17" s="40"/>
      <c r="F17" s="5">
        <f>+(B17/100)*C25</f>
        <v>102399.52014089502</v>
      </c>
    </row>
    <row r="18" spans="1:8" x14ac:dyDescent="0.25">
      <c r="A18" s="53" t="s">
        <v>26</v>
      </c>
      <c r="B18" s="56">
        <v>1030649.0258009824</v>
      </c>
      <c r="C18" s="56">
        <f>+N4/100*C25</f>
        <v>102399.52014089502</v>
      </c>
      <c r="D18" s="42">
        <f>+N4/100*D25</f>
        <v>1030649.0258009824</v>
      </c>
      <c r="E18" s="2"/>
      <c r="F18" s="4">
        <f>+(C17/100)*C25</f>
        <v>102399.52014089502</v>
      </c>
      <c r="G18" s="31"/>
      <c r="H18" s="66"/>
    </row>
    <row r="19" spans="1:8" x14ac:dyDescent="0.25">
      <c r="A19" s="53" t="s">
        <v>28</v>
      </c>
      <c r="B19" s="41">
        <v>1000</v>
      </c>
      <c r="C19" s="41">
        <f>+B19-B21</f>
        <v>100</v>
      </c>
      <c r="D19" s="40">
        <f>+B19</f>
        <v>1000</v>
      </c>
      <c r="E19" s="65"/>
      <c r="F19" s="6">
        <f>+F18/F17-1</f>
        <v>0</v>
      </c>
      <c r="G19" s="67"/>
    </row>
    <row r="20" spans="1:8" x14ac:dyDescent="0.25">
      <c r="A20" s="53" t="s">
        <v>29</v>
      </c>
      <c r="B20" s="56">
        <f>+B18/B19</f>
        <v>1030.6490258009824</v>
      </c>
      <c r="C20" s="56">
        <f>+C18/C19</f>
        <v>1023.9952014089503</v>
      </c>
      <c r="D20" s="42">
        <f>+D18/D19</f>
        <v>1030.6490258009824</v>
      </c>
      <c r="E20" s="63">
        <f>+B20-C20</f>
        <v>6.6538243920321065</v>
      </c>
      <c r="F20" s="64"/>
    </row>
    <row r="21" spans="1:8" x14ac:dyDescent="0.25">
      <c r="A21" s="53" t="s">
        <v>30</v>
      </c>
      <c r="B21" s="41">
        <v>900</v>
      </c>
      <c r="C21" s="41" t="s">
        <v>10</v>
      </c>
      <c r="D21" s="40" t="s">
        <v>10</v>
      </c>
      <c r="F21" s="63"/>
    </row>
    <row r="22" spans="1:8" x14ac:dyDescent="0.25">
      <c r="A22" s="54" t="s">
        <v>31</v>
      </c>
      <c r="B22" s="57">
        <f>+B21*B20</f>
        <v>927584.12322088412</v>
      </c>
      <c r="C22" s="41" t="s">
        <v>10</v>
      </c>
      <c r="D22" s="40" t="s">
        <v>10</v>
      </c>
    </row>
    <row r="23" spans="1:8" x14ac:dyDescent="0.25">
      <c r="A23" s="53" t="s">
        <v>8</v>
      </c>
      <c r="B23" s="58">
        <v>3.6999999999999998E-2</v>
      </c>
      <c r="C23" s="58">
        <f>+N2</f>
        <v>3.6999999999999998E-2</v>
      </c>
      <c r="D23" s="46">
        <f>+N2</f>
        <v>3.6999999999999998E-2</v>
      </c>
    </row>
    <row r="24" spans="1:8" x14ac:dyDescent="0.25">
      <c r="A24" s="53" t="s">
        <v>46</v>
      </c>
      <c r="B24" s="41" t="s">
        <v>10</v>
      </c>
      <c r="C24" s="58">
        <f>+C23-B23</f>
        <v>0</v>
      </c>
      <c r="D24" s="46">
        <f>+D23-B23</f>
        <v>0</v>
      </c>
    </row>
    <row r="25" spans="1:8" x14ac:dyDescent="0.25">
      <c r="A25" s="53" t="s">
        <v>27</v>
      </c>
      <c r="B25" s="59">
        <v>1000000</v>
      </c>
      <c r="C25" s="57">
        <f>+B25-O10</f>
        <v>99354.404435897944</v>
      </c>
      <c r="D25" s="47">
        <f>+B25</f>
        <v>1000000</v>
      </c>
      <c r="G25" s="64"/>
    </row>
    <row r="26" spans="1:8" x14ac:dyDescent="0.25">
      <c r="A26" s="53" t="s">
        <v>51</v>
      </c>
      <c r="B26" s="41"/>
      <c r="C26" s="57">
        <f>+B25-C25-B25/B19*B21</f>
        <v>645.5955641020555</v>
      </c>
      <c r="D26" s="47"/>
      <c r="G26" s="62"/>
      <c r="H26" s="1"/>
    </row>
    <row r="27" spans="1:8" x14ac:dyDescent="0.25">
      <c r="A27" s="53" t="s">
        <v>52</v>
      </c>
      <c r="B27" s="41"/>
      <c r="C27" s="57">
        <f>+C26*N4/100</f>
        <v>665.38243920321906</v>
      </c>
      <c r="D27" s="47"/>
      <c r="E27" s="34"/>
      <c r="G27" s="62"/>
      <c r="H27" s="1"/>
    </row>
    <row r="28" spans="1:8" x14ac:dyDescent="0.25">
      <c r="A28" s="53" t="s">
        <v>56</v>
      </c>
      <c r="B28" s="41"/>
      <c r="C28" s="57">
        <f>+(B17/100-C17/100)*C25</f>
        <v>0</v>
      </c>
      <c r="D28" s="47"/>
      <c r="E28" s="34"/>
      <c r="G28" s="62"/>
      <c r="H28" s="1"/>
    </row>
    <row r="29" spans="1:8" x14ac:dyDescent="0.25">
      <c r="A29" s="53" t="s">
        <v>57</v>
      </c>
      <c r="B29" s="41"/>
      <c r="C29" s="57">
        <f>+C27+C28</f>
        <v>665.38243920321906</v>
      </c>
      <c r="D29" s="47"/>
      <c r="E29" s="34"/>
      <c r="G29" s="62"/>
      <c r="H29" s="1"/>
    </row>
    <row r="30" spans="1:8" x14ac:dyDescent="0.25">
      <c r="A30" s="53" t="s">
        <v>53</v>
      </c>
      <c r="B30" s="41"/>
      <c r="C30" s="43">
        <f>+C27/C19</f>
        <v>6.6538243920321909</v>
      </c>
      <c r="D30" s="47"/>
      <c r="E30" s="2"/>
      <c r="F30" s="2"/>
      <c r="G30" s="2"/>
      <c r="H30" s="1"/>
    </row>
    <row r="31" spans="1:8" x14ac:dyDescent="0.25">
      <c r="A31" s="53" t="s">
        <v>58</v>
      </c>
      <c r="B31" s="41"/>
      <c r="C31" s="68">
        <f>+C28/C19</f>
        <v>0</v>
      </c>
      <c r="D31" s="47"/>
      <c r="E31" s="2"/>
      <c r="F31" s="2"/>
      <c r="G31" s="2"/>
      <c r="H31" s="1"/>
    </row>
    <row r="32" spans="1:8" x14ac:dyDescent="0.25">
      <c r="A32" s="53" t="s">
        <v>59</v>
      </c>
      <c r="B32" s="41"/>
      <c r="C32" s="43"/>
      <c r="D32" s="47"/>
      <c r="E32" s="2"/>
      <c r="F32" s="2"/>
      <c r="G32" s="2"/>
      <c r="H32" s="1"/>
    </row>
    <row r="33" spans="1:5" x14ac:dyDescent="0.25">
      <c r="A33" s="53" t="s">
        <v>44</v>
      </c>
      <c r="B33" s="60">
        <v>3.7132536401108038</v>
      </c>
      <c r="C33" s="41"/>
      <c r="D33" s="48"/>
    </row>
    <row r="34" spans="1:5" x14ac:dyDescent="0.25">
      <c r="A34" s="53" t="s">
        <v>48</v>
      </c>
      <c r="B34" s="60">
        <v>3.5807653231541021</v>
      </c>
      <c r="C34" s="41"/>
      <c r="D34" s="48"/>
    </row>
    <row r="35" spans="1:5" x14ac:dyDescent="0.25">
      <c r="A35" s="53" t="s">
        <v>37</v>
      </c>
      <c r="B35" s="41" t="s">
        <v>10</v>
      </c>
      <c r="C35" s="61">
        <f>+C20/$B20-1</f>
        <v>-6.4559556410205277E-3</v>
      </c>
      <c r="D35" s="69">
        <f>+D20/$B20-1</f>
        <v>0</v>
      </c>
      <c r="E35" s="33"/>
    </row>
    <row r="36" spans="1:5" x14ac:dyDescent="0.25">
      <c r="A36" s="55" t="s">
        <v>47</v>
      </c>
      <c r="B36" s="44"/>
      <c r="C36" s="44"/>
      <c r="D36" s="49">
        <f>-B34*D24</f>
        <v>0</v>
      </c>
    </row>
  </sheetData>
  <mergeCells count="1">
    <mergeCell ref="C15: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subida de tasas</vt:lpstr>
      <vt:lpstr>Analisis</vt:lpstr>
      <vt:lpstr>TD BTP0450321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2017-11-16T11:49:00Z</dcterms:created>
  <dcterms:modified xsi:type="dcterms:W3CDTF">2017-11-28T21:48:28Z</dcterms:modified>
</cp:coreProperties>
</file>