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oschp\Credicorp\Aprendizaje\"/>
    </mc:Choice>
  </mc:AlternateContent>
  <bookViews>
    <workbookView xWindow="0" yWindow="0" windowWidth="28800" windowHeight="11610" xr2:uid="{EA9CB0B3-90CA-40C6-A278-A6E283A559DA}"/>
  </bookViews>
  <sheets>
    <sheet name="TD BTP0450321" sheetId="1" r:id="rId1"/>
  </sheets>
  <definedNames>
    <definedName name="_xlnm._FilterDatabase" localSheetId="0" hidden="1">'TD BTP0450321'!$M$1:$O$13</definedName>
    <definedName name="solver_adj" localSheetId="0" hidden="1">'TD BTP0450321'!$O$10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'TD BTP0450321'!$O$11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'TD BTP0450321'!$O$10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'TD BTP0450321'!$B$22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25" i="1"/>
  <c r="C25" i="1"/>
  <c r="C26" i="1" s="1"/>
  <c r="C24" i="1"/>
  <c r="D23" i="1"/>
  <c r="D24" i="1" s="1"/>
  <c r="D32" i="1" s="1"/>
  <c r="C23" i="1"/>
  <c r="B20" i="1"/>
  <c r="B22" i="1" s="1"/>
  <c r="C19" i="1"/>
  <c r="B17" i="1"/>
  <c r="H12" i="1"/>
  <c r="G12" i="1"/>
  <c r="G11" i="1"/>
  <c r="N10" i="1"/>
  <c r="G10" i="1"/>
  <c r="I9" i="1"/>
  <c r="K9" i="1" s="1"/>
  <c r="G9" i="1"/>
  <c r="H8" i="1"/>
  <c r="J8" i="1" s="1"/>
  <c r="G8" i="1"/>
  <c r="I8" i="1" s="1"/>
  <c r="K8" i="1" s="1"/>
  <c r="G7" i="1"/>
  <c r="H7" i="1" s="1"/>
  <c r="O6" i="1"/>
  <c r="O7" i="1" s="1"/>
  <c r="N6" i="1"/>
  <c r="N7" i="1" s="1"/>
  <c r="I6" i="1"/>
  <c r="K6" i="1" s="1"/>
  <c r="H6" i="1"/>
  <c r="G6" i="1"/>
  <c r="J6" i="1" s="1"/>
  <c r="I5" i="1"/>
  <c r="K5" i="1" s="1"/>
  <c r="H5" i="1"/>
  <c r="J5" i="1" s="1"/>
  <c r="G5" i="1"/>
  <c r="G4" i="1"/>
  <c r="G3" i="1"/>
  <c r="H3" i="1" s="1"/>
  <c r="G2" i="1"/>
  <c r="I7" i="1" l="1"/>
  <c r="K7" i="1" s="1"/>
  <c r="I3" i="1"/>
  <c r="J3" i="1"/>
  <c r="J7" i="1"/>
  <c r="H2" i="1"/>
  <c r="K3" i="1"/>
  <c r="H11" i="1"/>
  <c r="I12" i="1"/>
  <c r="K12" i="1" s="1"/>
  <c r="I2" i="1"/>
  <c r="I11" i="1"/>
  <c r="K11" i="1" s="1"/>
  <c r="J12" i="1"/>
  <c r="H10" i="1"/>
  <c r="J10" i="1" s="1"/>
  <c r="J11" i="1"/>
  <c r="J2" i="1"/>
  <c r="H4" i="1"/>
  <c r="I4" i="1"/>
  <c r="K4" i="1" s="1"/>
  <c r="H9" i="1"/>
  <c r="J9" i="1" s="1"/>
  <c r="I10" i="1"/>
  <c r="K10" i="1" s="1"/>
  <c r="J4" i="1"/>
  <c r="O4" i="1" l="1"/>
  <c r="K2" i="1"/>
  <c r="N4" i="1"/>
  <c r="O11" i="1" l="1"/>
  <c r="O12" i="1"/>
  <c r="O13" i="1" s="1"/>
  <c r="O8" i="1"/>
  <c r="O9" i="1" s="1"/>
  <c r="N11" i="1"/>
  <c r="N12" i="1"/>
  <c r="N13" i="1" s="1"/>
  <c r="D18" i="1"/>
  <c r="D20" i="1" s="1"/>
  <c r="D31" i="1" s="1"/>
  <c r="C20" i="1"/>
  <c r="C31" i="1" s="1"/>
  <c r="N8" i="1"/>
  <c r="N9" i="1" s="1"/>
  <c r="C27" i="1"/>
  <c r="C28" i="1" s="1"/>
</calcChain>
</file>

<file path=xl/sharedStrings.xml><?xml version="1.0" encoding="utf-8"?>
<sst xmlns="http://schemas.openxmlformats.org/spreadsheetml/2006/main" count="55" uniqueCount="46">
  <si>
    <t>N°</t>
  </si>
  <si>
    <t>Fecha</t>
  </si>
  <si>
    <t>Interés</t>
  </si>
  <si>
    <t>Amort.</t>
  </si>
  <si>
    <t>Flujo</t>
  </si>
  <si>
    <t>Cap. Insol.</t>
  </si>
  <si>
    <t>plazo</t>
  </si>
  <si>
    <t>VP1</t>
  </si>
  <si>
    <t>VP2</t>
  </si>
  <si>
    <t>duration VP1</t>
  </si>
  <si>
    <t>duration VP2</t>
  </si>
  <si>
    <t>tasa val</t>
  </si>
  <si>
    <t>tasa venta</t>
  </si>
  <si>
    <t>tir</t>
  </si>
  <si>
    <t>VP</t>
  </si>
  <si>
    <t>Correr solver para ajustar nominales</t>
  </si>
  <si>
    <t>TERA</t>
  </si>
  <si>
    <t>dias</t>
  </si>
  <si>
    <t>vPar</t>
  </si>
  <si>
    <t>PPVPAR</t>
  </si>
  <si>
    <t>PPVPAR bolsa</t>
  </si>
  <si>
    <t>Nominales</t>
  </si>
  <si>
    <t>VP Nominal</t>
  </si>
  <si>
    <t>durationMac</t>
  </si>
  <si>
    <t>durMod</t>
  </si>
  <si>
    <t>dia</t>
  </si>
  <si>
    <t>t</t>
  </si>
  <si>
    <t>t+1</t>
  </si>
  <si>
    <t>condicion</t>
  </si>
  <si>
    <t>c/ rescate</t>
  </si>
  <si>
    <t>s/ rescate</t>
  </si>
  <si>
    <t>VP base 100</t>
  </si>
  <si>
    <t>Pt</t>
  </si>
  <si>
    <t>Nt</t>
  </si>
  <si>
    <t>Vt</t>
  </si>
  <si>
    <t>Rt (cuotas)</t>
  </si>
  <si>
    <t>-</t>
  </si>
  <si>
    <t>Rt ($)</t>
  </si>
  <si>
    <t>delta bp</t>
  </si>
  <si>
    <t>Perdida nominales extra</t>
  </si>
  <si>
    <t>Perdida VP trading</t>
  </si>
  <si>
    <t>Perdida valor cuota trading</t>
  </si>
  <si>
    <t>durationMod</t>
  </si>
  <si>
    <t>Retorno</t>
  </si>
  <si>
    <t>Retorno duation</t>
  </si>
  <si>
    <t>esto lo hice sin contar el día de devengo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</si>
</sst>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dd/mm/yy"/>
    <numFmt numFmtId="165" formatCode="0.00000%"/>
    <numFmt numFmtId="166" formatCode="0.0000%"/>
    <numFmt numFmtId="167" formatCode="0.000%"/>
    <numFmt numFmtId="168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0" xfId="3" applyFont="1" applyFill="1" applyBorder="1" applyAlignment="1">
      <alignment horizontal="center" vertical="center"/>
    </xf>
    <xf numFmtId="0" fontId="3" fillId="0" borderId="0" xfId="3"/>
    <xf numFmtId="0" fontId="3" fillId="0" borderId="1" xfId="3" applyBorder="1" applyAlignment="1">
      <alignment vertical="center"/>
    </xf>
    <xf numFmtId="164" fontId="3" fillId="0" borderId="1" xfId="3" applyNumberFormat="1" applyBorder="1" applyAlignment="1">
      <alignment vertical="center"/>
    </xf>
    <xf numFmtId="0" fontId="4" fillId="2" borderId="3" xfId="3" applyFont="1" applyFill="1" applyBorder="1" applyAlignment="1">
      <alignment horizontal="center" vertical="center"/>
    </xf>
    <xf numFmtId="10" fontId="3" fillId="0" borderId="0" xfId="4" applyNumberFormat="1" applyFont="1"/>
    <xf numFmtId="14" fontId="3" fillId="0" borderId="0" xfId="3" applyNumberFormat="1"/>
    <xf numFmtId="165" fontId="0" fillId="0" borderId="0" xfId="2" applyNumberFormat="1" applyFont="1"/>
    <xf numFmtId="166" fontId="3" fillId="0" borderId="0" xfId="3" applyNumberFormat="1"/>
    <xf numFmtId="167" fontId="3" fillId="0" borderId="0" xfId="2" applyNumberFormat="1" applyFont="1"/>
    <xf numFmtId="167" fontId="3" fillId="0" borderId="0" xfId="3" applyNumberFormat="1"/>
    <xf numFmtId="168" fontId="3" fillId="0" borderId="0" xfId="1" applyNumberFormat="1" applyFont="1"/>
    <xf numFmtId="168" fontId="3" fillId="3" borderId="0" xfId="1" applyNumberFormat="1" applyFont="1" applyFill="1"/>
    <xf numFmtId="44" fontId="0" fillId="0" borderId="0" xfId="0" applyNumberFormat="1"/>
    <xf numFmtId="2" fontId="3" fillId="0" borderId="0" xfId="3" applyNumberFormat="1"/>
    <xf numFmtId="0" fontId="3" fillId="0" borderId="0" xfId="3" applyFill="1"/>
    <xf numFmtId="2" fontId="0" fillId="0" borderId="0" xfId="0" applyNumberForma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0" fillId="0" borderId="0" xfId="0" applyNumberFormat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1" applyNumberFormat="1" applyFont="1" applyBorder="1" applyAlignment="1">
      <alignment horizontal="right"/>
    </xf>
    <xf numFmtId="44" fontId="0" fillId="0" borderId="6" xfId="1" applyNumberFormat="1" applyFont="1" applyBorder="1" applyAlignment="1">
      <alignment horizontal="right"/>
    </xf>
    <xf numFmtId="168" fontId="0" fillId="0" borderId="8" xfId="1" applyNumberFormat="1" applyFont="1" applyBorder="1" applyAlignment="1">
      <alignment horizontal="right"/>
    </xf>
    <xf numFmtId="1" fontId="0" fillId="0" borderId="0" xfId="0" applyNumberFormat="1"/>
    <xf numFmtId="1" fontId="0" fillId="0" borderId="0" xfId="2" applyNumberFormat="1" applyFont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44" fontId="2" fillId="0" borderId="6" xfId="0" applyNumberFormat="1" applyFont="1" applyBorder="1" applyAlignment="1">
      <alignment horizontal="center"/>
    </xf>
    <xf numFmtId="168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168" fontId="0" fillId="3" borderId="6" xfId="0" applyNumberFormat="1" applyFill="1" applyBorder="1" applyAlignment="1">
      <alignment horizontal="right"/>
    </xf>
    <xf numFmtId="168" fontId="0" fillId="0" borderId="8" xfId="0" applyNumberFormat="1" applyBorder="1" applyAlignment="1">
      <alignment horizontal="right"/>
    </xf>
    <xf numFmtId="44" fontId="0" fillId="0" borderId="0" xfId="2" applyNumberFormat="1" applyFont="1"/>
    <xf numFmtId="0" fontId="0" fillId="0" borderId="0" xfId="0" applyNumberFormat="1"/>
    <xf numFmtId="10" fontId="0" fillId="0" borderId="0" xfId="2" applyNumberFormat="1" applyFont="1"/>
    <xf numFmtId="2" fontId="0" fillId="0" borderId="6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10" fontId="0" fillId="0" borderId="6" xfId="2" applyNumberFormat="1" applyFont="1" applyBorder="1" applyAlignment="1">
      <alignment horizontal="right"/>
    </xf>
    <xf numFmtId="10" fontId="0" fillId="0" borderId="8" xfId="2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right"/>
    </xf>
    <xf numFmtId="10" fontId="0" fillId="0" borderId="10" xfId="2" applyNumberFormat="1" applyFont="1" applyBorder="1" applyAlignment="1">
      <alignment horizontal="right"/>
    </xf>
  </cellXfs>
  <cellStyles count="5">
    <cellStyle name="Moneda" xfId="1" builtinId="4"/>
    <cellStyle name="Normal" xfId="0" builtinId="0"/>
    <cellStyle name="Normal 2" xfId="3" xr:uid="{7E92ABED-D406-415A-AA50-160DB0B94F23}"/>
    <cellStyle name="Porcentaje" xfId="2" builtinId="5"/>
    <cellStyle name="Porcentaje 2" xfId="4" xr:uid="{07E149CA-0E89-4DC8-908F-9E209AC075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833C-A6FE-4FAA-AD94-BD80B1D37B64}">
  <sheetPr codeName="Hoja3"/>
  <dimension ref="A1:R32"/>
  <sheetViews>
    <sheetView tabSelected="1" workbookViewId="0">
      <selection activeCell="G17" sqref="G17"/>
    </sheetView>
  </sheetViews>
  <sheetFormatPr baseColWidth="10" defaultRowHeight="15" x14ac:dyDescent="0.25"/>
  <cols>
    <col min="1" max="1" width="25" bestFit="1" customWidth="1"/>
    <col min="2" max="4" width="14.140625" bestFit="1" customWidth="1"/>
    <col min="6" max="6" width="11.85546875" bestFit="1" customWidth="1"/>
    <col min="7" max="7" width="12.5703125" bestFit="1" customWidth="1"/>
    <col min="10" max="11" width="12.42578125" bestFit="1" customWidth="1"/>
    <col min="14" max="14" width="14.140625" bestFit="1" customWidth="1"/>
    <col min="15" max="16" width="12.5703125" bestFit="1" customWidth="1"/>
    <col min="17" max="17" width="11.85546875" bestFit="1" customWidth="1"/>
    <col min="18" max="18" width="12" bestFit="1" customWidth="1"/>
  </cols>
  <sheetData>
    <row r="1" spans="1:1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/>
      <c r="N1" s="3" t="s">
        <v>11</v>
      </c>
      <c r="O1" s="3" t="s">
        <v>12</v>
      </c>
    </row>
    <row r="2" spans="1:18" ht="15.75" thickBot="1" x14ac:dyDescent="0.3">
      <c r="A2" s="5">
        <v>0</v>
      </c>
      <c r="B2" s="6">
        <v>42430</v>
      </c>
      <c r="C2" s="5">
        <v>0</v>
      </c>
      <c r="D2" s="5">
        <v>0</v>
      </c>
      <c r="E2" s="5">
        <v>0</v>
      </c>
      <c r="F2" s="5">
        <v>100</v>
      </c>
      <c r="G2" s="4" t="e">
        <f>IF(B2&gt;$N$3,(B2-$N$3)/365,NA())</f>
        <v>#N/A</v>
      </c>
      <c r="H2" s="4">
        <f>+IFERROR(E2/(1+$N$2)^G2,0)</f>
        <v>0</v>
      </c>
      <c r="I2" s="4">
        <f>+IFERROR(E2/(1+$O$2)^G2,0)</f>
        <v>0</v>
      </c>
      <c r="J2" s="4">
        <f>+IFERROR(G2*H2,0)</f>
        <v>0</v>
      </c>
      <c r="K2" s="4">
        <f>+IFERROR(G2*I2,0)</f>
        <v>0</v>
      </c>
      <c r="L2" s="4"/>
      <c r="M2" s="7" t="s">
        <v>13</v>
      </c>
      <c r="N2" s="8">
        <v>3.7199999999999997E-2</v>
      </c>
      <c r="O2" s="8">
        <v>3.7199999999999997E-2</v>
      </c>
    </row>
    <row r="3" spans="1:18" ht="15.75" thickBot="1" x14ac:dyDescent="0.3">
      <c r="A3" s="5">
        <v>1</v>
      </c>
      <c r="B3" s="6">
        <v>42614</v>
      </c>
      <c r="C3" s="5">
        <v>2.25</v>
      </c>
      <c r="D3" s="5">
        <v>0</v>
      </c>
      <c r="E3" s="5">
        <v>2.25</v>
      </c>
      <c r="F3" s="5">
        <v>100</v>
      </c>
      <c r="G3" s="4" t="e">
        <f>IF(B3&gt;$N$3,(B3-$N$3)/365,NA())</f>
        <v>#N/A</v>
      </c>
      <c r="H3" s="4">
        <f>+IFERROR(E3/(1+$N$2)^G3,0)</f>
        <v>0</v>
      </c>
      <c r="I3" s="4">
        <f>+IFERROR(E3/(1+$O$2)^G3,0)</f>
        <v>0</v>
      </c>
      <c r="J3" s="4">
        <f t="shared" ref="J3:J12" si="0">+IFERROR(G3*H3,0)</f>
        <v>0</v>
      </c>
      <c r="K3" s="4">
        <f t="shared" ref="K3:K12" si="1">+IFERROR(G3*I3,0)</f>
        <v>0</v>
      </c>
      <c r="L3" s="4"/>
      <c r="M3" s="4" t="s">
        <v>1</v>
      </c>
      <c r="N3" s="9">
        <v>42795</v>
      </c>
      <c r="O3" s="9">
        <v>42795</v>
      </c>
    </row>
    <row r="4" spans="1:18" ht="15.75" thickBot="1" x14ac:dyDescent="0.3">
      <c r="A4" s="5">
        <v>2</v>
      </c>
      <c r="B4" s="6">
        <v>42795</v>
      </c>
      <c r="C4" s="5">
        <v>2.25</v>
      </c>
      <c r="D4" s="5">
        <v>0</v>
      </c>
      <c r="E4" s="5">
        <v>2.25</v>
      </c>
      <c r="F4" s="5">
        <v>100</v>
      </c>
      <c r="G4" s="4" t="e">
        <f>IF(B4&gt;$N$3,(B4-$N$3)/365,NA())</f>
        <v>#N/A</v>
      </c>
      <c r="H4" s="4">
        <f>+IFERROR(E4/(1+$N$2)^G4,0)</f>
        <v>0</v>
      </c>
      <c r="I4" s="4">
        <f>+IFERROR(E4/(1+$O$2)^G4,0)</f>
        <v>0</v>
      </c>
      <c r="J4" s="4">
        <f t="shared" si="0"/>
        <v>0</v>
      </c>
      <c r="K4" s="4">
        <f t="shared" si="1"/>
        <v>0</v>
      </c>
      <c r="L4" s="4"/>
      <c r="M4" s="4" t="s">
        <v>14</v>
      </c>
      <c r="N4" s="4">
        <f>+SUM($H$2:$H$12)</f>
        <v>102.99112711033396</v>
      </c>
      <c r="O4" s="4">
        <f>+SUM($I$2:$I$12)</f>
        <v>102.99112711033396</v>
      </c>
      <c r="Q4" t="s">
        <v>15</v>
      </c>
      <c r="R4" s="10"/>
    </row>
    <row r="5" spans="1:18" ht="15.75" thickBot="1" x14ac:dyDescent="0.3">
      <c r="A5" s="5">
        <v>3</v>
      </c>
      <c r="B5" s="6">
        <v>42979</v>
      </c>
      <c r="C5" s="5">
        <v>2.25</v>
      </c>
      <c r="D5" s="5">
        <v>0</v>
      </c>
      <c r="E5" s="5">
        <v>2.25</v>
      </c>
      <c r="F5" s="5">
        <v>100</v>
      </c>
      <c r="G5" s="4">
        <f>IF(B5&gt;$N$3,(B5-$N$3)/365,NA())</f>
        <v>0.50410958904109593</v>
      </c>
      <c r="H5" s="4">
        <f>+IFERROR(E5/(1+$N$2)^G5,0)</f>
        <v>2.2089509665392981</v>
      </c>
      <c r="I5" s="4">
        <f>+IFERROR(E5/(1+$O$2)^G5,0)</f>
        <v>2.2089509665392981</v>
      </c>
      <c r="J5" s="4">
        <f t="shared" si="0"/>
        <v>1.1135533639540571</v>
      </c>
      <c r="K5" s="4">
        <f t="shared" si="1"/>
        <v>1.1135533639540571</v>
      </c>
      <c r="L5" s="4"/>
      <c r="M5" s="4" t="s">
        <v>16</v>
      </c>
      <c r="N5" s="11">
        <v>4.5477999999999998E-2</v>
      </c>
      <c r="O5" s="11">
        <v>4.5477999999999998E-2</v>
      </c>
    </row>
    <row r="6" spans="1:18" ht="15.75" thickBot="1" x14ac:dyDescent="0.3">
      <c r="A6" s="5">
        <v>4</v>
      </c>
      <c r="B6" s="6">
        <v>43160</v>
      </c>
      <c r="C6" s="5">
        <v>2.25</v>
      </c>
      <c r="D6" s="5">
        <v>0</v>
      </c>
      <c r="E6" s="5">
        <v>2.25</v>
      </c>
      <c r="F6" s="5">
        <v>100</v>
      </c>
      <c r="G6" s="4">
        <f>IF(B6&gt;$N$3,(B6-$N$3)/365,NA())</f>
        <v>1</v>
      </c>
      <c r="H6" s="4">
        <f>+IFERROR(E6/(1+$N$2)^G6,0)</f>
        <v>2.1693019668337836</v>
      </c>
      <c r="I6" s="4">
        <f>+IFERROR(E6/(1+$O$2)^G6,0)</f>
        <v>2.1693019668337836</v>
      </c>
      <c r="J6" s="4">
        <f t="shared" si="0"/>
        <v>2.1693019668337836</v>
      </c>
      <c r="K6" s="4">
        <f t="shared" si="1"/>
        <v>2.1693019668337836</v>
      </c>
      <c r="L6" s="4"/>
      <c r="M6" s="4" t="s">
        <v>17</v>
      </c>
      <c r="N6" s="4">
        <f>+(N3-B4)/365</f>
        <v>0</v>
      </c>
      <c r="O6" s="4">
        <f>+(O3-B4)/365</f>
        <v>0</v>
      </c>
    </row>
    <row r="7" spans="1:18" ht="15.75" thickBot="1" x14ac:dyDescent="0.3">
      <c r="A7" s="5">
        <v>5</v>
      </c>
      <c r="B7" s="6">
        <v>43344</v>
      </c>
      <c r="C7" s="5">
        <v>2.25</v>
      </c>
      <c r="D7" s="5">
        <v>0</v>
      </c>
      <c r="E7" s="5">
        <v>2.25</v>
      </c>
      <c r="F7" s="5">
        <v>100</v>
      </c>
      <c r="G7" s="4">
        <f>IF(B7&gt;$N$3,(B7-$N$3)/365,NA())</f>
        <v>1.5041095890410958</v>
      </c>
      <c r="H7" s="4">
        <f>+IFERROR(E7/(1+$N$2)^G7,0)</f>
        <v>2.1297251894902609</v>
      </c>
      <c r="I7" s="4">
        <f>+IFERROR(E7/(1+$O$2)^G7,0)</f>
        <v>2.1297251894902609</v>
      </c>
      <c r="J7" s="4">
        <f t="shared" si="0"/>
        <v>3.2033400795346663</v>
      </c>
      <c r="K7" s="4">
        <f t="shared" si="1"/>
        <v>3.2033400795346663</v>
      </c>
      <c r="L7" s="4"/>
      <c r="M7" s="4" t="s">
        <v>18</v>
      </c>
      <c r="N7" s="4">
        <f>100*(1+N5)^N6</f>
        <v>100</v>
      </c>
      <c r="O7" s="4">
        <f>100*(1+O5)^O6</f>
        <v>100</v>
      </c>
    </row>
    <row r="8" spans="1:18" ht="15.75" thickBot="1" x14ac:dyDescent="0.3">
      <c r="A8" s="5">
        <v>6</v>
      </c>
      <c r="B8" s="6">
        <v>43525</v>
      </c>
      <c r="C8" s="5">
        <v>2.25</v>
      </c>
      <c r="D8" s="5">
        <v>0</v>
      </c>
      <c r="E8" s="5">
        <v>2.25</v>
      </c>
      <c r="F8" s="5">
        <v>100</v>
      </c>
      <c r="G8" s="4">
        <f>IF(B8&gt;$N$3,(B8-$N$3)/365,NA())</f>
        <v>2</v>
      </c>
      <c r="H8" s="4">
        <f>+IFERROR(E8/(1+$N$2)^G8,0)</f>
        <v>2.0914982325817428</v>
      </c>
      <c r="I8" s="4">
        <f>+IFERROR(E8/(1+$O$2)^G8,0)</f>
        <v>2.0914982325817428</v>
      </c>
      <c r="J8" s="4">
        <f t="shared" si="0"/>
        <v>4.1829964651634857</v>
      </c>
      <c r="K8" s="4">
        <f t="shared" si="1"/>
        <v>4.1829964651634857</v>
      </c>
      <c r="L8" s="4"/>
      <c r="M8" s="4" t="s">
        <v>19</v>
      </c>
      <c r="N8" s="12">
        <f>+N4/N7</f>
        <v>1.0299112711033396</v>
      </c>
      <c r="O8" s="12">
        <f>+O4/O7</f>
        <v>1.0299112711033396</v>
      </c>
    </row>
    <row r="9" spans="1:18" ht="15.75" thickBot="1" x14ac:dyDescent="0.3">
      <c r="A9" s="5">
        <v>7</v>
      </c>
      <c r="B9" s="6">
        <v>43709</v>
      </c>
      <c r="C9" s="5">
        <v>2.25</v>
      </c>
      <c r="D9" s="5">
        <v>0</v>
      </c>
      <c r="E9" s="5">
        <v>2.25</v>
      </c>
      <c r="F9" s="5">
        <v>100</v>
      </c>
      <c r="G9" s="4">
        <f>IF(B9&gt;$N$3,(B9-$N$3)/365,NA())</f>
        <v>2.504109589041096</v>
      </c>
      <c r="H9" s="4">
        <f>+IFERROR(E9/(1+$N$2)^G9,0)</f>
        <v>2.0533409077229665</v>
      </c>
      <c r="I9" s="4">
        <f>+IFERROR(E9/(1+$O$2)^G9,0)</f>
        <v>2.0533409077229665</v>
      </c>
      <c r="J9" s="4">
        <f t="shared" si="0"/>
        <v>5.1417906565994285</v>
      </c>
      <c r="K9" s="4">
        <f t="shared" si="1"/>
        <v>5.1417906565994285</v>
      </c>
      <c r="L9" s="4"/>
      <c r="M9" s="4" t="s">
        <v>20</v>
      </c>
      <c r="N9" s="13">
        <f>+ROUND(N8,4)</f>
        <v>1.0299</v>
      </c>
      <c r="O9" s="13">
        <f>+ROUND(O8,4)</f>
        <v>1.0299</v>
      </c>
    </row>
    <row r="10" spans="1:18" ht="15.75" thickBot="1" x14ac:dyDescent="0.3">
      <c r="A10" s="5">
        <v>8</v>
      </c>
      <c r="B10" s="6">
        <v>43891</v>
      </c>
      <c r="C10" s="5">
        <v>2.25</v>
      </c>
      <c r="D10" s="5">
        <v>0</v>
      </c>
      <c r="E10" s="5">
        <v>2.25</v>
      </c>
      <c r="F10" s="5">
        <v>100</v>
      </c>
      <c r="G10" s="4">
        <f>IF(B10&gt;$N$3,(B10-$N$3)/365,NA())</f>
        <v>3.0027397260273974</v>
      </c>
      <c r="H10" s="4">
        <f>+IFERROR(E10/(1+$N$2)^G10,0)</f>
        <v>2.0162832156456072</v>
      </c>
      <c r="I10" s="4">
        <f>+IFERROR(E10/(1+$O$2)^G10,0)</f>
        <v>2.0162832156456072</v>
      </c>
      <c r="J10" s="4">
        <f t="shared" si="0"/>
        <v>6.0543737105413307</v>
      </c>
      <c r="K10" s="4">
        <f t="shared" si="1"/>
        <v>6.0543737105413307</v>
      </c>
      <c r="L10" s="4"/>
      <c r="M10" s="4" t="s">
        <v>21</v>
      </c>
      <c r="N10" s="14">
        <f>+B25-O10</f>
        <v>799856.53431907285</v>
      </c>
      <c r="O10" s="15">
        <v>200143.46568092715</v>
      </c>
      <c r="P10" s="16"/>
    </row>
    <row r="11" spans="1:18" ht="15.75" thickBot="1" x14ac:dyDescent="0.3">
      <c r="A11" s="5">
        <v>9</v>
      </c>
      <c r="B11" s="6">
        <v>44075</v>
      </c>
      <c r="C11" s="5">
        <v>2.25</v>
      </c>
      <c r="D11" s="5">
        <v>0</v>
      </c>
      <c r="E11" s="5">
        <v>2.25</v>
      </c>
      <c r="F11" s="5">
        <v>100</v>
      </c>
      <c r="G11" s="4">
        <f>IF(B11&gt;$N$3,(B11-$N$3)/365,NA())</f>
        <v>3.506849315068493</v>
      </c>
      <c r="H11" s="4">
        <f>+IFERROR(E11/(1+$N$2)^G11,0)</f>
        <v>1.9794981146743684</v>
      </c>
      <c r="I11" s="4">
        <f>+IFERROR(E11/(1+$O$2)^G11,0)</f>
        <v>1.9794981146743684</v>
      </c>
      <c r="J11" s="4">
        <f t="shared" si="0"/>
        <v>6.9418016076251821</v>
      </c>
      <c r="K11" s="4">
        <f t="shared" si="1"/>
        <v>6.9418016076251821</v>
      </c>
      <c r="L11" s="4"/>
      <c r="M11" s="4" t="s">
        <v>22</v>
      </c>
      <c r="N11" s="14">
        <f>+N10*N4/100</f>
        <v>823781.2599608684</v>
      </c>
      <c r="O11" s="14">
        <f>+O4/100*O10</f>
        <v>206130.01114247131</v>
      </c>
    </row>
    <row r="12" spans="1:18" ht="15.75" thickBot="1" x14ac:dyDescent="0.3">
      <c r="A12" s="5">
        <v>10</v>
      </c>
      <c r="B12" s="6">
        <v>44256</v>
      </c>
      <c r="C12" s="5">
        <v>2.25</v>
      </c>
      <c r="D12" s="5">
        <v>100</v>
      </c>
      <c r="E12" s="5">
        <v>102.25</v>
      </c>
      <c r="F12" s="5">
        <v>0</v>
      </c>
      <c r="G12" s="4">
        <f>IF(B12&gt;$N$3,(B12-$N$3)/365,NA())</f>
        <v>4.0027397260273974</v>
      </c>
      <c r="H12" s="4">
        <f>+IFERROR(E12/(1+$N$2)^G12,0)</f>
        <v>88.342528516845931</v>
      </c>
      <c r="I12" s="4">
        <f>+IFERROR(E12/(1+$O$2)^G12,0)</f>
        <v>88.342528516845931</v>
      </c>
      <c r="J12" s="4">
        <f t="shared" si="0"/>
        <v>353.61214839208742</v>
      </c>
      <c r="K12" s="4">
        <f t="shared" si="1"/>
        <v>353.61214839208742</v>
      </c>
      <c r="L12" s="4"/>
      <c r="M12" s="4" t="s">
        <v>23</v>
      </c>
      <c r="N12" s="17">
        <f>+SUM(J2:J12)/N4</f>
        <v>3.7131286643038206</v>
      </c>
      <c r="O12" s="17">
        <f>+SUM(K2:K12)/O4</f>
        <v>3.7131286643038206</v>
      </c>
    </row>
    <row r="13" spans="1:18" x14ac:dyDescent="0.25">
      <c r="M13" s="18" t="s">
        <v>24</v>
      </c>
      <c r="N13" s="19">
        <f>+N12/(1+N2)</f>
        <v>3.5799543620360788</v>
      </c>
      <c r="O13" s="19">
        <f>+O12/(1+O2)</f>
        <v>3.5799543620360788</v>
      </c>
    </row>
    <row r="15" spans="1:18" x14ac:dyDescent="0.25">
      <c r="A15" s="20" t="s">
        <v>25</v>
      </c>
      <c r="B15" s="21" t="s">
        <v>26</v>
      </c>
      <c r="C15" s="22" t="s">
        <v>27</v>
      </c>
      <c r="D15" s="22"/>
      <c r="F15" t="s">
        <v>45</v>
      </c>
      <c r="H15" s="23"/>
    </row>
    <row r="16" spans="1:18" x14ac:dyDescent="0.25">
      <c r="A16" s="24" t="s">
        <v>28</v>
      </c>
      <c r="B16" s="25"/>
      <c r="C16" s="25" t="s">
        <v>29</v>
      </c>
      <c r="D16" s="26" t="s">
        <v>30</v>
      </c>
    </row>
    <row r="17" spans="1:8" x14ac:dyDescent="0.25">
      <c r="A17" s="24" t="s">
        <v>31</v>
      </c>
      <c r="B17" s="27">
        <f>+B18/B25*100</f>
        <v>103.06490258009823</v>
      </c>
      <c r="C17" s="28"/>
      <c r="D17" s="26"/>
    </row>
    <row r="18" spans="1:8" x14ac:dyDescent="0.25">
      <c r="A18" s="24" t="s">
        <v>32</v>
      </c>
      <c r="B18" s="29">
        <v>1030649.0258009824</v>
      </c>
      <c r="C18" s="30">
        <f>+N4/100*C25</f>
        <v>823781.25996086828</v>
      </c>
      <c r="D18" s="31">
        <f>+N4/100*D25</f>
        <v>1029911.2711033396</v>
      </c>
      <c r="F18" s="32"/>
      <c r="G18" s="32"/>
      <c r="H18" s="33"/>
    </row>
    <row r="19" spans="1:8" x14ac:dyDescent="0.25">
      <c r="A19" s="24" t="s">
        <v>33</v>
      </c>
      <c r="B19" s="34">
        <v>100</v>
      </c>
      <c r="C19" s="34">
        <f>+B19-B21</f>
        <v>80</v>
      </c>
      <c r="D19" s="35">
        <v>100</v>
      </c>
    </row>
    <row r="20" spans="1:8" x14ac:dyDescent="0.25">
      <c r="A20" s="24" t="s">
        <v>34</v>
      </c>
      <c r="B20" s="29">
        <f>+B18/B19</f>
        <v>10306.490258009824</v>
      </c>
      <c r="C20" s="29">
        <f>+C18/C19</f>
        <v>10297.265749510854</v>
      </c>
      <c r="D20" s="31">
        <f>+D18/D19</f>
        <v>10299.112711033396</v>
      </c>
    </row>
    <row r="21" spans="1:8" x14ac:dyDescent="0.25">
      <c r="A21" s="24" t="s">
        <v>35</v>
      </c>
      <c r="B21" s="34">
        <v>20</v>
      </c>
      <c r="C21" s="34" t="s">
        <v>36</v>
      </c>
      <c r="D21" s="35" t="s">
        <v>36</v>
      </c>
    </row>
    <row r="22" spans="1:8" x14ac:dyDescent="0.25">
      <c r="A22" s="36" t="s">
        <v>37</v>
      </c>
      <c r="B22" s="37">
        <f>+B21*B20</f>
        <v>206129.8051601965</v>
      </c>
      <c r="C22" s="34" t="s">
        <v>36</v>
      </c>
      <c r="D22" s="35" t="s">
        <v>36</v>
      </c>
    </row>
    <row r="23" spans="1:8" x14ac:dyDescent="0.25">
      <c r="A23" s="24" t="s">
        <v>13</v>
      </c>
      <c r="B23" s="38">
        <v>3.6999999999999998E-2</v>
      </c>
      <c r="C23" s="38">
        <f>+O2</f>
        <v>3.7199999999999997E-2</v>
      </c>
      <c r="D23" s="39">
        <f>+N2</f>
        <v>3.7199999999999997E-2</v>
      </c>
    </row>
    <row r="24" spans="1:8" x14ac:dyDescent="0.25">
      <c r="A24" s="24" t="s">
        <v>38</v>
      </c>
      <c r="B24" s="34" t="s">
        <v>36</v>
      </c>
      <c r="C24" s="38">
        <f>+C23-B23</f>
        <v>1.9999999999999879E-4</v>
      </c>
      <c r="D24" s="39">
        <f>+D23-B23</f>
        <v>1.9999999999999879E-4</v>
      </c>
    </row>
    <row r="25" spans="1:8" x14ac:dyDescent="0.25">
      <c r="A25" s="24" t="s">
        <v>21</v>
      </c>
      <c r="B25" s="40">
        <v>1000000</v>
      </c>
      <c r="C25" s="37">
        <f>+B25-O10</f>
        <v>799856.53431907285</v>
      </c>
      <c r="D25" s="41">
        <f>+B25</f>
        <v>1000000</v>
      </c>
    </row>
    <row r="26" spans="1:8" x14ac:dyDescent="0.25">
      <c r="A26" s="24" t="s">
        <v>39</v>
      </c>
      <c r="B26" s="34"/>
      <c r="C26" s="37">
        <f>+B25-C25-B25/B19*B21</f>
        <v>143.46568092715461</v>
      </c>
      <c r="D26" s="41"/>
      <c r="G26" s="42"/>
      <c r="H26" s="43"/>
    </row>
    <row r="27" spans="1:8" x14ac:dyDescent="0.25">
      <c r="A27" s="24" t="s">
        <v>40</v>
      </c>
      <c r="B27" s="34"/>
      <c r="C27" s="37">
        <f>+C26*N4/100</f>
        <v>147.75692180339195</v>
      </c>
      <c r="D27" s="41"/>
      <c r="G27" s="42"/>
      <c r="H27" s="43"/>
    </row>
    <row r="28" spans="1:8" x14ac:dyDescent="0.25">
      <c r="A28" s="24" t="s">
        <v>41</v>
      </c>
      <c r="B28" s="34"/>
      <c r="C28" s="37">
        <f>+C27/C19</f>
        <v>1.8469615225423994</v>
      </c>
      <c r="D28" s="41"/>
      <c r="F28" s="44"/>
      <c r="G28" s="44"/>
      <c r="H28" s="43"/>
    </row>
    <row r="29" spans="1:8" x14ac:dyDescent="0.25">
      <c r="A29" s="24" t="s">
        <v>23</v>
      </c>
      <c r="B29" s="45">
        <v>3.7132536401108038</v>
      </c>
      <c r="C29" s="34"/>
      <c r="D29" s="46"/>
    </row>
    <row r="30" spans="1:8" x14ac:dyDescent="0.25">
      <c r="A30" s="24" t="s">
        <v>42</v>
      </c>
      <c r="B30" s="45">
        <v>3.5807653231541021</v>
      </c>
      <c r="C30" s="34"/>
      <c r="D30" s="46"/>
    </row>
    <row r="31" spans="1:8" x14ac:dyDescent="0.25">
      <c r="A31" s="24" t="s">
        <v>43</v>
      </c>
      <c r="B31" s="34" t="s">
        <v>36</v>
      </c>
      <c r="C31" s="47">
        <f>+C20/$B20-1</f>
        <v>-8.950193778916038E-4</v>
      </c>
      <c r="D31" s="48">
        <f>+D20/$B20-1</f>
        <v>-7.1581564545641907E-4</v>
      </c>
      <c r="E31" s="23"/>
    </row>
    <row r="32" spans="1:8" x14ac:dyDescent="0.25">
      <c r="A32" s="49" t="s">
        <v>44</v>
      </c>
      <c r="B32" s="50"/>
      <c r="C32" s="50"/>
      <c r="D32" s="51">
        <f>-B30*D24</f>
        <v>-7.1615306463081608E-4</v>
      </c>
    </row>
  </sheetData>
  <mergeCells count="1">
    <mergeCell ref="C15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TD BTP0450321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2017-11-28T20:12:42Z</dcterms:created>
  <dcterms:modified xsi:type="dcterms:W3CDTF">2017-11-28T21:46:02Z</dcterms:modified>
</cp:coreProperties>
</file>