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Credicorp\Argentina\"/>
    </mc:Choice>
  </mc:AlternateContent>
  <bookViews>
    <workbookView xWindow="0" yWindow="0" windowWidth="27660" windowHeight="113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F23" i="4"/>
  <c r="F22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F24" i="4"/>
  <c r="F25" i="4"/>
  <c r="F26" i="4"/>
  <c r="F27" i="4"/>
  <c r="F28" i="4"/>
  <c r="F21" i="4"/>
  <c r="G21" i="4"/>
  <c r="D29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H21" i="4"/>
  <c r="H29" i="4"/>
  <c r="G29" i="4"/>
  <c r="P8" i="4"/>
  <c r="O8" i="4"/>
  <c r="M25" i="4"/>
  <c r="M27" i="4"/>
  <c r="N27" i="4"/>
  <c r="E9" i="4"/>
  <c r="F9" i="4"/>
  <c r="G9" i="4"/>
  <c r="F13" i="4"/>
  <c r="G13" i="4"/>
  <c r="F14" i="4"/>
  <c r="G14" i="4"/>
  <c r="F15" i="4"/>
  <c r="G15" i="4"/>
  <c r="E10" i="4"/>
  <c r="F10" i="4"/>
  <c r="G10" i="4"/>
  <c r="E11" i="4"/>
  <c r="F11" i="4"/>
  <c r="G11" i="4"/>
  <c r="E12" i="4"/>
  <c r="F12" i="4"/>
  <c r="G12" i="4"/>
  <c r="E13" i="4"/>
  <c r="E14" i="4"/>
  <c r="E15" i="4"/>
  <c r="E8" i="4"/>
  <c r="F8" i="4"/>
  <c r="E16" i="4"/>
  <c r="D16" i="4"/>
  <c r="C16" i="4"/>
  <c r="M26" i="4"/>
  <c r="G8" i="4"/>
  <c r="G16" i="4"/>
  <c r="M30" i="4"/>
  <c r="M31" i="4"/>
  <c r="F16" i="4"/>
  <c r="M28" i="4"/>
  <c r="M29" i="4"/>
  <c r="N26" i="4"/>
  <c r="M32" i="4"/>
  <c r="M33" i="4"/>
  <c r="N33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<sst xmlns="http://schemas.openxmlformats.org/spreadsheetml/2006/main" count="82" uniqueCount="68">
  <si>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</si>
  <si>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</si>
  <si>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</si>
  <si>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</si>
  <si>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</si>
  <si>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</si>
  <si>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</si>
  <si>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</si>
  <si>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</si>
  <si>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</si>
  <si>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</si>
  <si>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</si>
  <si>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</si>
  <si>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</si>
  <si>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</si>
  <si>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</si>
  <si>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</si>
  <si>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</si>
  <si>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</si>
  <si>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</si>
  <si>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</si>
  <si>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</si>
  <si>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</si>
  <si>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</si>
  <si>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</si>
  <si>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</si>
  <si>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</si>
  <si>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</si>
  <si>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</si>
  <si>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</si>
  <si>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</si>
  <si>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</si>
  <si>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</si>
  <si>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</si>
  <si>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</si>
  <si>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</si>
  <si>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</si>
  <si>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</si>
  <si>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</si>
  <si>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</si>
  <si>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</si>
  <si>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</si>
  <si>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</si>
  <si>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</si>
  <si>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</si>
  <si>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</si>
  <si>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</si>
  <si>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</si>
  <si>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</si>
  <si>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</si>
  <si>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</si>
  <si>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</si>
  <si>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</si>
  <si>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</si>
  <si>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</si>
  <si>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</si>
  <si>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</si>
  <si>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</si>
  <si>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</si>
  <si>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</si>
  <si>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</si>
  <si>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</si>
  <si>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</si>
  <si>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</si>
  <si>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</si>
  <si>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</si>
  <si>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</si>
  <si>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faltan 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</si>
</sst>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6" fontId="0" fillId="2" borderId="0" xfId="0" applyNumberFormat="1" applyFill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8" fontId="0" fillId="0" borderId="0" xfId="0" applyNumberFormat="1"/>
    <xf numFmtId="171" fontId="0" fillId="0" borderId="0" xfId="0" applyNumberFormat="1"/>
    <xf numFmtId="22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4:Q33"/>
  <sheetViews>
    <sheetView showGridLines="0" tabSelected="1" workbookViewId="0">
      <selection activeCell="M20" sqref="M20"/>
    </sheetView>
  </sheetViews>
  <sheetFormatPr baseColWidth="10" defaultRowHeight="14.25" x14ac:dyDescent="0.2"/>
  <cols>
    <col min="2" max="2" width="12.75" customWidth="1"/>
    <col min="3" max="3" width="16.125" customWidth="1"/>
    <col min="4" max="4" width="12.625" bestFit="1" customWidth="1"/>
    <col min="5" max="5" width="8.375" bestFit="1" customWidth="1"/>
    <col min="6" max="6" width="10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6" width="14.625" bestFit="1" customWidth="1"/>
  </cols>
  <sheetData>
    <row r="4" spans="2:16" x14ac:dyDescent="0.2">
      <c r="N4" t="s">
        <v>67</v>
      </c>
    </row>
    <row r="6" spans="2:16" ht="15" x14ac:dyDescent="0.25">
      <c r="B6" s="52" t="s">
        <v>32</v>
      </c>
      <c r="C6" s="52"/>
      <c r="D6" s="52"/>
      <c r="E6" s="52"/>
      <c r="F6" s="52"/>
      <c r="G6" s="52"/>
      <c r="J6" s="53" t="s">
        <v>53</v>
      </c>
      <c r="K6" s="53"/>
      <c r="L6" s="53"/>
      <c r="M6" s="53"/>
      <c r="N6" s="53"/>
      <c r="O6" s="53"/>
      <c r="P6" s="53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2500000</v>
      </c>
      <c r="D8" s="10">
        <v>18.596</v>
      </c>
      <c r="E8" s="1">
        <f t="shared" ref="E8:E15" si="0">IF(AND(C8&gt;0,D8&gt;0),$M$20,"")</f>
        <v>18.55</v>
      </c>
      <c r="F8" s="5">
        <f>+IF(D8&gt;0,D8/E8-1,"")</f>
        <v>2.4797843665766983E-3</v>
      </c>
      <c r="G8" s="2">
        <f>+IFERROR(F8*C8,)</f>
        <v>6199.4609164417461</v>
      </c>
      <c r="J8" s="1">
        <v>1</v>
      </c>
      <c r="K8" t="s">
        <v>31</v>
      </c>
      <c r="L8" s="21">
        <v>36709636.67102357</v>
      </c>
      <c r="M8" s="7">
        <v>98.841948000000002</v>
      </c>
      <c r="N8" s="30">
        <v>98.969846000000004</v>
      </c>
      <c r="O8" s="4">
        <f>+IF(AND(L8&gt;0,M8&gt;0,N8&gt;0),N8/M8-1,"")</f>
        <v>1.2939647850729319E-3</v>
      </c>
      <c r="P8" s="6">
        <f>+IF(L8&gt;0,L8/SUM($L$8:$L$16),"")</f>
        <v>1</v>
      </c>
    </row>
    <row r="9" spans="2:16" x14ac:dyDescent="0.2">
      <c r="B9" s="1">
        <v>2</v>
      </c>
      <c r="C9" s="9">
        <f>+C8</f>
        <v>2500000</v>
      </c>
      <c r="D9" s="10">
        <v>18.567499999999999</v>
      </c>
      <c r="E9" s="1">
        <f t="shared" si="0"/>
        <v>18.55</v>
      </c>
      <c r="F9" s="5">
        <f t="shared" ref="F9:F15" si="1">+IF(D9&gt;0,D9/E9-1,"")</f>
        <v>9.433962264149276E-4</v>
      </c>
      <c r="G9" s="2">
        <f t="shared" ref="G9:G15" si="2">+IFERROR(F9*C9,)</f>
        <v>2358.4905660373188</v>
      </c>
      <c r="J9" s="1">
        <v>2</v>
      </c>
      <c r="K9" t="s">
        <v>66</v>
      </c>
      <c r="L9" s="21">
        <v>0</v>
      </c>
      <c r="M9" s="7"/>
      <c r="N9" s="7">
        <v>96.458549000000005</v>
      </c>
      <c r="O9" s="6" t="str">
        <f t="shared" ref="O9:O16" si="3">+IF(AND(L9&gt;0,M9&gt;0,N9&gt;0),N9/M9-1,"")</f>
        <v/>
      </c>
      <c r="P9" s="6" t="str">
        <f t="shared" ref="P9:P16" si="4">+IF(L9&gt;0,L9/SUM($L$8:$L$16),"")</f>
        <v/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5000000</v>
      </c>
      <c r="D16" s="13">
        <f>+SUMPRODUCT($C$8:$C$15,$D$8:$D$15)/SUM(C8:C15)</f>
        <v>18.58175</v>
      </c>
      <c r="E16" s="11">
        <f>+$M$20</f>
        <v>18.55</v>
      </c>
      <c r="F16" s="24">
        <f>+SUMPRODUCT($C$8:$C$15,$F$8:$F$15)/SUMPRODUCT($C$8:$C$15)</f>
        <v>1.7115902964958127E-3</v>
      </c>
      <c r="G16" s="12">
        <f>+SUM(G8:G15)</f>
        <v>8557.951482479064</v>
      </c>
      <c r="J16" s="1">
        <v>9</v>
      </c>
      <c r="L16" s="21"/>
      <c r="M16" s="7"/>
      <c r="N16" s="7"/>
      <c r="O16" s="6" t="str">
        <f t="shared" si="3"/>
        <v/>
      </c>
      <c r="P16" s="6" t="str">
        <f t="shared" si="4"/>
        <v/>
      </c>
    </row>
    <row r="17" spans="2:17" x14ac:dyDescent="0.2">
      <c r="B17" s="18"/>
      <c r="C17" s="19"/>
      <c r="D17" s="20"/>
      <c r="E17" s="18"/>
      <c r="F17" s="18"/>
      <c r="G17" s="19"/>
    </row>
    <row r="19" spans="2:17" ht="15" x14ac:dyDescent="0.25">
      <c r="B19" s="52" t="s">
        <v>35</v>
      </c>
      <c r="C19" s="52"/>
      <c r="D19" s="52"/>
      <c r="E19" s="52"/>
      <c r="F19" s="52"/>
      <c r="G19" s="52"/>
      <c r="H19" s="52"/>
      <c r="L19" s="52" t="s">
        <v>44</v>
      </c>
      <c r="M19" s="52"/>
    </row>
    <row r="20" spans="2:17" x14ac:dyDescent="0.2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7">
        <v>18.55</v>
      </c>
    </row>
    <row r="21" spans="2:17" x14ac:dyDescent="0.2">
      <c r="B21" s="1">
        <v>1</v>
      </c>
      <c r="C21" s="7" t="s">
        <v>66</v>
      </c>
      <c r="D21" s="21">
        <v>5000000</v>
      </c>
      <c r="E21" s="7">
        <v>96.420599999999993</v>
      </c>
      <c r="F21" s="17">
        <f>+IF(C21="","",VLOOKUP(C21,$K$8:$N$16,4,FALSE))</f>
        <v>96.458549000000005</v>
      </c>
      <c r="G21" s="38">
        <f>+IF(AND(F21&gt;0,E21&gt;0),F21/E21-1,"")</f>
        <v>3.9357772094361643E-4</v>
      </c>
      <c r="H21" s="3">
        <f>+IFERROR(G21*D21,)</f>
        <v>1967.8886047180822</v>
      </c>
      <c r="L21" s="7" t="s">
        <v>0</v>
      </c>
      <c r="M21" s="7">
        <v>18.7742</v>
      </c>
      <c r="P21" s="49"/>
    </row>
    <row r="22" spans="2:17" x14ac:dyDescent="0.2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</row>
    <row r="23" spans="2:17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</row>
    <row r="24" spans="2:17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56" t="s">
        <v>45</v>
      </c>
      <c r="M24" s="56"/>
      <c r="N24" s="56"/>
    </row>
    <row r="25" spans="2:17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55">
        <f>+SUM($L$8:$L$16)</f>
        <v>36709636.67102357</v>
      </c>
      <c r="N25" s="55"/>
      <c r="Q25" s="50"/>
    </row>
    <row r="26" spans="2:17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1.2086253369272271E-2</v>
      </c>
      <c r="N26" s="19">
        <f>+M26*M25</f>
        <v>443681.96989991952</v>
      </c>
    </row>
    <row r="27" spans="2:17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1.2939647850729319E-3</v>
      </c>
      <c r="N27" s="19">
        <f>+M27*M25</f>
        <v>47500.977125126432</v>
      </c>
    </row>
    <row r="28" spans="2:17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1.3395857340588568E-2</v>
      </c>
      <c r="N28" s="25"/>
    </row>
    <row r="29" spans="2:17" ht="15" x14ac:dyDescent="0.25">
      <c r="B29" s="11" t="s">
        <v>42</v>
      </c>
      <c r="C29" s="14"/>
      <c r="D29" s="12">
        <f>+SUM(D21:D28)</f>
        <v>5000000</v>
      </c>
      <c r="E29" s="13"/>
      <c r="F29" s="11"/>
      <c r="G29" s="24">
        <f>+SUMPRODUCT($D$21:$D$28,$G$21:$G$28)/SUMPRODUCT($D$21:$D$28)</f>
        <v>3.9357772094361643E-4</v>
      </c>
      <c r="H29" s="12">
        <f>+SUM(H21:H28)</f>
        <v>1967.8886047180822</v>
      </c>
      <c r="L29" s="16" t="s">
        <v>47</v>
      </c>
      <c r="M29" s="55">
        <f>+M25*(1+M28)</f>
        <v>37201393.72689344</v>
      </c>
      <c r="N29" s="55"/>
    </row>
    <row r="30" spans="2:17" x14ac:dyDescent="0.2">
      <c r="L30" s="16" t="s">
        <v>48</v>
      </c>
      <c r="M30" s="26">
        <f>+G16+H29</f>
        <v>10525.840087197146</v>
      </c>
      <c r="N30" s="23"/>
    </row>
    <row r="31" spans="2:17" x14ac:dyDescent="0.2">
      <c r="L31" s="16" t="s">
        <v>52</v>
      </c>
      <c r="M31" s="22">
        <f>+M30/M25</f>
        <v>2.8673234174245112E-4</v>
      </c>
      <c r="N31" s="16"/>
    </row>
    <row r="32" spans="2:17" ht="15" x14ac:dyDescent="0.25">
      <c r="L32" s="16" t="s">
        <v>3</v>
      </c>
      <c r="M32" s="54">
        <f>+M25+N26+N27+M30</f>
        <v>37211345.458135813</v>
      </c>
      <c r="N32" s="54"/>
      <c r="O32" s="32"/>
      <c r="P32" s="31"/>
    </row>
    <row r="33" spans="12:16" ht="15" x14ac:dyDescent="0.25">
      <c r="L33" s="29" t="s">
        <v>51</v>
      </c>
      <c r="M33" s="27">
        <f>+M32/M25-1</f>
        <v>1.3666950496087571E-2</v>
      </c>
      <c r="N33" s="28">
        <f>+M32-M25</f>
        <v>501708.78711224347</v>
      </c>
      <c r="P33" s="32"/>
    </row>
  </sheetData>
  <mergeCells count="8">
    <mergeCell ref="B6:G6"/>
    <mergeCell ref="J6:P6"/>
    <mergeCell ref="M32:N32"/>
    <mergeCell ref="M29:N29"/>
    <mergeCell ref="L24:N24"/>
    <mergeCell ref="M25:N25"/>
    <mergeCell ref="B19:H19"/>
    <mergeCell ref="L19:M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3">
        <v>43075</v>
      </c>
      <c r="B2" s="34">
        <v>1000</v>
      </c>
      <c r="C2" t="s">
        <v>56</v>
      </c>
      <c r="E2" s="33">
        <v>43075</v>
      </c>
      <c r="F2" s="34">
        <v>17.286200000000001</v>
      </c>
      <c r="H2" s="36">
        <f>+E2</f>
        <v>43075</v>
      </c>
      <c r="I2" s="1" t="s">
        <v>56</v>
      </c>
      <c r="J2" s="1" t="str">
        <f t="shared" ref="J2:J13" si="0">+VLOOKUP(E2,$A$2:$C$22,3,FALSE)</f>
        <v>-</v>
      </c>
      <c r="K2" s="37">
        <f>+(1+0.4%)^(1/365)-1</f>
        <v>1.0937104383712537E-5</v>
      </c>
      <c r="L2" s="39">
        <v>100</v>
      </c>
      <c r="M2" s="39">
        <v>100</v>
      </c>
      <c r="P2" s="51"/>
    </row>
    <row r="3" spans="1:16" x14ac:dyDescent="0.2">
      <c r="A3" s="33">
        <v>43076</v>
      </c>
      <c r="B3" s="34">
        <v>1002.5027</v>
      </c>
      <c r="C3" s="4">
        <f>+B3/B2-1</f>
        <v>2.5026999999999688E-3</v>
      </c>
      <c r="E3" s="33">
        <v>43076</v>
      </c>
      <c r="F3" s="34">
        <v>17.305800000000001</v>
      </c>
      <c r="H3" s="36">
        <f t="shared" ref="H3:H13" si="1">+E3</f>
        <v>43076</v>
      </c>
      <c r="I3" s="38">
        <f>+F2/F3-1</f>
        <v>-1.1325682719088848E-3</v>
      </c>
      <c r="J3" s="38">
        <f t="shared" si="0"/>
        <v>2.5026999999999688E-3</v>
      </c>
      <c r="K3" s="37">
        <f t="shared" ref="K3:K17" si="2">+(1+0.4%)^(1/365)-1</f>
        <v>1.0937104383712537E-5</v>
      </c>
      <c r="L3" s="39">
        <f>+L2*(1+I3)</f>
        <v>99.886743172809105</v>
      </c>
      <c r="M3" s="39">
        <f>+M2*(1+J3+K3)</f>
        <v>100.25136371043837</v>
      </c>
      <c r="P3" s="51"/>
    </row>
    <row r="4" spans="1:16" x14ac:dyDescent="0.2">
      <c r="A4" s="33">
        <v>43077</v>
      </c>
      <c r="B4" s="34">
        <v>1002.4917</v>
      </c>
      <c r="C4" s="4">
        <f t="shared" ref="C4:C28" si="3">+B4/B3-1</f>
        <v>-1.0972539026599115E-5</v>
      </c>
      <c r="E4" s="33">
        <v>43080</v>
      </c>
      <c r="F4" s="34">
        <v>17.2697</v>
      </c>
      <c r="H4" s="36">
        <f t="shared" si="1"/>
        <v>43080</v>
      </c>
      <c r="I4" s="38">
        <f t="shared" ref="I4:I17" si="4">+F3/F4-1</f>
        <v>2.0903663642102277E-3</v>
      </c>
      <c r="J4" s="38">
        <f t="shared" si="0"/>
        <v>3.3008478959513088E-3</v>
      </c>
      <c r="K4" s="37">
        <f t="shared" si="2"/>
        <v>1.0937104383712537E-5</v>
      </c>
      <c r="L4" s="39">
        <f t="shared" ref="L4:L17" si="5">+L3*(1+I4)</f>
        <v>100.09554306096805</v>
      </c>
      <c r="M4" s="39">
        <f t="shared" ref="M4:M17" si="6">+M3*(1+J4+K4)</f>
        <v>100.58337467303772</v>
      </c>
      <c r="N4" s="4"/>
      <c r="P4" s="51"/>
    </row>
    <row r="5" spans="1:16" x14ac:dyDescent="0.2">
      <c r="A5" s="33">
        <v>43078</v>
      </c>
      <c r="B5" s="34">
        <v>1002.4807</v>
      </c>
      <c r="C5" s="4">
        <f t="shared" si="3"/>
        <v>-1.0972659424623998E-5</v>
      </c>
      <c r="E5" s="33">
        <v>43081</v>
      </c>
      <c r="F5" s="34">
        <v>17.263500000000001</v>
      </c>
      <c r="H5" s="36">
        <f t="shared" si="1"/>
        <v>43081</v>
      </c>
      <c r="I5" s="38">
        <f t="shared" si="4"/>
        <v>3.591392243751379E-4</v>
      </c>
      <c r="J5" s="38">
        <f t="shared" si="0"/>
        <v>9.9912634856957894E-4</v>
      </c>
      <c r="K5" s="37">
        <f t="shared" si="2"/>
        <v>1.0937104383712537E-5</v>
      </c>
      <c r="L5" s="39">
        <f t="shared" si="5"/>
        <v>100.13149129666638</v>
      </c>
      <c r="M5" s="39">
        <f t="shared" si="6"/>
        <v>100.68497026376967</v>
      </c>
      <c r="N5" s="4"/>
      <c r="P5" s="51"/>
    </row>
    <row r="6" spans="1:16" x14ac:dyDescent="0.2">
      <c r="A6" s="33">
        <v>43079</v>
      </c>
      <c r="B6" s="34">
        <v>1002.4697</v>
      </c>
      <c r="C6" s="4">
        <f t="shared" si="3"/>
        <v>-1.0972779825091372E-5</v>
      </c>
      <c r="E6" s="33">
        <v>43082</v>
      </c>
      <c r="F6" s="34">
        <v>17.315000000000001</v>
      </c>
      <c r="H6" s="36">
        <f t="shared" si="1"/>
        <v>43082</v>
      </c>
      <c r="I6" s="38">
        <f t="shared" si="4"/>
        <v>-2.9742997401097648E-3</v>
      </c>
      <c r="J6" s="38">
        <f t="shared" si="0"/>
        <v>-2.4221689745442809E-3</v>
      </c>
      <c r="K6" s="37">
        <f t="shared" si="2"/>
        <v>1.0937104383712537E-5</v>
      </c>
      <c r="L6" s="39">
        <f t="shared" si="5"/>
        <v>99.833670228125911</v>
      </c>
      <c r="M6" s="39">
        <f t="shared" si="6"/>
        <v>100.4421954546235</v>
      </c>
      <c r="N6" s="4"/>
      <c r="P6" s="51"/>
    </row>
    <row r="7" spans="1:16" x14ac:dyDescent="0.2">
      <c r="A7" s="33">
        <v>43080</v>
      </c>
      <c r="B7" s="34">
        <v>1005.7787</v>
      </c>
      <c r="C7" s="4">
        <f t="shared" si="3"/>
        <v>3.3008478959513088E-3</v>
      </c>
      <c r="E7" s="33">
        <v>43083</v>
      </c>
      <c r="F7" s="34">
        <v>17.3567</v>
      </c>
      <c r="H7" s="36">
        <f t="shared" si="1"/>
        <v>43083</v>
      </c>
      <c r="I7" s="38">
        <f t="shared" si="4"/>
        <v>-2.4025304349328813E-3</v>
      </c>
      <c r="J7" s="38">
        <f t="shared" si="0"/>
        <v>-1.4356620483997329E-3</v>
      </c>
      <c r="K7" s="37">
        <f t="shared" si="2"/>
        <v>1.0937104383712537E-5</v>
      </c>
      <c r="L7" s="39">
        <f t="shared" si="5"/>
        <v>99.59381679697178</v>
      </c>
      <c r="M7" s="39">
        <f t="shared" si="6"/>
        <v>100.29909295332757</v>
      </c>
      <c r="N7" s="40"/>
      <c r="P7" s="51"/>
    </row>
    <row r="8" spans="1:16" x14ac:dyDescent="0.2">
      <c r="A8" s="33">
        <v>43081</v>
      </c>
      <c r="B8" s="34">
        <v>1006.7836</v>
      </c>
      <c r="C8" s="4">
        <f t="shared" si="3"/>
        <v>9.9912634856957894E-4</v>
      </c>
      <c r="E8" s="33">
        <v>43084</v>
      </c>
      <c r="F8" s="34">
        <v>17.5517</v>
      </c>
      <c r="H8" s="36">
        <f t="shared" si="1"/>
        <v>43084</v>
      </c>
      <c r="I8" s="38">
        <f t="shared" si="4"/>
        <v>-1.1110034925391865E-2</v>
      </c>
      <c r="J8" s="38">
        <f t="shared" si="0"/>
        <v>-8.3354014959171607E-3</v>
      </c>
      <c r="K8" s="37">
        <f t="shared" si="2"/>
        <v>1.0937104383712537E-5</v>
      </c>
      <c r="L8" s="39">
        <f t="shared" si="5"/>
        <v>98.487326014004339</v>
      </c>
      <c r="M8" s="39">
        <f t="shared" si="6"/>
        <v>99.464156725534494</v>
      </c>
      <c r="N8" s="4"/>
      <c r="P8" s="51"/>
    </row>
    <row r="9" spans="1:16" x14ac:dyDescent="0.2">
      <c r="A9" s="33">
        <v>43082</v>
      </c>
      <c r="B9" s="34">
        <v>1004.345</v>
      </c>
      <c r="C9" s="4">
        <f t="shared" si="3"/>
        <v>-2.4221689745442809E-3</v>
      </c>
      <c r="E9" s="33">
        <v>43087</v>
      </c>
      <c r="F9" s="34">
        <v>17.5642</v>
      </c>
      <c r="H9" s="36">
        <f t="shared" si="1"/>
        <v>43087</v>
      </c>
      <c r="I9" s="38">
        <f t="shared" si="4"/>
        <v>-7.1167488413925728E-4</v>
      </c>
      <c r="J9" s="38">
        <f t="shared" si="0"/>
        <v>9.7695203634073913E-4</v>
      </c>
      <c r="K9" s="37">
        <f t="shared" si="2"/>
        <v>1.0937104383712537E-5</v>
      </c>
      <c r="L9" s="39">
        <f t="shared" si="5"/>
        <v>98.417235057674134</v>
      </c>
      <c r="M9" s="39">
        <f t="shared" si="6"/>
        <v>99.562416285854965</v>
      </c>
      <c r="N9" s="4"/>
      <c r="P9" s="51"/>
    </row>
    <row r="10" spans="1:16" x14ac:dyDescent="0.2">
      <c r="A10" s="33">
        <v>43083</v>
      </c>
      <c r="B10" s="34">
        <v>1002.9031</v>
      </c>
      <c r="C10" s="4">
        <f t="shared" si="3"/>
        <v>-1.4356620483997329E-3</v>
      </c>
      <c r="E10" s="33">
        <v>43088</v>
      </c>
      <c r="F10" s="34">
        <v>17.565799999999999</v>
      </c>
      <c r="H10" s="36">
        <f t="shared" si="1"/>
        <v>43088</v>
      </c>
      <c r="I10" s="38">
        <f t="shared" si="4"/>
        <v>-9.1086087738667665E-5</v>
      </c>
      <c r="J10" s="38">
        <f t="shared" si="0"/>
        <v>-9.4023736774473399E-5</v>
      </c>
      <c r="K10" s="37">
        <f t="shared" si="2"/>
        <v>1.0937104383712537E-5</v>
      </c>
      <c r="L10" s="39">
        <f t="shared" si="5"/>
        <v>98.408270616766671</v>
      </c>
      <c r="M10" s="39">
        <f t="shared" si="6"/>
        <v>99.554143979973091</v>
      </c>
      <c r="N10" s="4"/>
      <c r="P10" s="51"/>
    </row>
    <row r="11" spans="1:16" x14ac:dyDescent="0.2">
      <c r="A11" s="33">
        <v>43084</v>
      </c>
      <c r="B11" s="34">
        <v>994.54349999999999</v>
      </c>
      <c r="C11" s="4">
        <f t="shared" si="3"/>
        <v>-8.3354014959171607E-3</v>
      </c>
      <c r="E11" s="33">
        <v>43089</v>
      </c>
      <c r="F11" s="34">
        <v>17.780799999999999</v>
      </c>
      <c r="H11" s="36">
        <f t="shared" si="1"/>
        <v>43089</v>
      </c>
      <c r="I11" s="38">
        <f t="shared" si="4"/>
        <v>-1.2091694411950016E-2</v>
      </c>
      <c r="J11" s="38">
        <f t="shared" si="0"/>
        <v>-1.1450676547320682E-2</v>
      </c>
      <c r="K11" s="37">
        <f t="shared" si="2"/>
        <v>1.0937104383712537E-5</v>
      </c>
      <c r="L11" s="39">
        <f t="shared" si="5"/>
        <v>97.21834788086025</v>
      </c>
      <c r="M11" s="39">
        <f t="shared" si="6"/>
        <v>98.41527051237756</v>
      </c>
      <c r="N11" s="4"/>
      <c r="P11" s="51"/>
    </row>
    <row r="12" spans="1:16" x14ac:dyDescent="0.2">
      <c r="A12" s="33">
        <v>43085</v>
      </c>
      <c r="B12" s="34">
        <v>994.5326</v>
      </c>
      <c r="C12" s="4">
        <f t="shared" si="3"/>
        <v>-1.0959802160481757E-5</v>
      </c>
      <c r="E12" s="33">
        <v>43090</v>
      </c>
      <c r="F12" s="34">
        <v>17.87</v>
      </c>
      <c r="H12" s="36">
        <f t="shared" si="1"/>
        <v>43090</v>
      </c>
      <c r="I12" s="38">
        <f t="shared" si="4"/>
        <v>-4.9916060436486775E-3</v>
      </c>
      <c r="J12" s="38">
        <f t="shared" si="0"/>
        <v>-3.9236720830868599E-3</v>
      </c>
      <c r="K12" s="37">
        <f t="shared" si="2"/>
        <v>1.0937104383712537E-5</v>
      </c>
      <c r="L12" s="39">
        <f t="shared" si="5"/>
        <v>96.733072188024607</v>
      </c>
      <c r="M12" s="39">
        <f t="shared" si="6"/>
        <v>98.030197641005245</v>
      </c>
      <c r="N12" s="4"/>
      <c r="P12" s="51"/>
    </row>
    <row r="13" spans="1:16" x14ac:dyDescent="0.2">
      <c r="A13" s="33">
        <v>43086</v>
      </c>
      <c r="B13" s="34">
        <v>994.52170000000001</v>
      </c>
      <c r="C13" s="4">
        <f t="shared" si="3"/>
        <v>-1.0959922279063505E-5</v>
      </c>
      <c r="E13" s="33">
        <v>43091</v>
      </c>
      <c r="F13" s="34">
        <v>18.0108</v>
      </c>
      <c r="H13" s="36">
        <f t="shared" si="1"/>
        <v>43091</v>
      </c>
      <c r="I13" s="38">
        <f t="shared" si="4"/>
        <v>-7.817531703200209E-3</v>
      </c>
      <c r="J13" s="38">
        <f t="shared" si="0"/>
        <v>-4.5980128569282908E-3</v>
      </c>
      <c r="K13" s="37">
        <f t="shared" si="2"/>
        <v>1.0937104383712537E-5</v>
      </c>
      <c r="L13" s="39">
        <f t="shared" si="5"/>
        <v>95.97685832944677</v>
      </c>
      <c r="M13" s="39">
        <f t="shared" si="6"/>
        <v>97.580525698389039</v>
      </c>
      <c r="N13" s="4"/>
      <c r="P13" s="51"/>
    </row>
    <row r="14" spans="1:16" x14ac:dyDescent="0.2">
      <c r="A14" s="33">
        <v>43087</v>
      </c>
      <c r="B14" s="34">
        <v>995.49329999999998</v>
      </c>
      <c r="C14" s="4">
        <f t="shared" si="3"/>
        <v>9.7695203634073913E-4</v>
      </c>
      <c r="E14" s="33">
        <v>43095</v>
      </c>
      <c r="F14" s="34">
        <v>18.249500000000001</v>
      </c>
      <c r="H14" s="36">
        <f>+E14</f>
        <v>43095</v>
      </c>
      <c r="I14" s="38">
        <f t="shared" si="4"/>
        <v>-1.3079810405764669E-2</v>
      </c>
      <c r="J14" s="38">
        <f>+VLOOKUP(E14,$A$2:$C$44,3,FALSE)</f>
        <v>-1.1822443988429687E-2</v>
      </c>
      <c r="K14" s="37">
        <f t="shared" si="2"/>
        <v>1.0937104383712537E-5</v>
      </c>
      <c r="L14" s="39">
        <f t="shared" si="5"/>
        <v>94.721499219156669</v>
      </c>
      <c r="M14" s="39">
        <f t="shared" si="6"/>
        <v>96.427952647353692</v>
      </c>
      <c r="N14" s="35"/>
      <c r="P14" s="51"/>
    </row>
    <row r="15" spans="1:16" x14ac:dyDescent="0.2">
      <c r="A15" s="33">
        <v>43088</v>
      </c>
      <c r="B15" s="34">
        <v>995.39970000000005</v>
      </c>
      <c r="C15" s="4">
        <f t="shared" si="3"/>
        <v>-9.4023736774473399E-5</v>
      </c>
      <c r="E15" s="33">
        <v>43096</v>
      </c>
      <c r="F15" s="34">
        <v>18.434999999999999</v>
      </c>
      <c r="H15" s="36">
        <f t="shared" ref="H15:H17" si="7">+E15</f>
        <v>43096</v>
      </c>
      <c r="I15" s="38">
        <f t="shared" si="4"/>
        <v>-1.0062381339842608E-2</v>
      </c>
      <c r="J15" s="38">
        <f t="shared" ref="J15:J17" si="8">+VLOOKUP(E15,$A$2:$C$44,3,FALSE)</f>
        <v>-9.2965433973536404E-3</v>
      </c>
      <c r="K15" s="37">
        <f t="shared" si="2"/>
        <v>1.0937104383712537E-5</v>
      </c>
      <c r="L15" s="39">
        <f t="shared" si="5"/>
        <v>93.768375372931914</v>
      </c>
      <c r="M15" s="39">
        <f t="shared" si="6"/>
        <v>95.532560643433214</v>
      </c>
      <c r="P15" s="51"/>
    </row>
    <row r="16" spans="1:16" x14ac:dyDescent="0.2">
      <c r="A16" s="33">
        <v>43089</v>
      </c>
      <c r="B16" s="34">
        <v>984.00170000000003</v>
      </c>
      <c r="C16" s="4">
        <f t="shared" si="3"/>
        <v>-1.1450676547320682E-2</v>
      </c>
      <c r="E16" s="33">
        <v>43097</v>
      </c>
      <c r="F16" s="34">
        <v>18.829999999999998</v>
      </c>
      <c r="H16" s="36">
        <f t="shared" si="7"/>
        <v>43097</v>
      </c>
      <c r="I16" s="38">
        <f t="shared" si="4"/>
        <v>-2.0977164099840628E-2</v>
      </c>
      <c r="J16" s="38">
        <f t="shared" si="8"/>
        <v>-2.0017683910311557E-2</v>
      </c>
      <c r="K16" s="37">
        <f t="shared" si="2"/>
        <v>1.0937104383712537E-5</v>
      </c>
      <c r="L16" s="39">
        <f t="shared" si="5"/>
        <v>91.801380775358467</v>
      </c>
      <c r="M16" s="39">
        <f t="shared" si="6"/>
        <v>93.621264890918098</v>
      </c>
      <c r="P16" s="51"/>
    </row>
    <row r="17" spans="1:16" x14ac:dyDescent="0.2">
      <c r="A17" s="33">
        <v>43090</v>
      </c>
      <c r="B17" s="34">
        <v>980.14080000000001</v>
      </c>
      <c r="C17" s="4">
        <f t="shared" si="3"/>
        <v>-3.9236720830868599E-3</v>
      </c>
      <c r="E17" s="33">
        <v>43098</v>
      </c>
      <c r="F17" s="34">
        <v>18.7742</v>
      </c>
      <c r="H17" s="36">
        <f t="shared" si="7"/>
        <v>43098</v>
      </c>
      <c r="I17" s="38">
        <f t="shared" si="4"/>
        <v>2.9721639270912092E-3</v>
      </c>
      <c r="J17" s="38">
        <f t="shared" si="8"/>
        <v>6.0547881833765693E-3</v>
      </c>
      <c r="K17" s="37">
        <f t="shared" si="2"/>
        <v>1.0937104383712537E-5</v>
      </c>
      <c r="L17" s="39">
        <f t="shared" si="5"/>
        <v>92.074229527756145</v>
      </c>
      <c r="M17" s="39">
        <f t="shared" si="6"/>
        <v>94.18914576483904</v>
      </c>
      <c r="P17" s="51"/>
    </row>
    <row r="18" spans="1:16" x14ac:dyDescent="0.2">
      <c r="A18" s="33">
        <v>43091</v>
      </c>
      <c r="B18" s="34">
        <v>975.63409999999999</v>
      </c>
      <c r="C18" s="4">
        <f t="shared" si="3"/>
        <v>-4.5980128569282908E-3</v>
      </c>
      <c r="E18" s="33"/>
      <c r="P18" s="51"/>
    </row>
    <row r="19" spans="1:16" x14ac:dyDescent="0.2">
      <c r="A19" s="33">
        <v>43092</v>
      </c>
      <c r="B19" s="34">
        <v>975.62339999999995</v>
      </c>
      <c r="C19" s="4">
        <f t="shared" si="3"/>
        <v>-1.0967226340308223E-5</v>
      </c>
      <c r="N19" s="42"/>
      <c r="O19" s="42"/>
      <c r="P19" s="51"/>
    </row>
    <row r="20" spans="1:16" ht="15" x14ac:dyDescent="0.25">
      <c r="A20" s="33">
        <v>43093</v>
      </c>
      <c r="B20" s="34">
        <v>975.61270000000002</v>
      </c>
      <c r="C20" s="4">
        <f t="shared" si="3"/>
        <v>-1.0967346621537644E-5</v>
      </c>
      <c r="M20" s="41"/>
      <c r="N20" s="57" t="s">
        <v>64</v>
      </c>
      <c r="O20" s="58"/>
      <c r="P20" s="51"/>
    </row>
    <row r="21" spans="1:16" x14ac:dyDescent="0.2">
      <c r="A21" s="33">
        <v>43094</v>
      </c>
      <c r="B21" s="34">
        <v>975.60199999999998</v>
      </c>
      <c r="C21" s="4">
        <f t="shared" si="3"/>
        <v>-1.0967466905764667E-5</v>
      </c>
      <c r="M21" s="41"/>
      <c r="N21" s="43" t="s">
        <v>49</v>
      </c>
      <c r="O21" s="45">
        <f>+L17/100-1</f>
        <v>-7.9257704722438538E-2</v>
      </c>
      <c r="P21" s="51"/>
    </row>
    <row r="22" spans="1:16" x14ac:dyDescent="0.2">
      <c r="A22" s="33">
        <v>43095</v>
      </c>
      <c r="B22" s="34">
        <v>964.06799999999998</v>
      </c>
      <c r="C22" s="4">
        <f t="shared" si="3"/>
        <v>-1.1822443988429687E-2</v>
      </c>
      <c r="N22" s="44" t="s">
        <v>57</v>
      </c>
      <c r="O22" s="46">
        <f>+M17/100-1</f>
        <v>-5.810854235160956E-2</v>
      </c>
      <c r="P22" s="51"/>
    </row>
    <row r="23" spans="1:16" x14ac:dyDescent="0.2">
      <c r="A23" s="33">
        <v>43096</v>
      </c>
      <c r="B23" s="34">
        <v>955.10550000000001</v>
      </c>
      <c r="C23" s="4">
        <f t="shared" si="3"/>
        <v>-9.2965433973536404E-3</v>
      </c>
      <c r="N23" s="43" t="s">
        <v>65</v>
      </c>
      <c r="O23" s="47">
        <f>28.75%/365*24</f>
        <v>1.8904109589041096E-2</v>
      </c>
      <c r="P23" s="51"/>
    </row>
    <row r="24" spans="1:16" x14ac:dyDescent="0.2">
      <c r="A24" s="33">
        <v>43097</v>
      </c>
      <c r="B24" s="34">
        <v>935.98649999999998</v>
      </c>
      <c r="C24" s="4">
        <f t="shared" si="3"/>
        <v>-2.0017683910311557E-2</v>
      </c>
      <c r="N24" s="44" t="s">
        <v>62</v>
      </c>
      <c r="O24" s="46">
        <f>+O22-O21-O23</f>
        <v>2.2450527817878818E-3</v>
      </c>
      <c r="P24" s="51"/>
    </row>
    <row r="25" spans="1:16" x14ac:dyDescent="0.2">
      <c r="A25" s="33">
        <v>43098</v>
      </c>
      <c r="B25" s="34">
        <v>941.65369999999996</v>
      </c>
      <c r="C25" s="4">
        <f t="shared" si="3"/>
        <v>6.0547881833765693E-3</v>
      </c>
      <c r="P25" s="51"/>
    </row>
    <row r="26" spans="1:16" x14ac:dyDescent="0.2">
      <c r="A26" s="33">
        <v>43099</v>
      </c>
      <c r="B26" s="34">
        <v>941.64340000000004</v>
      </c>
      <c r="C26" s="4">
        <f t="shared" si="3"/>
        <v>-1.0938203715338268E-5</v>
      </c>
      <c r="P26" s="51"/>
    </row>
    <row r="27" spans="1:16" x14ac:dyDescent="0.2">
      <c r="A27" s="33">
        <v>43100</v>
      </c>
      <c r="B27" s="34">
        <v>941.63300000000004</v>
      </c>
      <c r="C27" s="4">
        <f t="shared" si="3"/>
        <v>-1.1044520675240754E-5</v>
      </c>
      <c r="P27" s="51"/>
    </row>
    <row r="28" spans="1:16" x14ac:dyDescent="0.2">
      <c r="A28" s="33">
        <v>43101</v>
      </c>
      <c r="B28" s="34">
        <v>941.62270000000001</v>
      </c>
      <c r="C28" s="4">
        <f t="shared" si="3"/>
        <v>-1.0938444170993655E-5</v>
      </c>
      <c r="P28" s="51"/>
    </row>
    <row r="29" spans="1:16" x14ac:dyDescent="0.2">
      <c r="O29" s="48"/>
      <c r="P29" s="51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2018-01-03T14:28:00Z</dcterms:modified>
</cp:coreProperties>
</file>