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Argentina Liquidez\Licitaciones\"/>
    </mc:Choice>
  </mc:AlternateContent>
  <xr:revisionPtr revIDLastSave="0" documentId="13_ncr:1_{DD5E7484-6D84-49A7-A5B0-2005B81F2CDF}" xr6:coauthVersionLast="34" xr6:coauthVersionMax="34" xr10:uidLastSave="{00000000-0000-0000-0000-000000000000}"/>
  <bookViews>
    <workbookView xWindow="0" yWindow="0" windowWidth="28800" windowHeight="11625" activeTab="1" xr2:uid="{D58BA740-159F-4769-ABBF-3750CE8C1CF5}"/>
  </bookViews>
  <sheets>
    <sheet name="Calculadora Letes" sheetId="3" r:id="rId1"/>
    <sheet name="LEBACS" sheetId="1" r:id="rId2"/>
    <sheet name="LETE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3" l="1"/>
  <c r="L16" i="3"/>
  <c r="I15" i="3"/>
  <c r="I14" i="3"/>
  <c r="I16" i="3"/>
  <c r="F14" i="3"/>
  <c r="F16" i="3"/>
  <c r="L15" i="3"/>
  <c r="F15" i="3"/>
  <c r="L14" i="3"/>
  <c r="I7" i="3"/>
  <c r="I9" i="3"/>
  <c r="F7" i="3"/>
  <c r="F9" i="3"/>
  <c r="F8" i="3"/>
  <c r="L7" i="3"/>
  <c r="H8" i="2"/>
  <c r="H7" i="2"/>
  <c r="I6" i="2"/>
  <c r="H6" i="2"/>
  <c r="I5" i="2"/>
  <c r="D6" i="2"/>
  <c r="C6" i="2"/>
  <c r="C6" i="1"/>
  <c r="H18" i="1" s="1"/>
  <c r="J13" i="1"/>
  <c r="I3" i="1"/>
  <c r="G11" i="1"/>
  <c r="G3" i="1"/>
  <c r="C11" i="1"/>
  <c r="C14" i="1" l="1"/>
  <c r="C15" i="1" s="1"/>
  <c r="I4" i="1"/>
  <c r="G12" i="1"/>
  <c r="C12" i="1"/>
  <c r="G14" i="1"/>
  <c r="G16" i="1" s="1"/>
  <c r="G18" i="1" s="1"/>
  <c r="J12" i="1" l="1"/>
  <c r="J14" i="1" s="1"/>
  <c r="C5" i="2"/>
  <c r="D5" i="2" l="1"/>
  <c r="I7" i="2"/>
  <c r="I8" i="2" s="1"/>
</calcChain>
</file>

<file path=xl/sharedStrings.xml><?xml version="1.0" encoding="utf-8"?>
<sst xmlns="http://schemas.openxmlformats.org/spreadsheetml/2006/main" count="80" uniqueCount="49">
  <si>
    <t>Lebac</t>
  </si>
  <si>
    <t>fecha licitacion</t>
  </si>
  <si>
    <t>Desc</t>
  </si>
  <si>
    <t>Valor</t>
  </si>
  <si>
    <t>Precio lebac</t>
  </si>
  <si>
    <t>Tasa Referencia</t>
  </si>
  <si>
    <t>Nominales orden</t>
  </si>
  <si>
    <t>Custodia Galicia</t>
  </si>
  <si>
    <t>Custodia Santander</t>
  </si>
  <si>
    <t>Zhis_carteras_main</t>
  </si>
  <si>
    <t>Galicia</t>
  </si>
  <si>
    <t>Caja inicio</t>
  </si>
  <si>
    <t>Santander</t>
  </si>
  <si>
    <t>Nominales orden exactos</t>
  </si>
  <si>
    <t>Caja mañana (ARS)</t>
  </si>
  <si>
    <t>Tax</t>
  </si>
  <si>
    <t>Caja mañana sin tax (ARS)</t>
  </si>
  <si>
    <t>Caja con tax (ARS)</t>
  </si>
  <si>
    <t>Caja inicio (ARS) 15-05-2018</t>
  </si>
  <si>
    <t>Nominales que caen LEBAC</t>
  </si>
  <si>
    <t>Custodias LEBAC07 al 15 de mayo</t>
  </si>
  <si>
    <t>Caja Santander</t>
  </si>
  <si>
    <t>Caja Galicia</t>
  </si>
  <si>
    <t>Caja ARS</t>
  </si>
  <si>
    <t>Caja USD</t>
  </si>
  <si>
    <t>TC</t>
  </si>
  <si>
    <t>Banco</t>
  </si>
  <si>
    <t>Inicialmente</t>
  </si>
  <si>
    <t>Lete 30/11/2018</t>
  </si>
  <si>
    <t>Nominales</t>
  </si>
  <si>
    <t>Precio</t>
  </si>
  <si>
    <t>Proceeds</t>
  </si>
  <si>
    <t>Caja Final ARS</t>
  </si>
  <si>
    <t>Caja Final USD</t>
  </si>
  <si>
    <t>REF</t>
  </si>
  <si>
    <t>LETE 30/11/2018</t>
  </si>
  <si>
    <t>PRECIO</t>
  </si>
  <si>
    <t>TNA LEBAC</t>
  </si>
  <si>
    <t>TNA MINISTERIO DE FINANZAS</t>
  </si>
  <si>
    <t>LIQUIDACIÓN</t>
  </si>
  <si>
    <t>PRECIO CADA 1.000</t>
  </si>
  <si>
    <t>TNA 365/105</t>
  </si>
  <si>
    <t>TNA 360/103</t>
  </si>
  <si>
    <t>VENCIMIENTO</t>
  </si>
  <si>
    <t>MONTO FINAL</t>
  </si>
  <si>
    <t>TASA</t>
  </si>
  <si>
    <t>LETE 29/03/2018</t>
  </si>
  <si>
    <t>TNA 365/224</t>
  </si>
  <si>
    <t>TNA 360/222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</si>
</sst>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(* #,##0.00_);_(* \(#,##0.00\);_(* &quot;-&quot;??_);_(@_)"/>
    <numFmt numFmtId="166" formatCode="_-&quot;$&quot;* #,##0.0000_-;\-&quot;$&quot;* #,##0.0000_-;_-&quot;$&quot;* &quot;-&quot;??_-;_-@_-"/>
    <numFmt numFmtId="167" formatCode="0.000%"/>
    <numFmt numFmtId="168" formatCode="_-* #,##0.000000_-;\-* #,##0.000000_-;_-* &quot;-&quot;??_-;_-@_-"/>
    <numFmt numFmtId="169" formatCode="_-* #,##0_-;\-* #,##0_-;_-* &quot;-&quot;??_-;_-@_-"/>
    <numFmt numFmtId="170" formatCode="_-&quot;$&quot;* #,##0.00000_-;\-&quot;$&quot;* #,##0.00000_-;_-&quot;$&quot;* &quot;-&quot;??_-;_-@_-"/>
    <numFmt numFmtId="171" formatCode="0.0%"/>
    <numFmt numFmtId="172" formatCode="#,##0.000"/>
    <numFmt numFmtId="173" formatCode="0.000000"/>
    <numFmt numFmtId="174" formatCode="#,##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3" applyNumberFormat="1" applyFont="1"/>
    <xf numFmtId="167" fontId="0" fillId="0" borderId="0" xfId="3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1" applyNumberFormat="1" applyFont="1"/>
    <xf numFmtId="0" fontId="4" fillId="0" borderId="0" xfId="0" applyNumberFormat="1" applyFont="1"/>
    <xf numFmtId="164" fontId="4" fillId="0" borderId="0" xfId="0" applyNumberFormat="1" applyFont="1"/>
    <xf numFmtId="0" fontId="4" fillId="0" borderId="1" xfId="0" applyFont="1" applyBorder="1"/>
    <xf numFmtId="164" fontId="4" fillId="0" borderId="1" xfId="1" applyNumberFormat="1" applyFont="1" applyBorder="1"/>
    <xf numFmtId="0" fontId="3" fillId="0" borderId="0" xfId="0" applyFont="1" applyFill="1"/>
    <xf numFmtId="164" fontId="3" fillId="0" borderId="0" xfId="0" applyNumberFormat="1" applyFont="1" applyFill="1"/>
    <xf numFmtId="0" fontId="3" fillId="0" borderId="0" xfId="0" applyFont="1"/>
    <xf numFmtId="164" fontId="3" fillId="0" borderId="0" xfId="1" applyNumberFormat="1" applyFont="1"/>
    <xf numFmtId="164" fontId="3" fillId="0" borderId="0" xfId="0" applyNumberFormat="1" applyFont="1"/>
    <xf numFmtId="44" fontId="4" fillId="0" borderId="0" xfId="0" applyNumberFormat="1" applyFont="1"/>
    <xf numFmtId="0" fontId="4" fillId="0" borderId="0" xfId="1" applyNumberFormat="1" applyFont="1"/>
    <xf numFmtId="166" fontId="4" fillId="0" borderId="0" xfId="1" applyNumberFormat="1" applyFont="1"/>
    <xf numFmtId="10" fontId="4" fillId="0" borderId="0" xfId="3" applyNumberFormat="1" applyFont="1"/>
    <xf numFmtId="164" fontId="4" fillId="0" borderId="0" xfId="3" applyNumberFormat="1" applyFont="1"/>
    <xf numFmtId="9" fontId="4" fillId="0" borderId="0" xfId="3" applyNumberFormat="1" applyFont="1" applyAlignment="1">
      <alignment horizontal="center"/>
    </xf>
    <xf numFmtId="168" fontId="5" fillId="0" borderId="0" xfId="4" applyNumberFormat="1" applyFont="1" applyFill="1" applyBorder="1" applyAlignment="1">
      <alignment horizontal="center"/>
    </xf>
    <xf numFmtId="44" fontId="3" fillId="0" borderId="0" xfId="1" applyNumberFormat="1" applyFont="1"/>
    <xf numFmtId="4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9" fontId="0" fillId="0" borderId="0" xfId="4" applyNumberFormat="1" applyFont="1"/>
    <xf numFmtId="170" fontId="0" fillId="0" borderId="0" xfId="1" applyNumberFormat="1" applyFont="1"/>
    <xf numFmtId="170" fontId="0" fillId="0" borderId="0" xfId="0" applyNumberFormat="1"/>
    <xf numFmtId="0" fontId="0" fillId="0" borderId="0" xfId="1" applyNumberFormat="1" applyFont="1"/>
    <xf numFmtId="171" fontId="0" fillId="0" borderId="0" xfId="3" applyNumberFormat="1" applyFont="1"/>
    <xf numFmtId="164" fontId="0" fillId="0" borderId="0" xfId="3" applyNumberFormat="1" applyFont="1"/>
    <xf numFmtId="0" fontId="4" fillId="0" borderId="0" xfId="0" applyFont="1" applyFill="1"/>
    <xf numFmtId="164" fontId="4" fillId="0" borderId="0" xfId="1" applyNumberFormat="1" applyFont="1" applyFill="1"/>
    <xf numFmtId="164" fontId="4" fillId="0" borderId="0" xfId="0" applyNumberFormat="1" applyFont="1" applyFill="1"/>
    <xf numFmtId="0" fontId="4" fillId="0" borderId="1" xfId="0" applyFont="1" applyFill="1" applyBorder="1"/>
    <xf numFmtId="164" fontId="4" fillId="0" borderId="1" xfId="1" applyNumberFormat="1" applyFont="1" applyFill="1" applyBorder="1"/>
    <xf numFmtId="0" fontId="0" fillId="0" borderId="0" xfId="0" applyAlignment="1">
      <alignment horizontal="center"/>
    </xf>
    <xf numFmtId="169" fontId="0" fillId="0" borderId="0" xfId="4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169" fontId="0" fillId="0" borderId="1" xfId="4" applyNumberFormat="1" applyFont="1" applyBorder="1" applyAlignment="1">
      <alignment horizontal="center"/>
    </xf>
    <xf numFmtId="169" fontId="0" fillId="0" borderId="0" xfId="0" applyNumberFormat="1"/>
    <xf numFmtId="0" fontId="7" fillId="0" borderId="1" xfId="0" applyFont="1" applyBorder="1" applyAlignment="1">
      <alignment horizontal="center"/>
    </xf>
    <xf numFmtId="4" fontId="0" fillId="0" borderId="0" xfId="0" quotePrefix="1" applyNumberFormat="1"/>
    <xf numFmtId="10" fontId="0" fillId="0" borderId="0" xfId="0" applyNumberFormat="1"/>
    <xf numFmtId="0" fontId="6" fillId="2" borderId="3" xfId="0" applyFont="1" applyFill="1" applyBorder="1"/>
    <xf numFmtId="172" fontId="0" fillId="0" borderId="4" xfId="0" quotePrefix="1" applyNumberFormat="1" applyBorder="1" applyAlignment="1">
      <alignment horizontal="center"/>
    </xf>
    <xf numFmtId="173" fontId="0" fillId="0" borderId="0" xfId="0" applyNumberFormat="1"/>
    <xf numFmtId="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6" fillId="2" borderId="6" xfId="0" applyFont="1" applyFill="1" applyBorder="1"/>
    <xf numFmtId="14" fontId="0" fillId="0" borderId="7" xfId="0" applyNumberFormat="1" applyBorder="1"/>
    <xf numFmtId="0" fontId="0" fillId="0" borderId="0" xfId="0" applyBorder="1"/>
    <xf numFmtId="0" fontId="0" fillId="0" borderId="6" xfId="0" applyBorder="1"/>
    <xf numFmtId="4" fontId="0" fillId="0" borderId="7" xfId="0" applyNumberFormat="1" applyBorder="1" applyAlignment="1" applyProtection="1">
      <alignment horizontal="center"/>
      <protection locked="0"/>
    </xf>
    <xf numFmtId="4" fontId="0" fillId="0" borderId="6" xfId="0" applyNumberFormat="1" applyBorder="1"/>
    <xf numFmtId="10" fontId="0" fillId="0" borderId="7" xfId="0" applyNumberFormat="1" applyBorder="1" applyAlignment="1" applyProtection="1">
      <alignment horizontal="center"/>
      <protection locked="0"/>
    </xf>
    <xf numFmtId="4" fontId="0" fillId="0" borderId="0" xfId="0" applyNumberFormat="1" applyBorder="1"/>
    <xf numFmtId="0" fontId="0" fillId="4" borderId="6" xfId="0" applyFill="1" applyBorder="1"/>
    <xf numFmtId="4" fontId="0" fillId="4" borderId="7" xfId="0" applyNumberFormat="1" applyFill="1" applyBorder="1" applyAlignment="1">
      <alignment horizontal="center"/>
    </xf>
    <xf numFmtId="4" fontId="0" fillId="4" borderId="6" xfId="0" applyNumberFormat="1" applyFill="1" applyBorder="1"/>
    <xf numFmtId="10" fontId="0" fillId="4" borderId="7" xfId="0" applyNumberForma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0" xfId="0" applyNumberFormat="1" applyBorder="1"/>
    <xf numFmtId="174" fontId="0" fillId="4" borderId="7" xfId="0" applyNumberFormat="1" applyFill="1" applyBorder="1" applyAlignment="1">
      <alignment horizontal="center"/>
    </xf>
    <xf numFmtId="10" fontId="0" fillId="5" borderId="8" xfId="0" applyNumberFormat="1" applyFill="1" applyBorder="1"/>
    <xf numFmtId="0" fontId="0" fillId="5" borderId="9" xfId="0" applyFill="1" applyBorder="1"/>
    <xf numFmtId="4" fontId="0" fillId="0" borderId="10" xfId="0" applyNumberFormat="1" applyBorder="1"/>
    <xf numFmtId="4" fontId="0" fillId="4" borderId="8" xfId="0" applyNumberFormat="1" applyFill="1" applyBorder="1"/>
    <xf numFmtId="10" fontId="0" fillId="4" borderId="9" xfId="0" applyNumberFormat="1" applyFill="1" applyBorder="1" applyAlignment="1">
      <alignment horizontal="center"/>
    </xf>
    <xf numFmtId="10" fontId="0" fillId="0" borderId="10" xfId="0" applyNumberFormat="1" applyBorder="1"/>
    <xf numFmtId="0" fontId="0" fillId="0" borderId="10" xfId="0" applyBorder="1"/>
    <xf numFmtId="0" fontId="0" fillId="4" borderId="8" xfId="0" applyFill="1" applyBorder="1"/>
    <xf numFmtId="4" fontId="0" fillId="4" borderId="9" xfId="0" applyNumberFormat="1" applyFill="1" applyBorder="1" applyAlignment="1">
      <alignment horizontal="center"/>
    </xf>
    <xf numFmtId="14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5" borderId="8" xfId="0" applyFill="1" applyBorder="1"/>
    <xf numFmtId="0" fontId="0" fillId="5" borderId="10" xfId="0" applyFill="1" applyBorder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Millares" xfId="4" builtinId="3"/>
    <cellStyle name="Millares 2 2" xfId="2" xr:uid="{3CEB4CBE-1564-465B-B419-4E31ADDF0973}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340F-7497-4DFA-A664-92440573988D}">
  <dimension ref="B2:L16"/>
  <sheetViews>
    <sheetView showGridLines="0" zoomScale="85" zoomScaleNormal="85" workbookViewId="0">
      <selection activeCell="K16" sqref="K16"/>
    </sheetView>
  </sheetViews>
  <sheetFormatPr baseColWidth="10" defaultRowHeight="15" x14ac:dyDescent="0.25"/>
  <cols>
    <col min="2" max="2" width="15.28515625" bestFit="1" customWidth="1"/>
    <col min="4" max="4" width="0.7109375" customWidth="1"/>
    <col min="5" max="5" width="28.42578125" bestFit="1" customWidth="1"/>
    <col min="7" max="7" width="0.7109375" customWidth="1"/>
    <col min="8" max="8" width="28.42578125" bestFit="1" customWidth="1"/>
    <col min="10" max="10" width="0.7109375" customWidth="1"/>
    <col min="11" max="11" width="28.42578125" bestFit="1" customWidth="1"/>
  </cols>
  <sheetData>
    <row r="2" spans="2:12" ht="15.75" thickBot="1" x14ac:dyDescent="0.3">
      <c r="C2" s="51"/>
      <c r="D2" s="52"/>
    </row>
    <row r="3" spans="2:12" ht="15.75" thickBot="1" x14ac:dyDescent="0.3">
      <c r="B3" s="53" t="s">
        <v>34</v>
      </c>
      <c r="C3" s="54">
        <v>29.414999999999999</v>
      </c>
      <c r="D3" s="29"/>
    </row>
    <row r="4" spans="2:12" ht="15.75" thickBot="1" x14ac:dyDescent="0.3">
      <c r="C4" s="29"/>
      <c r="D4" s="29"/>
      <c r="E4" s="55"/>
      <c r="F4" s="29"/>
      <c r="G4" s="29"/>
    </row>
    <row r="5" spans="2:12" ht="15.75" thickBot="1" x14ac:dyDescent="0.3">
      <c r="B5" s="87" t="s">
        <v>35</v>
      </c>
      <c r="C5" s="88"/>
      <c r="D5" s="56"/>
      <c r="E5" s="89" t="s">
        <v>36</v>
      </c>
      <c r="F5" s="90"/>
      <c r="G5" s="57"/>
      <c r="H5" s="89" t="s">
        <v>37</v>
      </c>
      <c r="I5" s="90"/>
      <c r="J5" s="58"/>
      <c r="K5" s="89" t="s">
        <v>38</v>
      </c>
      <c r="L5" s="90"/>
    </row>
    <row r="6" spans="2:12" x14ac:dyDescent="0.25">
      <c r="B6" s="59" t="s">
        <v>39</v>
      </c>
      <c r="C6" s="60">
        <v>43329</v>
      </c>
      <c r="D6" s="61"/>
      <c r="E6" s="62" t="s">
        <v>40</v>
      </c>
      <c r="F6" s="63">
        <v>1000</v>
      </c>
      <c r="G6" s="61"/>
      <c r="H6" s="64" t="s">
        <v>41</v>
      </c>
      <c r="I6" s="65">
        <v>0.35</v>
      </c>
      <c r="J6" s="61"/>
      <c r="K6" s="64" t="s">
        <v>42</v>
      </c>
      <c r="L6" s="65">
        <v>0.42</v>
      </c>
    </row>
    <row r="7" spans="2:12" x14ac:dyDescent="0.25">
      <c r="B7" s="59" t="s">
        <v>43</v>
      </c>
      <c r="C7" s="60">
        <v>43434</v>
      </c>
      <c r="D7" s="66"/>
      <c r="E7" s="67" t="s">
        <v>44</v>
      </c>
      <c r="F7" s="68">
        <f>1000*((1+$C$8)^(((DAYS360($C$6,$C$7)/360)*12)))</f>
        <v>1106.81356070588</v>
      </c>
      <c r="G7" s="61"/>
      <c r="H7" s="67" t="s">
        <v>40</v>
      </c>
      <c r="I7" s="68">
        <f>+I8/((1+I6*(C7-C6)/365))</f>
        <v>1005.5680140825046</v>
      </c>
      <c r="J7" s="61"/>
      <c r="K7" s="69" t="s">
        <v>41</v>
      </c>
      <c r="L7" s="70">
        <f>+(L9/L8-1)*365/(C7-C6)</f>
        <v>0.41772222222222255</v>
      </c>
    </row>
    <row r="8" spans="2:12" x14ac:dyDescent="0.25">
      <c r="B8" s="59" t="s">
        <v>45</v>
      </c>
      <c r="C8" s="71">
        <v>0.03</v>
      </c>
      <c r="D8" s="66"/>
      <c r="E8" s="69" t="s">
        <v>42</v>
      </c>
      <c r="F8" s="70">
        <f>+(F7/F6-1)*360/(DAYS360(C6,C7))</f>
        <v>0.37332895003996891</v>
      </c>
      <c r="G8" s="72"/>
      <c r="H8" s="67" t="s">
        <v>44</v>
      </c>
      <c r="I8" s="68">
        <v>1106.81356070588</v>
      </c>
      <c r="J8" s="61"/>
      <c r="K8" s="67" t="s">
        <v>40</v>
      </c>
      <c r="L8" s="73">
        <f>+L9/(1+L6*(DAYS360(C6,C7)/360))</f>
        <v>892.72429697961604</v>
      </c>
    </row>
    <row r="9" spans="2:12" ht="15.75" thickBot="1" x14ac:dyDescent="0.3">
      <c r="B9" s="74"/>
      <c r="C9" s="75"/>
      <c r="D9" s="76"/>
      <c r="E9" s="77" t="s">
        <v>41</v>
      </c>
      <c r="F9" s="78">
        <f>+(F7/F6-1)*365/(C7-C6)</f>
        <v>0.37130428245377334</v>
      </c>
      <c r="G9" s="79"/>
      <c r="H9" s="77" t="s">
        <v>42</v>
      </c>
      <c r="I9" s="78">
        <f>+(I8/I7-1)*360/(DAYS360(C6,C7))</f>
        <v>0.35190849847054095</v>
      </c>
      <c r="J9" s="80"/>
      <c r="K9" s="81" t="s">
        <v>44</v>
      </c>
      <c r="L9" s="82">
        <v>1000</v>
      </c>
    </row>
    <row r="10" spans="2:12" x14ac:dyDescent="0.25">
      <c r="B10" s="52"/>
      <c r="D10" s="29"/>
      <c r="E10" s="29"/>
      <c r="F10" s="52"/>
      <c r="G10" s="52"/>
    </row>
    <row r="11" spans="2:12" ht="15.75" thickBot="1" x14ac:dyDescent="0.3">
      <c r="B11" s="52"/>
      <c r="D11" s="29"/>
      <c r="E11" s="29"/>
      <c r="F11" s="52"/>
      <c r="G11" s="52"/>
    </row>
    <row r="12" spans="2:12" ht="15.75" thickBot="1" x14ac:dyDescent="0.3">
      <c r="B12" s="87" t="s">
        <v>46</v>
      </c>
      <c r="C12" s="91"/>
      <c r="D12" s="56"/>
      <c r="E12" s="89" t="s">
        <v>36</v>
      </c>
      <c r="F12" s="90"/>
      <c r="G12" s="57"/>
      <c r="H12" s="89" t="s">
        <v>37</v>
      </c>
      <c r="I12" s="90"/>
      <c r="J12" s="58"/>
      <c r="K12" s="89" t="s">
        <v>38</v>
      </c>
      <c r="L12" s="90"/>
    </row>
    <row r="13" spans="2:12" x14ac:dyDescent="0.25">
      <c r="B13" s="59" t="s">
        <v>39</v>
      </c>
      <c r="C13" s="83">
        <v>43329</v>
      </c>
      <c r="D13" s="61"/>
      <c r="E13" s="62" t="s">
        <v>40</v>
      </c>
      <c r="F13" s="63">
        <v>1000</v>
      </c>
      <c r="G13" s="66"/>
      <c r="H13" s="64" t="s">
        <v>47</v>
      </c>
      <c r="I13" s="65">
        <v>0.37665446298675631</v>
      </c>
      <c r="J13" s="61"/>
      <c r="K13" s="64" t="s">
        <v>48</v>
      </c>
      <c r="L13" s="65">
        <v>0.37484161292425067</v>
      </c>
    </row>
    <row r="14" spans="2:12" x14ac:dyDescent="0.25">
      <c r="B14" s="59" t="s">
        <v>43</v>
      </c>
      <c r="C14" s="83">
        <v>43553</v>
      </c>
      <c r="D14" s="61"/>
      <c r="E14" s="67" t="s">
        <v>44</v>
      </c>
      <c r="F14" s="68">
        <f>1000*((1+$C$15)^(((DAYS360($C$13,$C$14)/360)*12)))</f>
        <v>1231.1523279699545</v>
      </c>
      <c r="G14" s="66"/>
      <c r="H14" s="67" t="s">
        <v>40</v>
      </c>
      <c r="I14" s="68">
        <f>+I15/(1+I13*(C14-C13)/365)</f>
        <v>1000</v>
      </c>
      <c r="J14" s="61"/>
      <c r="K14" s="69" t="s">
        <v>47</v>
      </c>
      <c r="L14" s="70">
        <f>+(L16/L15-1)*365/(C14-C13)</f>
        <v>0.37665446298675631</v>
      </c>
    </row>
    <row r="15" spans="2:12" x14ac:dyDescent="0.25">
      <c r="B15" s="59" t="s">
        <v>45</v>
      </c>
      <c r="C15" s="84">
        <v>2.8500000000000001E-2</v>
      </c>
      <c r="D15" s="61"/>
      <c r="E15" s="69" t="s">
        <v>48</v>
      </c>
      <c r="F15" s="70">
        <f>+(F14/F13-1)*360/(DAYS360(C13,C14))</f>
        <v>0.37484161292425067</v>
      </c>
      <c r="G15" s="72"/>
      <c r="H15" s="67" t="s">
        <v>44</v>
      </c>
      <c r="I15" s="68">
        <f>1000*((1+$C$15)^(((DAYS360($C$13,$C$14)/360)*12)))</f>
        <v>1231.1523279699545</v>
      </c>
      <c r="J15" s="61"/>
      <c r="K15" s="67" t="s">
        <v>40</v>
      </c>
      <c r="L15" s="68">
        <f>+L16/(1+L13*(DAYS360(C13,C14)/360))</f>
        <v>1000</v>
      </c>
    </row>
    <row r="16" spans="2:12" ht="15.75" thickBot="1" x14ac:dyDescent="0.3">
      <c r="B16" s="85"/>
      <c r="C16" s="86"/>
      <c r="D16" s="76"/>
      <c r="E16" s="77" t="s">
        <v>47</v>
      </c>
      <c r="F16" s="78">
        <f>+(F14/F13-1)*365/(C14-C13)</f>
        <v>0.37665446298675631</v>
      </c>
      <c r="G16" s="79"/>
      <c r="H16" s="77" t="s">
        <v>48</v>
      </c>
      <c r="I16" s="78">
        <f>+(I15/I14-1)*360/(DAYS360(C13,C14))</f>
        <v>0.37484161292425067</v>
      </c>
      <c r="J16" s="80"/>
      <c r="K16" s="81" t="s">
        <v>44</v>
      </c>
      <c r="L16" s="82">
        <f>1000*((1+$C$15)^(((DAYS360($C$13,$C$14)/360)*12)))</f>
        <v>1231.1523279699545</v>
      </c>
    </row>
  </sheetData>
  <sheetProtection selectLockedCells="1"/>
  <mergeCells count="8">
    <mergeCell ref="B5:C5"/>
    <mergeCell ref="E5:F5"/>
    <mergeCell ref="H5:I5"/>
    <mergeCell ref="K5:L5"/>
    <mergeCell ref="B12:C12"/>
    <mergeCell ref="E12:F12"/>
    <mergeCell ref="H12:I12"/>
    <mergeCell ref="K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AABC-2899-491A-9A0A-5B2651A405A1}">
  <dimension ref="B2:K32"/>
  <sheetViews>
    <sheetView tabSelected="1" workbookViewId="0">
      <selection activeCell="F11" sqref="F11"/>
    </sheetView>
  </sheetViews>
  <sheetFormatPr baseColWidth="10" defaultRowHeight="18.75" x14ac:dyDescent="0.3"/>
  <cols>
    <col min="2" max="2" width="34.7109375" style="8" bestFit="1" customWidth="1"/>
    <col min="3" max="3" width="24.7109375" style="8" bestFit="1" customWidth="1"/>
    <col min="4" max="4" width="19.5703125" style="8" bestFit="1" customWidth="1"/>
    <col min="5" max="5" width="21" style="8" bestFit="1" customWidth="1"/>
    <col min="6" max="6" width="34.7109375" style="8" bestFit="1" customWidth="1"/>
    <col min="7" max="7" width="21" style="8" bestFit="1" customWidth="1"/>
    <col min="8" max="8" width="22.140625" bestFit="1" customWidth="1"/>
    <col min="9" max="9" width="17.85546875" bestFit="1" customWidth="1"/>
    <col min="10" max="10" width="26" bestFit="1" customWidth="1"/>
    <col min="11" max="11" width="15.140625" bestFit="1" customWidth="1"/>
  </cols>
  <sheetData>
    <row r="2" spans="2:11" x14ac:dyDescent="0.3">
      <c r="B2" s="7" t="s">
        <v>2</v>
      </c>
      <c r="C2" s="7" t="s">
        <v>3</v>
      </c>
      <c r="F2" s="93" t="s">
        <v>20</v>
      </c>
      <c r="G2" s="93"/>
    </row>
    <row r="3" spans="2:11" x14ac:dyDescent="0.3">
      <c r="B3" s="9" t="s">
        <v>1</v>
      </c>
      <c r="C3" s="10">
        <v>43327</v>
      </c>
      <c r="D3" s="11"/>
      <c r="F3" s="38" t="s">
        <v>9</v>
      </c>
      <c r="G3" s="39">
        <f>+G4+G5</f>
        <v>1210728609</v>
      </c>
      <c r="H3" s="3"/>
      <c r="I3" s="1">
        <f>+G3*0.7</f>
        <v>847510026.29999995</v>
      </c>
      <c r="J3" s="1"/>
      <c r="K3" s="3"/>
    </row>
    <row r="4" spans="2:11" x14ac:dyDescent="0.3">
      <c r="B4" s="9" t="s">
        <v>0</v>
      </c>
      <c r="C4" s="10">
        <v>43362</v>
      </c>
      <c r="D4" s="12"/>
      <c r="F4" s="38" t="s">
        <v>7</v>
      </c>
      <c r="G4" s="39">
        <v>40085057</v>
      </c>
      <c r="H4" s="5"/>
      <c r="I4" s="1">
        <f>+I3/C6</f>
        <v>884113196.75902021</v>
      </c>
      <c r="J4" s="1"/>
      <c r="K4" s="2"/>
    </row>
    <row r="5" spans="2:11" x14ac:dyDescent="0.3">
      <c r="B5" s="9" t="s">
        <v>5</v>
      </c>
      <c r="C5" s="26">
        <v>0.45040000000000002</v>
      </c>
      <c r="F5" s="38" t="s">
        <v>8</v>
      </c>
      <c r="G5" s="40">
        <v>1170643552</v>
      </c>
      <c r="H5" s="37"/>
      <c r="I5" s="1"/>
      <c r="J5" s="1"/>
      <c r="K5" s="4"/>
    </row>
    <row r="6" spans="2:11" x14ac:dyDescent="0.3">
      <c r="B6" s="9" t="s">
        <v>4</v>
      </c>
      <c r="C6" s="9">
        <f>ROUND(1/(1+C5*(C4-C3)/365),6)</f>
        <v>0.95859899999999998</v>
      </c>
      <c r="G6" s="13"/>
      <c r="J6" s="1"/>
    </row>
    <row r="7" spans="2:11" x14ac:dyDescent="0.3">
      <c r="J7" s="3"/>
      <c r="K7" s="3"/>
    </row>
    <row r="8" spans="2:11" x14ac:dyDescent="0.3">
      <c r="I8" s="33"/>
    </row>
    <row r="9" spans="2:11" x14ac:dyDescent="0.3">
      <c r="B9" s="92" t="s">
        <v>10</v>
      </c>
      <c r="C9" s="92"/>
      <c r="F9" s="92" t="s">
        <v>12</v>
      </c>
      <c r="G9" s="92"/>
      <c r="H9" s="29"/>
      <c r="I9" s="34"/>
      <c r="J9" s="35"/>
    </row>
    <row r="10" spans="2:11" x14ac:dyDescent="0.3">
      <c r="B10" s="8" t="s">
        <v>18</v>
      </c>
      <c r="C10" s="11">
        <v>198192.02875593514</v>
      </c>
      <c r="F10" s="8" t="s">
        <v>11</v>
      </c>
      <c r="G10" s="13">
        <v>73560.998455935129</v>
      </c>
      <c r="I10" s="1"/>
      <c r="J10" s="36"/>
    </row>
    <row r="11" spans="2:11" x14ac:dyDescent="0.3">
      <c r="B11" s="8" t="s">
        <v>19</v>
      </c>
      <c r="C11" s="11">
        <f>+G4</f>
        <v>40085057</v>
      </c>
      <c r="F11" s="8" t="s">
        <v>19</v>
      </c>
      <c r="G11" s="13">
        <f>+G5</f>
        <v>1170643552</v>
      </c>
      <c r="I11" s="3"/>
      <c r="J11" s="36"/>
    </row>
    <row r="12" spans="2:11" x14ac:dyDescent="0.3">
      <c r="B12" s="41" t="s">
        <v>13</v>
      </c>
      <c r="C12" s="42">
        <f>+C11/C6</f>
        <v>41816293.361457713</v>
      </c>
      <c r="F12" s="14" t="s">
        <v>13</v>
      </c>
      <c r="G12" s="15">
        <f>+G11/C6</f>
        <v>1221202559.1514282</v>
      </c>
      <c r="I12" s="1" t="s">
        <v>21</v>
      </c>
      <c r="J12" s="5">
        <f>+G16/G3</f>
        <v>0.26816638723571778</v>
      </c>
    </row>
    <row r="13" spans="2:11" x14ac:dyDescent="0.3">
      <c r="B13" s="16" t="s">
        <v>6</v>
      </c>
      <c r="C13" s="17">
        <v>162000000</v>
      </c>
      <c r="D13" s="11"/>
      <c r="F13" s="16" t="s">
        <v>6</v>
      </c>
      <c r="G13" s="17">
        <v>880000000</v>
      </c>
      <c r="H13" s="1"/>
      <c r="I13" s="3" t="s">
        <v>22</v>
      </c>
      <c r="J13" s="5">
        <f>+(C10+C11)/G3</f>
        <v>3.3271906461372742E-2</v>
      </c>
      <c r="K13" s="1"/>
    </row>
    <row r="14" spans="2:11" x14ac:dyDescent="0.3">
      <c r="B14" s="18" t="s">
        <v>14</v>
      </c>
      <c r="C14" s="28">
        <f>+C11-C13*$C$6+C10</f>
        <v>-115009788.97124407</v>
      </c>
      <c r="D14" s="13"/>
      <c r="F14" s="18" t="s">
        <v>16</v>
      </c>
      <c r="G14" s="20">
        <f>+G11-G13*$C$6+G10</f>
        <v>327149992.99845594</v>
      </c>
      <c r="H14" s="3"/>
      <c r="I14" s="30"/>
      <c r="J14" s="5">
        <f>+J12+J13</f>
        <v>0.30143829369709052</v>
      </c>
    </row>
    <row r="15" spans="2:11" x14ac:dyDescent="0.3">
      <c r="C15" s="11">
        <f>+C14/27.55</f>
        <v>-4174583.9916966991</v>
      </c>
      <c r="F15" s="8" t="s">
        <v>15</v>
      </c>
      <c r="G15" s="11">
        <v>2473276</v>
      </c>
      <c r="H15" s="3"/>
      <c r="I15" s="31"/>
      <c r="J15" s="1"/>
      <c r="K15" s="3"/>
    </row>
    <row r="16" spans="2:11" x14ac:dyDescent="0.3">
      <c r="F16" s="8" t="s">
        <v>17</v>
      </c>
      <c r="G16" s="19">
        <f>+G14-G15</f>
        <v>324676716.99845594</v>
      </c>
      <c r="I16" s="32"/>
      <c r="K16" s="6"/>
    </row>
    <row r="17" spans="2:10" x14ac:dyDescent="0.3">
      <c r="D17" s="24"/>
      <c r="G17" s="21"/>
      <c r="I17" s="1"/>
    </row>
    <row r="18" spans="2:10" x14ac:dyDescent="0.3">
      <c r="B18" s="11"/>
      <c r="C18" s="20"/>
      <c r="D18" s="21"/>
      <c r="G18" s="13">
        <f>+G15+G16</f>
        <v>327149992.99845594</v>
      </c>
      <c r="H18" s="32">
        <f>+G13*C6</f>
        <v>843567120</v>
      </c>
      <c r="J18" s="5"/>
    </row>
    <row r="19" spans="2:10" x14ac:dyDescent="0.3">
      <c r="C19" s="11"/>
      <c r="D19" s="13"/>
      <c r="G19" s="13"/>
      <c r="H19" s="3"/>
    </row>
    <row r="20" spans="2:10" x14ac:dyDescent="0.3">
      <c r="C20" s="11"/>
      <c r="D20" s="11"/>
      <c r="G20" s="11"/>
    </row>
    <row r="21" spans="2:10" x14ac:dyDescent="0.3">
      <c r="C21" s="11"/>
      <c r="E21" s="13"/>
    </row>
    <row r="22" spans="2:10" x14ac:dyDescent="0.3">
      <c r="H22" s="5"/>
    </row>
    <row r="23" spans="2:10" x14ac:dyDescent="0.3">
      <c r="C23" s="25"/>
      <c r="D23" s="11"/>
      <c r="E23" s="27"/>
      <c r="F23" s="23"/>
      <c r="G23" s="21"/>
    </row>
    <row r="24" spans="2:10" x14ac:dyDescent="0.3">
      <c r="C24" s="21"/>
      <c r="D24" s="11"/>
      <c r="F24" s="11"/>
      <c r="I24" s="1"/>
    </row>
    <row r="25" spans="2:10" x14ac:dyDescent="0.3">
      <c r="B25" s="13"/>
      <c r="C25" s="13"/>
      <c r="F25" s="22"/>
    </row>
    <row r="26" spans="2:10" x14ac:dyDescent="0.3">
      <c r="F26" s="23"/>
      <c r="H26" s="1"/>
    </row>
    <row r="27" spans="2:10" x14ac:dyDescent="0.3">
      <c r="F27" s="13"/>
      <c r="G27" s="21"/>
    </row>
    <row r="28" spans="2:10" x14ac:dyDescent="0.3">
      <c r="C28" s="11"/>
      <c r="E28" s="24"/>
    </row>
    <row r="29" spans="2:10" x14ac:dyDescent="0.3">
      <c r="F29" s="24"/>
      <c r="I29" s="1"/>
    </row>
    <row r="32" spans="2:10" x14ac:dyDescent="0.3">
      <c r="B32" s="11"/>
    </row>
  </sheetData>
  <mergeCells count="3">
    <mergeCell ref="B9:C9"/>
    <mergeCell ref="F9:G9"/>
    <mergeCell ref="F2:G2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0F0E-F35F-499F-BBCD-B0BE3AD8CE88}">
  <dimension ref="B2:I10"/>
  <sheetViews>
    <sheetView workbookViewId="0">
      <selection activeCell="E26" sqref="E26"/>
    </sheetView>
  </sheetViews>
  <sheetFormatPr baseColWidth="10" defaultRowHeight="15" x14ac:dyDescent="0.25"/>
  <cols>
    <col min="3" max="3" width="15.140625" bestFit="1" customWidth="1"/>
    <col min="4" max="4" width="14.140625" bestFit="1" customWidth="1"/>
    <col min="7" max="7" width="13.85546875" customWidth="1"/>
    <col min="8" max="8" width="13.28515625" customWidth="1"/>
    <col min="9" max="9" width="12.42578125" customWidth="1"/>
  </cols>
  <sheetData>
    <row r="2" spans="2:9" x14ac:dyDescent="0.25">
      <c r="B2" s="46" t="s">
        <v>25</v>
      </c>
      <c r="C2" s="46">
        <v>30.004999999999999</v>
      </c>
      <c r="G2" s="94" t="s">
        <v>28</v>
      </c>
      <c r="H2" s="94"/>
      <c r="I2" s="94"/>
    </row>
    <row r="3" spans="2:9" x14ac:dyDescent="0.25">
      <c r="G3" s="45" t="s">
        <v>27</v>
      </c>
      <c r="H3" s="45" t="s">
        <v>10</v>
      </c>
      <c r="I3" s="45" t="s">
        <v>12</v>
      </c>
    </row>
    <row r="4" spans="2:9" x14ac:dyDescent="0.25">
      <c r="B4" s="50" t="s">
        <v>26</v>
      </c>
      <c r="C4" s="50" t="s">
        <v>23</v>
      </c>
      <c r="D4" s="50" t="s">
        <v>24</v>
      </c>
      <c r="G4" s="47" t="s">
        <v>29</v>
      </c>
      <c r="H4" s="44">
        <v>39000000</v>
      </c>
      <c r="I4" s="44">
        <v>314000000</v>
      </c>
    </row>
    <row r="5" spans="2:9" x14ac:dyDescent="0.25">
      <c r="B5" s="43" t="s">
        <v>12</v>
      </c>
      <c r="C5" s="44">
        <f>+LEBACS!G16</f>
        <v>324676716.99845594</v>
      </c>
      <c r="D5" s="44">
        <f>+C5/$C$2</f>
        <v>10820753.774319479</v>
      </c>
      <c r="G5" s="43" t="s">
        <v>30</v>
      </c>
      <c r="H5" s="43">
        <v>1005.57</v>
      </c>
      <c r="I5" s="43">
        <f>+H5</f>
        <v>1005.57</v>
      </c>
    </row>
    <row r="6" spans="2:9" x14ac:dyDescent="0.25">
      <c r="B6" s="43" t="s">
        <v>10</v>
      </c>
      <c r="C6" s="44">
        <f>+LEBACS!C10+LEBACS!C11</f>
        <v>40283249.028755933</v>
      </c>
      <c r="D6" s="44">
        <f>+C6/$C$2</f>
        <v>1342551.2090903495</v>
      </c>
      <c r="G6" s="45" t="s">
        <v>31</v>
      </c>
      <c r="H6" s="48">
        <f>+H4*H5/1000</f>
        <v>39217230</v>
      </c>
      <c r="I6" s="48">
        <f>+I4*I5/1000</f>
        <v>315748980</v>
      </c>
    </row>
    <row r="7" spans="2:9" x14ac:dyDescent="0.25">
      <c r="G7" s="47" t="s">
        <v>32</v>
      </c>
      <c r="H7" s="49">
        <f>+C6-H6</f>
        <v>1066019.028755933</v>
      </c>
      <c r="I7" s="49">
        <f>+C5-I6</f>
        <v>8927736.9984559417</v>
      </c>
    </row>
    <row r="8" spans="2:9" x14ac:dyDescent="0.25">
      <c r="G8" s="47" t="s">
        <v>33</v>
      </c>
      <c r="H8" s="32">
        <f>+H7/$C$2</f>
        <v>35528.046284150412</v>
      </c>
      <c r="I8" s="32">
        <f>+I7/$C$2</f>
        <v>297541.64300803008</v>
      </c>
    </row>
    <row r="10" spans="2:9" x14ac:dyDescent="0.25">
      <c r="C10" s="49"/>
    </row>
  </sheetData>
  <mergeCells count="1"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 Letes</vt:lpstr>
      <vt:lpstr>LEBACS</vt:lpstr>
      <vt:lpstr>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cp:lastPrinted>2018-05-16T16:27:28Z</cp:lastPrinted>
  <dcterms:created xsi:type="dcterms:W3CDTF">2018-04-17T12:38:48Z</dcterms:created>
  <dcterms:modified xsi:type="dcterms:W3CDTF">2018-08-16T21:34:44Z</dcterms:modified>
</cp:coreProperties>
</file>