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1540" windowHeight="7965" xr2:uid="{00000000-000D-0000-FFFF-FFFF00000000}"/>
  </bookViews>
  <sheets>
    <sheet name="Calculo rentabilidad" sheetId="4" r:id="rId1"/>
    <sheet name="lista Lebac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F22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F24" i="4"/>
  <c r="F25" i="4"/>
  <c r="F26" i="4"/>
  <c r="F27" i="4"/>
  <c r="F28" i="4"/>
  <c r="F21" i="4"/>
  <c r="G21" i="4"/>
  <c r="D29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H21" i="4"/>
  <c r="H29" i="4"/>
  <c r="G29" i="4"/>
  <c r="P8" i="4"/>
  <c r="O8" i="4"/>
  <c r="M25" i="4"/>
  <c r="M27" i="4"/>
  <c r="N27" i="4"/>
  <c r="E9" i="4"/>
  <c r="F9" i="4"/>
  <c r="G9" i="4"/>
  <c r="F13" i="4"/>
  <c r="G13" i="4"/>
  <c r="F14" i="4"/>
  <c r="G14" i="4"/>
  <c r="F15" i="4"/>
  <c r="G15" i="4"/>
  <c r="E10" i="4"/>
  <c r="F10" i="4"/>
  <c r="G10" i="4"/>
  <c r="E11" i="4"/>
  <c r="F11" i="4"/>
  <c r="G11" i="4"/>
  <c r="E12" i="4"/>
  <c r="F12" i="4"/>
  <c r="G12" i="4"/>
  <c r="E13" i="4"/>
  <c r="E14" i="4"/>
  <c r="E15" i="4"/>
  <c r="E8" i="4"/>
  <c r="F8" i="4"/>
  <c r="E16" i="4"/>
  <c r="D16" i="4"/>
  <c r="C16" i="4"/>
  <c r="M26" i="4"/>
  <c r="G8" i="4"/>
  <c r="G16" i="4"/>
  <c r="M30" i="4"/>
  <c r="M31" i="4"/>
  <c r="F16" i="4"/>
  <c r="M28" i="4"/>
  <c r="M29" i="4"/>
  <c r="N26" i="4"/>
  <c r="M32" i="4"/>
  <c r="M33" i="4"/>
  <c r="N33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<sst xmlns="http://schemas.openxmlformats.org/spreadsheetml/2006/main" count="62" uniqueCount="54">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</sst>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6" fontId="0" fillId="2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P33"/>
  <sheetViews>
    <sheetView showGridLines="0" tabSelected="1" workbookViewId="0">
      <selection activeCell="P18" sqref="P18"/>
    </sheetView>
  </sheetViews>
  <sheetFormatPr baseColWidth="10" defaultRowHeight="14.25" x14ac:dyDescent="0.2"/>
  <cols>
    <col min="2" max="2" width="12.75" customWidth="1"/>
    <col min="3" max="3" width="16.125" customWidth="1"/>
    <col min="4" max="4" width="12.625" bestFit="1" customWidth="1"/>
    <col min="5" max="5" width="8.375" bestFit="1" customWidth="1"/>
    <col min="6" max="6" width="10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14" bestFit="1" customWidth="1"/>
    <col min="16" max="16" width="7.5" bestFit="1" customWidth="1"/>
  </cols>
  <sheetData>
    <row r="6" spans="2:16" ht="15" x14ac:dyDescent="0.25">
      <c r="B6" s="31" t="s">
        <v>32</v>
      </c>
      <c r="C6" s="31"/>
      <c r="D6" s="31"/>
      <c r="E6" s="31"/>
      <c r="F6" s="31"/>
      <c r="G6" s="31"/>
      <c r="J6" s="32" t="s">
        <v>53</v>
      </c>
      <c r="K6" s="32"/>
      <c r="L6" s="32"/>
      <c r="M6" s="32"/>
      <c r="N6" s="32"/>
      <c r="O6" s="32"/>
      <c r="P6" s="32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610000</v>
      </c>
      <c r="D8" s="10">
        <v>17.995000000000001</v>
      </c>
      <c r="E8" s="1">
        <f t="shared" ref="E8:E15" si="0">IF(AND(C8&gt;0,D8&gt;0),$M$20,"")</f>
        <v>18.0108</v>
      </c>
      <c r="F8" s="5">
        <f>+IF(D8&gt;0,D8/E8-1,"")</f>
        <v>-8.7725142692152147E-4</v>
      </c>
      <c r="G8" s="2">
        <f>+IFERROR(F8*C8,)</f>
        <v>-535.12337042212812</v>
      </c>
      <c r="J8" s="1">
        <v>1</v>
      </c>
      <c r="K8" t="s">
        <v>31</v>
      </c>
      <c r="L8" s="21">
        <v>30424855.4989</v>
      </c>
      <c r="M8" s="7">
        <v>97.984399999999994</v>
      </c>
      <c r="N8" s="30">
        <v>98.289400000000001</v>
      </c>
      <c r="O8" s="4">
        <f>+IF(AND(L8&gt;0,M8&gt;0,N8&gt;0),N8/M8-1,"")</f>
        <v>3.1127403954098742E-3</v>
      </c>
      <c r="P8" s="6">
        <f>+IF(L8&gt;0,L8/SUM($L$8:$L$16),"")</f>
        <v>1</v>
      </c>
    </row>
    <row r="9" spans="2:16" x14ac:dyDescent="0.2">
      <c r="B9" s="1">
        <v>2</v>
      </c>
      <c r="C9" s="9"/>
      <c r="D9" s="10"/>
      <c r="E9" s="1" t="str">
        <f t="shared" si="0"/>
        <v/>
      </c>
      <c r="F9" s="5" t="str">
        <f t="shared" ref="F9:F15" si="1">+IF(D9&gt;0,D9/E9-1,"")</f>
        <v/>
      </c>
      <c r="G9" s="2">
        <f t="shared" ref="G9:G15" si="2">+IFERROR(F9*C9,)</f>
        <v>0</v>
      </c>
      <c r="J9" s="1">
        <v>2</v>
      </c>
      <c r="L9" s="21"/>
      <c r="M9" s="7"/>
      <c r="N9" s="7"/>
      <c r="O9" s="6" t="str">
        <f t="shared" ref="O9:O16" si="3">+IF(AND(L9&gt;0,M9&gt;0,N9&gt;0),N9/M9-1,"")</f>
        <v/>
      </c>
      <c r="P9" s="6" t="str">
        <f t="shared" ref="P9:P16" si="4">+IF(L9&gt;0,L9/SUM($L$8:$L$16),"")</f>
        <v/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610000</v>
      </c>
      <c r="D16" s="13">
        <f>+SUMPRODUCT($C$8:$C$15,$D$8:$D$15)/SUM(C8:C15)</f>
        <v>17.995000000000001</v>
      </c>
      <c r="E16" s="11">
        <f>+$M$20</f>
        <v>18.0108</v>
      </c>
      <c r="F16" s="24">
        <f>+SUMPRODUCT($C$8:$C$15,$F$8:$F$15)/SUMPRODUCT($C$8:$C$15)</f>
        <v>-8.7725142692152147E-4</v>
      </c>
      <c r="G16" s="12">
        <f>+SUM(G8:G15)</f>
        <v>-535.12337042212812</v>
      </c>
      <c r="J16" s="1">
        <v>9</v>
      </c>
      <c r="L16" s="21"/>
      <c r="M16" s="7"/>
      <c r="N16" s="7"/>
      <c r="O16" s="6" t="str">
        <f t="shared" si="3"/>
        <v/>
      </c>
      <c r="P16" s="6" t="str">
        <f t="shared" si="4"/>
        <v/>
      </c>
    </row>
    <row r="17" spans="2:14" x14ac:dyDescent="0.2">
      <c r="B17" s="18"/>
      <c r="C17" s="19"/>
      <c r="D17" s="20"/>
      <c r="E17" s="18"/>
      <c r="F17" s="18"/>
      <c r="G17" s="19"/>
    </row>
    <row r="19" spans="2:14" ht="15" x14ac:dyDescent="0.25">
      <c r="B19" s="31" t="s">
        <v>35</v>
      </c>
      <c r="C19" s="31"/>
      <c r="D19" s="31"/>
      <c r="E19" s="31"/>
      <c r="F19" s="31"/>
      <c r="G19" s="31"/>
      <c r="H19" s="31"/>
      <c r="L19" s="31" t="s">
        <v>44</v>
      </c>
      <c r="M19" s="31"/>
    </row>
    <row r="20" spans="2:14" x14ac:dyDescent="0.2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7">
        <v>18.0108</v>
      </c>
    </row>
    <row r="21" spans="2:14" x14ac:dyDescent="0.2">
      <c r="B21" s="1">
        <v>1</v>
      </c>
      <c r="C21" s="7" t="s">
        <v>31</v>
      </c>
      <c r="D21" s="21">
        <v>610000</v>
      </c>
      <c r="E21" s="7">
        <v>97.993200000000002</v>
      </c>
      <c r="F21" s="17">
        <f>+IF(C21="","",VLOOKUP(C21,$K$8:$N$16,4,FALSE))</f>
        <v>98.289400000000001</v>
      </c>
      <c r="G21" s="5">
        <f>+IF(AND(F21&gt;0,E21&gt;0),F21/E21-1,"")</f>
        <v>3.0226587150945505E-3</v>
      </c>
      <c r="H21" s="3">
        <f>+IFERROR(G21*D21,)</f>
        <v>1843.8218162076757</v>
      </c>
      <c r="L21" s="7" t="s">
        <v>0</v>
      </c>
      <c r="M21" s="7">
        <v>17.87</v>
      </c>
    </row>
    <row r="22" spans="2:14" x14ac:dyDescent="0.2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</row>
    <row r="23" spans="2:14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</row>
    <row r="24" spans="2:14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35" t="s">
        <v>45</v>
      </c>
      <c r="M24" s="35"/>
      <c r="N24" s="35"/>
    </row>
    <row r="25" spans="2:14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34">
        <f>+SUM($L$8:$L$16)</f>
        <v>30424855.4989</v>
      </c>
      <c r="N25" s="34"/>
    </row>
    <row r="26" spans="2:14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-7.817531703200209E-3</v>
      </c>
      <c r="N26" s="19">
        <f>+M26*M25</f>
        <v>-237847.27242793597</v>
      </c>
    </row>
    <row r="27" spans="2:14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3.1127403954098742E-3</v>
      </c>
      <c r="N27" s="19">
        <f>+M27*M25</f>
        <v>94704.676735934278</v>
      </c>
    </row>
    <row r="28" spans="2:14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-4.7291252545152984E-3</v>
      </c>
      <c r="N28" s="25"/>
    </row>
    <row r="29" spans="2:14" ht="15" x14ac:dyDescent="0.25">
      <c r="B29" s="11" t="s">
        <v>42</v>
      </c>
      <c r="C29" s="14"/>
      <c r="D29" s="12">
        <f>+SUM(D21:D28)</f>
        <v>610000</v>
      </c>
      <c r="E29" s="13"/>
      <c r="F29" s="11"/>
      <c r="G29" s="24">
        <f>+SUMPRODUCT($D$21:$D$28,$G$21:$G$28)/SUMPRODUCT($D$21:$D$28)</f>
        <v>3.0226587150945505E-3</v>
      </c>
      <c r="H29" s="12">
        <f>+SUM(H21:H28)</f>
        <v>1843.8218162076757</v>
      </c>
      <c r="L29" s="16" t="s">
        <v>47</v>
      </c>
      <c r="M29" s="34">
        <f>+M25*(1+M28)</f>
        <v>30280972.546395175</v>
      </c>
      <c r="N29" s="34"/>
    </row>
    <row r="30" spans="2:14" x14ac:dyDescent="0.2">
      <c r="L30" s="16" t="s">
        <v>48</v>
      </c>
      <c r="M30" s="26">
        <f>+G16+H29</f>
        <v>1308.6984457855476</v>
      </c>
      <c r="N30" s="23"/>
    </row>
    <row r="31" spans="2:14" x14ac:dyDescent="0.2">
      <c r="L31" s="16" t="s">
        <v>52</v>
      </c>
      <c r="M31" s="22">
        <f>+M30/M25</f>
        <v>4.3014121984338204E-5</v>
      </c>
      <c r="N31" s="16"/>
    </row>
    <row r="32" spans="2:14" ht="15" x14ac:dyDescent="0.25">
      <c r="L32" s="16" t="s">
        <v>3</v>
      </c>
      <c r="M32" s="33">
        <f>+M25+N26+N27+M30</f>
        <v>30283021.601653785</v>
      </c>
      <c r="N32" s="33"/>
    </row>
    <row r="33" spans="12:14" ht="15" x14ac:dyDescent="0.25">
      <c r="L33" s="29" t="s">
        <v>51</v>
      </c>
      <c r="M33" s="27">
        <f>+M32/M25-1</f>
        <v>-4.6617771858059598E-3</v>
      </c>
      <c r="N33" s="28">
        <f>+M32-M25</f>
        <v>-141833.89724621549</v>
      </c>
    </row>
  </sheetData>
  <mergeCells count="8">
    <mergeCell ref="B6:G6"/>
    <mergeCell ref="J6:P6"/>
    <mergeCell ref="M32:N32"/>
    <mergeCell ref="M29:N29"/>
    <mergeCell ref="L24:N24"/>
    <mergeCell ref="M25:N25"/>
    <mergeCell ref="B19:H19"/>
    <mergeCell ref="L19:M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2018-01-05T14:47:08Z</dcterms:modified>
</cp:coreProperties>
</file>