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P20" i="4" s="1"/>
  <c r="P22" i="4" s="1"/>
  <c r="P21" i="4"/>
  <c r="C9" i="4" l="1"/>
  <c r="F21" i="4" l="1"/>
  <c r="G21" i="4" s="1"/>
  <c r="H21" i="4" s="1"/>
  <c r="E8" i="4"/>
  <c r="F8" i="4" s="1"/>
  <c r="G8" i="4" s="1"/>
  <c r="M25" i="4" l="1"/>
  <c r="F22" i="4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O9" i="4"/>
  <c r="O8" i="4"/>
  <c r="P8" i="4"/>
  <c r="P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D29" i="4"/>
  <c r="E10" i="4"/>
  <c r="F10" i="4" s="1"/>
  <c r="G10" i="4" s="1"/>
  <c r="E11" i="4"/>
  <c r="E12" i="4"/>
  <c r="E13" i="4"/>
  <c r="E14" i="4"/>
  <c r="E15" i="4"/>
  <c r="E16" i="4"/>
  <c r="D16" i="4"/>
  <c r="C16" i="4"/>
  <c r="M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F16" i="4" l="1"/>
  <c r="N26" i="4"/>
  <c r="G16" i="4"/>
  <c r="M27" i="4"/>
  <c r="N27" i="4" s="1"/>
  <c r="H22" i="4"/>
  <c r="H29" i="4" s="1"/>
  <c r="G29" i="4"/>
  <c r="M30" i="4" l="1"/>
  <c r="M31" i="4" s="1"/>
  <c r="M28" i="4"/>
  <c r="M29" i="4" s="1"/>
  <c r="M32" i="4" l="1"/>
  <c r="M33" i="4" s="1"/>
  <c r="N3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<sst xmlns="http://schemas.openxmlformats.org/spreadsheetml/2006/main" count="85" uniqueCount="71">
  <si>
    <t>FX inicio dia</t>
  </si>
  <si>
    <t>FX fin dia</t>
  </si>
  <si>
    <t>Trade n°</t>
  </si>
  <si>
    <t>Total Cartera USD fondo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</si>
  <si>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</si>
  <si>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</si>
  <si>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</si>
  <si>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</si>
  <si>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</si>
  <si>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</si>
  <si>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</si>
  <si>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</si>
  <si>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</si>
  <si>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</si>
  <si>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</si>
  <si>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</si>
  <si>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</si>
  <si>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</si>
  <si>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</si>
  <si>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</si>
  <si>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</si>
  <si>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</si>
  <si>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</si>
  <si>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</si>
  <si>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</si>
  <si>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</si>
  <si>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</si>
  <si>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</si>
  <si>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</si>
  <si>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</si>
  <si>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</si>
  <si>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</si>
  <si>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</si>
  <si>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</si>
  <si>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</si>
  <si>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</si>
  <si>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</si>
  <si>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</si>
  <si>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</si>
  <si>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</si>
  <si>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</si>
  <si>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</si>
  <si>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</si>
  <si>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</si>
  <si>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</si>
  <si>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Outputs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</si>
  <si>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</si>
  <si>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</si>
  <si>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</si>
  <si>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</si>
  <si>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</si>
  <si>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</si>
  <si>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</si>
  <si>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</si>
  <si>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</si>
  <si>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</si>
  <si>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</si>
  <si>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</si>
  <si>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</si>
  <si>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</si>
  <si>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</si>
  <si>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</si>
  <si>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</si>
  <si>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</si>
  <si>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</si>
  <si>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</si>
  <si>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</si>
  <si>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(Valores en ARS)</t>
  </si>
  <si>
    <t>Provisión Cartera Vigente</t>
  </si>
  <si>
    <t>Provisión compras</t>
  </si>
  <si>
    <t>Total Provisión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</si>
</sst>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0.000"/>
    <numFmt numFmtId="172" formatCode="#,##0.000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sz val="11"/>
      <color theme="1"/>
      <name val="Arial"/>
      <family val="2"/>
    </font>
    <font>
      <b/>
      <sz val="11"/>
      <color rgb="FF59594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  <fill>
      <patternFill patternType="solid">
        <fgColor rgb="FFBACDCD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rgb="FF80808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22" fontId="0" fillId="0" borderId="0" xfId="0" applyNumberFormat="1"/>
    <xf numFmtId="165" fontId="0" fillId="0" borderId="0" xfId="0" applyNumberFormat="1"/>
    <xf numFmtId="172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2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0" xfId="0" applyFont="1" applyFill="1" applyBorder="1"/>
    <xf numFmtId="165" fontId="6" fillId="0" borderId="0" xfId="1" applyNumberFormat="1" applyFont="1" applyFill="1" applyBorder="1"/>
    <xf numFmtId="0" fontId="7" fillId="0" borderId="10" xfId="0" applyFont="1" applyFill="1" applyBorder="1"/>
    <xf numFmtId="165" fontId="6" fillId="0" borderId="10" xfId="1" applyNumberFormat="1" applyFont="1" applyFill="1" applyBorder="1"/>
    <xf numFmtId="165" fontId="6" fillId="0" borderId="0" xfId="0" applyNumberFormat="1" applyFont="1" applyFill="1" applyBorder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workbookViewId="0">
      <selection activeCell="P21" sqref="P21"/>
    </sheetView>
  </sheetViews>
  <sheetFormatPr baseColWidth="10" defaultRowHeight="14.25" x14ac:dyDescent="0.2"/>
  <cols>
    <col min="1" max="1" width="4" customWidth="1"/>
    <col min="2" max="2" width="12.75" customWidth="1"/>
    <col min="3" max="3" width="16.125" customWidth="1"/>
    <col min="4" max="4" width="16.25" bestFit="1" customWidth="1"/>
    <col min="5" max="5" width="9.875" bestFit="1" customWidth="1"/>
    <col min="6" max="6" width="13.625" bestFit="1" customWidth="1"/>
    <col min="7" max="7" width="10.75" bestFit="1" customWidth="1"/>
    <col min="8" max="8" width="11.375" bestFit="1" customWidth="1"/>
    <col min="9" max="9" width="3.5" customWidth="1"/>
    <col min="10" max="10" width="7.625" customWidth="1"/>
    <col min="11" max="11" width="16.75" bestFit="1" customWidth="1"/>
    <col min="12" max="12" width="30.75" bestFit="1" customWidth="1"/>
    <col min="13" max="13" width="14.625" bestFit="1" customWidth="1"/>
    <col min="14" max="14" width="13.75" customWidth="1"/>
    <col min="15" max="15" width="24" bestFit="1" customWidth="1"/>
    <col min="16" max="16" width="16.125" bestFit="1" customWidth="1"/>
    <col min="17" max="17" width="15.125" bestFit="1" customWidth="1"/>
    <col min="18" max="18" width="12.625" bestFit="1" customWidth="1"/>
    <col min="19" max="19" width="12.375" bestFit="1" customWidth="1"/>
  </cols>
  <sheetData>
    <row r="6" spans="2:16" ht="15" x14ac:dyDescent="0.25">
      <c r="B6" s="59" t="s">
        <v>32</v>
      </c>
      <c r="C6" s="59"/>
      <c r="D6" s="59"/>
      <c r="E6" s="59"/>
      <c r="F6" s="59"/>
      <c r="G6" s="59"/>
      <c r="J6" s="60" t="s">
        <v>53</v>
      </c>
      <c r="K6" s="60"/>
      <c r="L6" s="60"/>
      <c r="M6" s="60"/>
      <c r="N6" s="60"/>
      <c r="O6" s="60"/>
      <c r="P6" s="60"/>
    </row>
    <row r="7" spans="2:16" x14ac:dyDescent="0.2">
      <c r="B7" s="8" t="s">
        <v>2</v>
      </c>
      <c r="C7" s="8" t="s">
        <v>33</v>
      </c>
      <c r="D7" s="8" t="s">
        <v>29</v>
      </c>
      <c r="E7" s="8" t="s">
        <v>1</v>
      </c>
      <c r="F7" s="8" t="s">
        <v>34</v>
      </c>
      <c r="G7" s="8" t="s">
        <v>30</v>
      </c>
      <c r="J7" s="8" t="s">
        <v>39</v>
      </c>
      <c r="K7" s="8" t="s">
        <v>4</v>
      </c>
      <c r="L7" s="8" t="s">
        <v>18</v>
      </c>
      <c r="M7" s="8" t="s">
        <v>40</v>
      </c>
      <c r="N7" s="8" t="s">
        <v>37</v>
      </c>
      <c r="O7" s="8" t="s">
        <v>38</v>
      </c>
      <c r="P7" s="8" t="s">
        <v>41</v>
      </c>
    </row>
    <row r="8" spans="2:16" x14ac:dyDescent="0.2">
      <c r="B8" s="1">
        <v>1</v>
      </c>
      <c r="C8" s="9">
        <v>3000000</v>
      </c>
      <c r="D8" s="10">
        <v>19.105</v>
      </c>
      <c r="E8" s="1">
        <f t="shared" ref="E8:E15" si="0">IF(AND(C8&gt;0,D8&gt;0),$M$20,"")</f>
        <v>19.0458</v>
      </c>
      <c r="F8" s="37">
        <f t="shared" ref="F8:F15" si="1">+IF(D8&gt;0,D8/E8-1,"")</f>
        <v>3.1082968423483681E-3</v>
      </c>
      <c r="G8" s="2">
        <f t="shared" ref="G8:G15" si="2">+IFERROR(F8*C8,)</f>
        <v>9324.890527045105</v>
      </c>
      <c r="J8" s="1">
        <v>1</v>
      </c>
      <c r="K8" t="s">
        <v>31</v>
      </c>
      <c r="L8" s="21">
        <v>37608790.647699997</v>
      </c>
      <c r="M8" s="57">
        <v>99.405199999999994</v>
      </c>
      <c r="N8" s="57">
        <v>99.472999999999999</v>
      </c>
      <c r="O8" s="4">
        <f>+IF(AND(L8&gt;0,M8&gt;0,N8&gt;0),N8/M8-1,"")</f>
        <v>6.8205687428823936E-4</v>
      </c>
      <c r="P8" s="6">
        <f>+IF(L8&gt;0,L8/SUM($L$8:$L$16),"")</f>
        <v>0.85583241462146031</v>
      </c>
    </row>
    <row r="9" spans="2:16" x14ac:dyDescent="0.2">
      <c r="B9" s="1">
        <v>2</v>
      </c>
      <c r="C9" s="9">
        <f>+C8</f>
        <v>3000000</v>
      </c>
      <c r="D9" s="10">
        <v>19.065000000000001</v>
      </c>
      <c r="E9" s="1">
        <f t="shared" si="0"/>
        <v>19.0458</v>
      </c>
      <c r="F9" s="5">
        <f t="shared" si="1"/>
        <v>1.0080962731942034E-3</v>
      </c>
      <c r="G9" s="2">
        <f t="shared" si="2"/>
        <v>3024.2888195826099</v>
      </c>
      <c r="J9" s="1">
        <v>2</v>
      </c>
      <c r="K9" t="s">
        <v>66</v>
      </c>
      <c r="L9" s="21">
        <v>6335315.7044000002</v>
      </c>
      <c r="M9" s="57">
        <v>96.892099999999999</v>
      </c>
      <c r="N9" s="7">
        <v>96.959699999999998</v>
      </c>
      <c r="O9" s="4">
        <f t="shared" ref="O9:O16" si="3">+IF(AND(L9&gt;0,M9&gt;0,N9&gt;0),N9/M9-1,"")</f>
        <v>6.9768329925756767E-4</v>
      </c>
      <c r="P9" s="6">
        <f t="shared" ref="P9:P15" si="4">+IF(L9&gt;0,L9/SUM($L$8:$L$16),"")</f>
        <v>0.14416758537853958</v>
      </c>
    </row>
    <row r="10" spans="2:16" x14ac:dyDescent="0.2">
      <c r="B10" s="1">
        <v>3</v>
      </c>
      <c r="C10" s="9">
        <v>3050000</v>
      </c>
      <c r="D10" s="10">
        <v>18.995000000000001</v>
      </c>
      <c r="E10" s="1">
        <f t="shared" si="0"/>
        <v>19.0458</v>
      </c>
      <c r="F10" s="5">
        <f t="shared" si="1"/>
        <v>-2.667254722825918E-3</v>
      </c>
      <c r="G10" s="2">
        <f t="shared" si="2"/>
        <v>-8135.12690461905</v>
      </c>
      <c r="J10" s="1">
        <v>3</v>
      </c>
      <c r="L10" s="21"/>
      <c r="M10" s="7"/>
      <c r="N10" s="7"/>
      <c r="O10" s="6" t="str">
        <f t="shared" si="3"/>
        <v/>
      </c>
      <c r="P10" s="6" t="str">
        <f t="shared" si="4"/>
        <v/>
      </c>
    </row>
    <row r="11" spans="2:16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J11" s="1">
        <v>4</v>
      </c>
      <c r="L11" s="21"/>
      <c r="M11" s="7"/>
      <c r="N11" s="7"/>
      <c r="O11" s="6" t="str">
        <f t="shared" si="3"/>
        <v/>
      </c>
      <c r="P11" s="6" t="str">
        <f t="shared" si="4"/>
        <v/>
      </c>
    </row>
    <row r="12" spans="2:16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J12" s="1">
        <v>5</v>
      </c>
      <c r="L12" s="21"/>
      <c r="M12" s="7"/>
      <c r="N12" s="7"/>
      <c r="O12" s="6" t="str">
        <f t="shared" si="3"/>
        <v/>
      </c>
      <c r="P12" s="6" t="str">
        <f t="shared" si="4"/>
        <v/>
      </c>
    </row>
    <row r="13" spans="2:16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J13" s="1">
        <v>6</v>
      </c>
      <c r="L13" s="21"/>
      <c r="M13" s="7"/>
      <c r="N13" s="7"/>
      <c r="O13" s="6" t="str">
        <f t="shared" si="3"/>
        <v/>
      </c>
      <c r="P13" s="6" t="str">
        <f t="shared" si="4"/>
        <v/>
      </c>
    </row>
    <row r="14" spans="2:16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J14" s="1">
        <v>7</v>
      </c>
      <c r="L14" s="21"/>
      <c r="M14" s="7"/>
      <c r="N14" s="7"/>
      <c r="O14" s="6" t="str">
        <f t="shared" si="3"/>
        <v/>
      </c>
      <c r="P14" s="6" t="str">
        <f t="shared" si="4"/>
        <v/>
      </c>
    </row>
    <row r="15" spans="2:16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J15" s="1">
        <v>8</v>
      </c>
      <c r="L15" s="21"/>
      <c r="M15" s="7"/>
      <c r="N15" s="7"/>
      <c r="O15" s="6" t="str">
        <f t="shared" si="3"/>
        <v/>
      </c>
      <c r="P15" s="6" t="str">
        <f t="shared" si="4"/>
        <v/>
      </c>
    </row>
    <row r="16" spans="2:16" x14ac:dyDescent="0.2">
      <c r="B16" s="11" t="s">
        <v>42</v>
      </c>
      <c r="C16" s="12">
        <f>+SUM(C8:C15)</f>
        <v>9050000</v>
      </c>
      <c r="D16" s="13">
        <f>+SUMPRODUCT($C$8:$C$15,$D$8:$D$15)/SUM(C8:C15)</f>
        <v>19.054668508287293</v>
      </c>
      <c r="E16" s="11">
        <f>+$M$20</f>
        <v>19.0458</v>
      </c>
      <c r="F16" s="24">
        <f>+SUMPRODUCT($C$8:$C$15,$F$8:$F$15)/SUMPRODUCT($C$8:$C$15)</f>
        <v>4.6564115381311224E-4</v>
      </c>
      <c r="G16" s="12">
        <f>+SUM(G8:G15)</f>
        <v>4214.0524420086658</v>
      </c>
      <c r="J16" s="1">
        <v>9</v>
      </c>
      <c r="L16" s="21"/>
      <c r="M16" s="7"/>
      <c r="N16" s="7"/>
      <c r="O16" s="6" t="str">
        <f t="shared" si="3"/>
        <v/>
      </c>
      <c r="P16" s="6"/>
    </row>
    <row r="17" spans="2:18" x14ac:dyDescent="0.2">
      <c r="B17" s="18"/>
      <c r="C17" s="19"/>
      <c r="D17" s="20"/>
      <c r="E17" s="18"/>
      <c r="F17" s="18"/>
      <c r="G17" s="19"/>
      <c r="L17" s="50">
        <f>+SUM(L8:L16)</f>
        <v>43944106.3521</v>
      </c>
    </row>
    <row r="18" spans="2:18" x14ac:dyDescent="0.2">
      <c r="Q18" s="25"/>
    </row>
    <row r="19" spans="2:18" ht="15" x14ac:dyDescent="0.25">
      <c r="B19" s="59" t="s">
        <v>35</v>
      </c>
      <c r="C19" s="59"/>
      <c r="D19" s="59"/>
      <c r="E19" s="59"/>
      <c r="F19" s="59"/>
      <c r="G19" s="59"/>
      <c r="H19" s="59"/>
      <c r="L19" s="59" t="s">
        <v>44</v>
      </c>
      <c r="M19" s="59"/>
      <c r="O19" s="66" t="s">
        <v>67</v>
      </c>
      <c r="P19" s="66"/>
      <c r="Q19" s="25"/>
      <c r="R19" s="50"/>
    </row>
    <row r="20" spans="2:18" ht="14.25" customHeight="1" x14ac:dyDescent="0.25">
      <c r="B20" s="15" t="s">
        <v>2</v>
      </c>
      <c r="C20" s="15" t="s">
        <v>4</v>
      </c>
      <c r="D20" s="15" t="s">
        <v>33</v>
      </c>
      <c r="E20" s="15" t="s">
        <v>36</v>
      </c>
      <c r="F20" s="15" t="s">
        <v>37</v>
      </c>
      <c r="G20" s="15" t="s">
        <v>38</v>
      </c>
      <c r="H20" s="15" t="s">
        <v>43</v>
      </c>
      <c r="L20" s="7" t="s">
        <v>1</v>
      </c>
      <c r="M20" s="51">
        <v>19.0458</v>
      </c>
      <c r="N20" s="50"/>
      <c r="O20" s="67" t="s">
        <v>68</v>
      </c>
      <c r="P20" s="68">
        <f>+L17*M21*M27*5%</f>
        <v>28676.817995364981</v>
      </c>
      <c r="Q20" s="50"/>
      <c r="R20" s="50"/>
    </row>
    <row r="21" spans="2:18" ht="15" x14ac:dyDescent="0.25">
      <c r="B21" s="1">
        <v>1</v>
      </c>
      <c r="C21" s="7" t="s">
        <v>31</v>
      </c>
      <c r="D21" s="21">
        <v>9050000</v>
      </c>
      <c r="E21" s="57">
        <v>99.403000000000006</v>
      </c>
      <c r="F21" s="58">
        <f t="shared" ref="F21:F28" si="5">+IF(C21="","",VLOOKUP(C21,$K$8:$N$16,4,FALSE))</f>
        <v>99.472999999999999</v>
      </c>
      <c r="G21" s="37">
        <f t="shared" ref="G21:G28" si="6">+IF(AND(F21&gt;0,E21&gt;0),F21/E21-1,"")</f>
        <v>7.0420409846772003E-4</v>
      </c>
      <c r="H21" s="3">
        <f t="shared" ref="H21:H28" si="7">+IFERROR(G21*D21,)</f>
        <v>6373.0470911328666</v>
      </c>
      <c r="L21" s="7" t="s">
        <v>0</v>
      </c>
      <c r="M21" s="51">
        <v>19.072500000000002</v>
      </c>
      <c r="O21" s="69" t="s">
        <v>69</v>
      </c>
      <c r="P21" s="70">
        <f>+H29*D16*5%</f>
        <v>6071.8149854620688</v>
      </c>
      <c r="Q21" s="50"/>
    </row>
    <row r="22" spans="2:18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O22" s="67" t="s">
        <v>70</v>
      </c>
      <c r="P22" s="71">
        <f>+SUM(P20:P21)</f>
        <v>34748.632980827053</v>
      </c>
    </row>
    <row r="23" spans="2:18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P23" s="52"/>
      <c r="Q23" s="50"/>
    </row>
    <row r="24" spans="2:18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L24" s="63" t="s">
        <v>45</v>
      </c>
      <c r="M24" s="63"/>
      <c r="N24" s="63"/>
      <c r="Q24" s="30"/>
    </row>
    <row r="25" spans="2:18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L25" s="16" t="s">
        <v>28</v>
      </c>
      <c r="M25" s="62">
        <f>+SUM(L8:L16)</f>
        <v>43944106.3521</v>
      </c>
      <c r="N25" s="62"/>
      <c r="O25" s="50"/>
      <c r="P25" s="50"/>
      <c r="Q25" s="48"/>
    </row>
    <row r="26" spans="2:18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L26" s="16" t="s">
        <v>49</v>
      </c>
      <c r="M26" s="22">
        <f>+M21/M20-1</f>
        <v>1.4018838799105815E-3</v>
      </c>
      <c r="N26" s="19">
        <f>+M26*M25</f>
        <v>61604.534312085176</v>
      </c>
      <c r="P26" s="34"/>
    </row>
    <row r="27" spans="2:18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L27" s="16" t="s">
        <v>50</v>
      </c>
      <c r="M27" s="22">
        <f>+SUMPRODUCT($O$8:$O$16,$P$8:$P$16)</f>
        <v>6.8430969824416629E-4</v>
      </c>
      <c r="N27" s="19">
        <f>+M27*M25</f>
        <v>30071.378157415103</v>
      </c>
      <c r="P27" s="50"/>
    </row>
    <row r="28" spans="2:18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16"/>
      <c r="L28" s="16" t="s">
        <v>46</v>
      </c>
      <c r="M28" s="22">
        <f>+(1+M26)*(1+M27)-1</f>
        <v>2.0871529008894552E-3</v>
      </c>
      <c r="N28" s="25"/>
    </row>
    <row r="29" spans="2:18" ht="15" x14ac:dyDescent="0.25">
      <c r="B29" s="11" t="s">
        <v>42</v>
      </c>
      <c r="C29" s="14"/>
      <c r="D29" s="12">
        <f>+SUM(D21:D28)</f>
        <v>9050000</v>
      </c>
      <c r="E29" s="13"/>
      <c r="F29" s="11"/>
      <c r="G29" s="24">
        <f>+SUMPRODUCT($D$21:$D$28,$G$21:$G$28)/SUMPRODUCT($D$21:$D$28)</f>
        <v>7.0420409846772003E-4</v>
      </c>
      <c r="H29" s="12">
        <f>+SUM(H21:H28)</f>
        <v>6373.0470911328666</v>
      </c>
      <c r="L29" s="16" t="s">
        <v>47</v>
      </c>
      <c r="M29" s="62">
        <f>+M25*(1+M28)+L17</f>
        <v>87979930.773249775</v>
      </c>
      <c r="N29" s="62"/>
      <c r="O29" s="50"/>
    </row>
    <row r="30" spans="2:18" x14ac:dyDescent="0.2">
      <c r="L30" s="16" t="s">
        <v>48</v>
      </c>
      <c r="M30" s="26">
        <f>+G16+H29</f>
        <v>10587.099533141532</v>
      </c>
      <c r="N30" s="23"/>
      <c r="P30" s="3"/>
    </row>
    <row r="31" spans="2:18" x14ac:dyDescent="0.2">
      <c r="L31" s="16" t="s">
        <v>52</v>
      </c>
      <c r="M31" s="22">
        <f>+M30/M25</f>
        <v>2.4092194407852822E-4</v>
      </c>
      <c r="N31" s="16"/>
      <c r="P31" s="50"/>
      <c r="Q31" s="50"/>
    </row>
    <row r="32" spans="2:18" ht="15" x14ac:dyDescent="0.25">
      <c r="L32" s="16" t="s">
        <v>3</v>
      </c>
      <c r="M32" s="61">
        <f>+M25+N26+N27+M30</f>
        <v>44046369.364102639</v>
      </c>
      <c r="N32" s="61"/>
      <c r="P32" s="30"/>
      <c r="Q32" s="34"/>
    </row>
    <row r="33" spans="4:16" ht="15" x14ac:dyDescent="0.25">
      <c r="L33" s="29" t="s">
        <v>51</v>
      </c>
      <c r="M33" s="27">
        <f>+(M32+Q24+Q23)/(M25+Q23)-1</f>
        <v>2.3271155222333029E-3</v>
      </c>
      <c r="N33" s="28">
        <f>+M32-M25</f>
        <v>102263.01200263947</v>
      </c>
      <c r="P33" s="31"/>
    </row>
    <row r="35" spans="4:16" x14ac:dyDescent="0.2">
      <c r="D35" s="30"/>
      <c r="N35" s="50"/>
    </row>
    <row r="36" spans="4:16" x14ac:dyDescent="0.2">
      <c r="D36" s="52"/>
    </row>
    <row r="37" spans="4:16" x14ac:dyDescent="0.2">
      <c r="D37" s="3"/>
      <c r="F37" s="34"/>
    </row>
    <row r="38" spans="4:16" x14ac:dyDescent="0.2">
      <c r="D38" s="50"/>
    </row>
    <row r="39" spans="4:16" ht="15" x14ac:dyDescent="0.25">
      <c r="D39" s="50"/>
      <c r="F39" s="50"/>
      <c r="M39" s="53"/>
      <c r="N39" s="53"/>
      <c r="O39" s="54"/>
    </row>
    <row r="40" spans="4:16" ht="15" x14ac:dyDescent="0.25">
      <c r="F40" s="50"/>
      <c r="M40" s="53"/>
      <c r="N40" s="53"/>
      <c r="O40" s="54"/>
    </row>
    <row r="41" spans="4:16" x14ac:dyDescent="0.2">
      <c r="M41" s="53"/>
      <c r="N41" s="53"/>
      <c r="O41" s="53"/>
    </row>
    <row r="42" spans="4:16" ht="15" x14ac:dyDescent="0.25">
      <c r="M42" s="53"/>
      <c r="N42" s="53"/>
      <c r="O42" s="54"/>
    </row>
    <row r="43" spans="4:16" ht="15" x14ac:dyDescent="0.25">
      <c r="O43" s="54"/>
    </row>
    <row r="45" spans="4:16" x14ac:dyDescent="0.2">
      <c r="O45" s="53"/>
    </row>
    <row r="46" spans="4:16" x14ac:dyDescent="0.2">
      <c r="O46" s="34"/>
    </row>
    <row r="50" spans="14:21" x14ac:dyDescent="0.2">
      <c r="N50" s="53"/>
      <c r="O50" s="4"/>
      <c r="P50" s="53"/>
      <c r="Q50" s="4"/>
      <c r="S50" s="53"/>
      <c r="T50" s="56"/>
      <c r="U50" s="34"/>
    </row>
    <row r="51" spans="14:21" x14ac:dyDescent="0.2">
      <c r="N51" s="53"/>
      <c r="O51" s="4"/>
      <c r="P51" s="53"/>
      <c r="Q51" s="4"/>
      <c r="S51" s="53"/>
      <c r="T51" s="56"/>
      <c r="U51" s="34"/>
    </row>
    <row r="52" spans="14:21" x14ac:dyDescent="0.2">
      <c r="N52" s="53"/>
      <c r="O52" s="4"/>
      <c r="P52" s="53"/>
      <c r="Q52" s="4"/>
      <c r="T52" s="56"/>
    </row>
    <row r="53" spans="14:21" x14ac:dyDescent="0.2">
      <c r="N53" s="53"/>
      <c r="O53" s="4"/>
      <c r="P53" s="53"/>
      <c r="Q53" s="4"/>
      <c r="S53" s="53"/>
      <c r="T53" s="56"/>
      <c r="U53" s="34"/>
    </row>
    <row r="54" spans="14:21" ht="15" x14ac:dyDescent="0.25">
      <c r="N54" s="54"/>
    </row>
    <row r="58" spans="14:21" x14ac:dyDescent="0.2">
      <c r="N58" s="55"/>
    </row>
    <row r="59" spans="14:21" x14ac:dyDescent="0.2">
      <c r="N59" s="55"/>
    </row>
    <row r="60" spans="14:21" x14ac:dyDescent="0.2">
      <c r="N60" s="55"/>
    </row>
    <row r="61" spans="14:21" x14ac:dyDescent="0.2">
      <c r="N61" s="55"/>
    </row>
    <row r="62" spans="14:21" x14ac:dyDescent="0.2">
      <c r="N62" s="55"/>
    </row>
  </sheetData>
  <mergeCells count="9">
    <mergeCell ref="B6:G6"/>
    <mergeCell ref="J6:P6"/>
    <mergeCell ref="M32:N32"/>
    <mergeCell ref="M29:N29"/>
    <mergeCell ref="L24:N24"/>
    <mergeCell ref="M25:N25"/>
    <mergeCell ref="B19:H19"/>
    <mergeCell ref="L19:M19"/>
    <mergeCell ref="O19:P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3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3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 t="str">
        <f>+ "LEBAC "&amp;C2</f>
        <v>LEBAC 20-12-2017</v>
      </c>
      <c r="C2" t="s">
        <v>19</v>
      </c>
      <c r="D2" t="str">
        <f ca="1">IF(TODAY()&gt;=C2,"Vencida","Vigente")</f>
        <v>Vigente</v>
      </c>
    </row>
    <row r="3" spans="1:4" x14ac:dyDescent="0.2">
      <c r="A3" t="s">
        <v>10</v>
      </c>
      <c r="B3" t="str">
        <f t="shared" ref="B3:B10" si="0">+ "LEBAC "&amp;C3</f>
        <v>LEBAC 17-01-2018</v>
      </c>
      <c r="C3" t="s">
        <v>20</v>
      </c>
      <c r="D3" t="str">
        <f t="shared" ref="D3:D10" ca="1" si="1">IF(TODAY()&gt;=C3,"Vencida","Vigente")</f>
        <v>Vigente</v>
      </c>
    </row>
    <row r="4" spans="1:4" x14ac:dyDescent="0.2">
      <c r="A4" t="s">
        <v>11</v>
      </c>
      <c r="B4" t="str">
        <f t="shared" si="0"/>
        <v>LEBAC 21-02-2018</v>
      </c>
      <c r="C4" t="s">
        <v>21</v>
      </c>
      <c r="D4" t="str">
        <f t="shared" ca="1" si="1"/>
        <v>Vigente</v>
      </c>
    </row>
    <row r="5" spans="1:4" x14ac:dyDescent="0.2">
      <c r="A5" t="s">
        <v>12</v>
      </c>
      <c r="B5" t="str">
        <f t="shared" si="0"/>
        <v>LEBAC 21-03-2018</v>
      </c>
      <c r="C5" t="s">
        <v>22</v>
      </c>
      <c r="D5" t="str">
        <f t="shared" ca="1" si="1"/>
        <v>Vigente</v>
      </c>
    </row>
    <row r="6" spans="1:4" x14ac:dyDescent="0.2">
      <c r="A6" t="s">
        <v>13</v>
      </c>
      <c r="B6" t="str">
        <f t="shared" si="0"/>
        <v>LEBAC 18-04-2018</v>
      </c>
      <c r="C6" t="s">
        <v>23</v>
      </c>
      <c r="D6" t="str">
        <f t="shared" ca="1" si="1"/>
        <v>Vigente</v>
      </c>
    </row>
    <row r="7" spans="1:4" x14ac:dyDescent="0.2">
      <c r="A7" t="s">
        <v>14</v>
      </c>
      <c r="B7" t="str">
        <f t="shared" si="0"/>
        <v>LEBAC 16-05-2018</v>
      </c>
      <c r="C7" t="s">
        <v>24</v>
      </c>
      <c r="D7" t="str">
        <f t="shared" ca="1" si="1"/>
        <v>Vigente</v>
      </c>
    </row>
    <row r="8" spans="1:4" x14ac:dyDescent="0.2">
      <c r="A8" t="s">
        <v>15</v>
      </c>
      <c r="B8" t="str">
        <f t="shared" si="0"/>
        <v>LEBAC 21-06-2018</v>
      </c>
      <c r="C8" t="s">
        <v>25</v>
      </c>
      <c r="D8" t="str">
        <f t="shared" ca="1" si="1"/>
        <v>Vigente</v>
      </c>
    </row>
    <row r="9" spans="1:4" x14ac:dyDescent="0.2">
      <c r="A9" t="s">
        <v>16</v>
      </c>
      <c r="B9" t="str">
        <f t="shared" si="0"/>
        <v>LEBAC 18-07-2018</v>
      </c>
      <c r="C9" t="s">
        <v>26</v>
      </c>
      <c r="D9" t="str">
        <f t="shared" ca="1" si="1"/>
        <v>Vigente</v>
      </c>
    </row>
    <row r="10" spans="1:4" x14ac:dyDescent="0.2">
      <c r="A10" t="s">
        <v>17</v>
      </c>
      <c r="B10" t="str">
        <f t="shared" si="0"/>
        <v>LEBAC 15-08-2018</v>
      </c>
      <c r="C10" t="s">
        <v>27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55</v>
      </c>
      <c r="B1" t="s">
        <v>54</v>
      </c>
      <c r="C1" t="s">
        <v>57</v>
      </c>
      <c r="E1" t="s">
        <v>55</v>
      </c>
      <c r="F1" t="s">
        <v>58</v>
      </c>
      <c r="H1" s="1" t="s">
        <v>55</v>
      </c>
      <c r="I1" s="1" t="s">
        <v>49</v>
      </c>
      <c r="J1" s="1" t="s">
        <v>59</v>
      </c>
      <c r="K1" s="1" t="s">
        <v>60</v>
      </c>
      <c r="L1" s="1" t="s">
        <v>63</v>
      </c>
      <c r="M1" s="1" t="s">
        <v>61</v>
      </c>
      <c r="N1" s="1"/>
    </row>
    <row r="2" spans="1:16" x14ac:dyDescent="0.2">
      <c r="A2" s="32">
        <v>43075</v>
      </c>
      <c r="B2" s="33">
        <v>1000</v>
      </c>
      <c r="C2" t="s">
        <v>56</v>
      </c>
      <c r="E2" s="32">
        <v>43075</v>
      </c>
      <c r="F2" s="33">
        <v>17.286200000000001</v>
      </c>
      <c r="H2" s="35">
        <f>+E2</f>
        <v>43075</v>
      </c>
      <c r="I2" s="1" t="s">
        <v>56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9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9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9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9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9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9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9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9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9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9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9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9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9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9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9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9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9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9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64" t="s">
        <v>64</v>
      </c>
      <c r="O20" s="65"/>
      <c r="P20" s="49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49</v>
      </c>
      <c r="O21" s="44">
        <f>+L17/100-1</f>
        <v>-7.9257704722438538E-2</v>
      </c>
      <c r="P21" s="49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57</v>
      </c>
      <c r="O22" s="45">
        <f>+M17/100-1</f>
        <v>-5.810854235160956E-2</v>
      </c>
      <c r="P22" s="49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65</v>
      </c>
      <c r="O23" s="46">
        <f>28.75%/365*24</f>
        <v>1.8904109589041096E-2</v>
      </c>
      <c r="P23" s="49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62</v>
      </c>
      <c r="O24" s="45">
        <f>+O22-O21-O23</f>
        <v>2.2450527817878818E-3</v>
      </c>
      <c r="P24" s="49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9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9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9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9"/>
    </row>
    <row r="29" spans="1:16" x14ac:dyDescent="0.2">
      <c r="O29" s="47"/>
      <c r="P29" s="49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2018-02-01T14:13:20Z</dcterms:modified>
</cp:coreProperties>
</file>