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1570" windowHeight="7965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K17" i="4"/>
  <c r="D16" i="4"/>
  <c r="F21" i="4"/>
  <c r="G21" i="4"/>
  <c r="E8" i="4"/>
  <c r="F8" i="4"/>
  <c r="G8" i="4"/>
  <c r="F22" i="4"/>
  <c r="G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N9" i="4"/>
  <c r="N8" i="4"/>
  <c r="O8" i="4"/>
  <c r="O9" i="4"/>
  <c r="E9" i="4"/>
  <c r="F9" i="4"/>
  <c r="G9" i="4"/>
  <c r="F11" i="4"/>
  <c r="G11" i="4"/>
  <c r="F12" i="4"/>
  <c r="G12" i="4"/>
  <c r="F13" i="4"/>
  <c r="G13" i="4"/>
  <c r="F14" i="4"/>
  <c r="G14" i="4"/>
  <c r="F15" i="4"/>
  <c r="G15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E10" i="4"/>
  <c r="F10" i="4"/>
  <c r="G10" i="4"/>
  <c r="E11" i="4"/>
  <c r="E12" i="4"/>
  <c r="E13" i="4"/>
  <c r="E14" i="4"/>
  <c r="E15" i="4"/>
  <c r="E16" i="4"/>
  <c r="C16" i="4"/>
  <c r="H21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D29" i="4"/>
  <c r="G29" i="4"/>
  <c r="F16" i="4"/>
  <c r="M26" i="4"/>
  <c r="G16" i="4"/>
  <c r="L27" i="4"/>
  <c r="H22" i="4"/>
  <c r="H29" i="4"/>
  <c r="N21" i="4"/>
  <c r="M27" i="4"/>
  <c r="N20" i="4"/>
  <c r="N22" i="4"/>
  <c r="L33" i="4"/>
  <c r="L30" i="4"/>
  <c r="L31" i="4"/>
  <c r="L28" i="4"/>
  <c r="L29" i="4"/>
  <c r="L32" i="4"/>
  <c r="L35" i="4"/>
  <c r="M35" i="4"/>
  <c r="L34" i="4"/>
  <c r="L36" i="4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<sst xmlns="http://schemas.openxmlformats.org/spreadsheetml/2006/main" count="86" uniqueCount="73">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</sst>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N15" sqref="N15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4" t="s">
        <v>30</v>
      </c>
      <c r="C6" s="74"/>
      <c r="D6" s="74"/>
      <c r="E6" s="74"/>
      <c r="F6" s="74"/>
      <c r="G6" s="74"/>
      <c r="I6" s="72" t="s">
        <v>49</v>
      </c>
      <c r="J6" s="72"/>
      <c r="K6" s="72"/>
      <c r="L6" s="72"/>
      <c r="M6" s="72"/>
      <c r="N6" s="72"/>
      <c r="O6" s="72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/>
      <c r="D8" s="10"/>
      <c r="E8" s="1" t="str">
        <f t="shared" ref="E8:E15" si="0">IF(AND(C8&gt;0,D8&gt;0),$K$20,"")</f>
        <v/>
      </c>
      <c r="F8" s="37" t="str">
        <f t="shared" ref="F8:F15" si="1">+IF(D8&gt;0,D8/E8-1,"")</f>
        <v/>
      </c>
      <c r="G8" s="2">
        <f t="shared" ref="G8:G15" si="2">+IFERROR(F8*C8,)</f>
        <v>0</v>
      </c>
      <c r="I8" s="1">
        <v>1</v>
      </c>
      <c r="J8" t="s">
        <v>62</v>
      </c>
      <c r="K8" s="21">
        <v>59945641.322800003</v>
      </c>
      <c r="L8" s="56">
        <v>98.325599999999994</v>
      </c>
      <c r="M8" s="56">
        <v>98.397300000000001</v>
      </c>
      <c r="N8" s="4">
        <f t="shared" ref="N8:N16" si="3">+IF(AND(K8&gt;0,L8&gt;0,M8&gt;0),M8/L8-1,"")</f>
        <v>7.2920989040503592E-4</v>
      </c>
      <c r="O8" s="6">
        <f t="shared" ref="O8:O15" si="4">+IF(K8&gt;0,K8/SUM($K$8:$K$16),"")</f>
        <v>1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K9" s="21"/>
      <c r="L9" s="7"/>
      <c r="M9" s="56"/>
      <c r="N9" s="4" t="str">
        <f t="shared" si="3"/>
        <v/>
      </c>
      <c r="O9" s="6" t="str">
        <f t="shared" si="4"/>
        <v/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0</v>
      </c>
      <c r="D16" s="13">
        <f>+IFERROR(SUMPRODUCT($C$8:$C$15,$D$8:$D$15)/SUM(C8:C15),0)</f>
        <v>0</v>
      </c>
      <c r="E16" s="11">
        <f>+$K$20</f>
        <v>19.5717</v>
      </c>
      <c r="F16" s="24" t="e">
        <f>+SUMPRODUCT($C$8:$C$15,$F$8:$F$15)/SUMPRODUCT($C$8:$C$15)</f>
        <v>#DIV/0!</v>
      </c>
      <c r="G16" s="12">
        <f>+SUM(G8:G15)</f>
        <v>0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59945641.322800003</v>
      </c>
    </row>
    <row r="19" spans="2:16" ht="15" x14ac:dyDescent="0.25">
      <c r="B19" s="74" t="s">
        <v>33</v>
      </c>
      <c r="C19" s="74"/>
      <c r="D19" s="74"/>
      <c r="E19" s="74"/>
      <c r="F19" s="74"/>
      <c r="G19" s="74"/>
      <c r="H19" s="74"/>
      <c r="I19" s="61"/>
      <c r="J19" s="74" t="s">
        <v>42</v>
      </c>
      <c r="K19" s="74"/>
      <c r="M19" s="72" t="s">
        <v>70</v>
      </c>
      <c r="N19" s="72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19.5717</v>
      </c>
      <c r="L20" s="49"/>
      <c r="M20" s="62" t="s">
        <v>65</v>
      </c>
      <c r="N20" s="3">
        <f>+K17*K21*L27*5%</f>
        <v>42667.559231452207</v>
      </c>
      <c r="O20" s="49"/>
    </row>
    <row r="21" spans="2:16" ht="15" x14ac:dyDescent="0.25">
      <c r="B21" s="1">
        <v>1</v>
      </c>
      <c r="C21" s="7"/>
      <c r="D21" s="21"/>
      <c r="E21" s="56"/>
      <c r="F21" s="57" t="str">
        <f t="shared" ref="F21:F28" si="5">+IF(C21="","",VLOOKUP(C21,$J$8:$M$16,4,FALSE))</f>
        <v/>
      </c>
      <c r="G21" s="37" t="str">
        <f t="shared" ref="G21:G28" si="6">+IF(AND(F21&gt;0,E21&gt;0),F21/E21-1,"")</f>
        <v/>
      </c>
      <c r="H21" s="3">
        <f t="shared" ref="H21:H28" si="7">+IFERROR(G21*D21,)</f>
        <v>0</v>
      </c>
      <c r="I21" s="3"/>
      <c r="J21" s="7" t="s">
        <v>0</v>
      </c>
      <c r="K21" s="50">
        <v>19.521699999999999</v>
      </c>
      <c r="M21" s="63" t="s">
        <v>66</v>
      </c>
      <c r="N21" s="64">
        <f>+H29*D16*5%</f>
        <v>0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42667.559231452207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5" t="s">
        <v>68</v>
      </c>
      <c r="L24" s="75"/>
      <c r="M24" s="75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3">
        <f>+SUM(K8:K16)+$C$34</f>
        <v>59945641.322800003</v>
      </c>
      <c r="M25" s="73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-2.5547090952753315E-3</v>
      </c>
      <c r="M26" s="19">
        <f>+L26*L25</f>
        <v>-153143.67510946991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7.2920989040503592E-4</v>
      </c>
      <c r="M27" s="69">
        <f>+L27*K17</f>
        <v>43712.954539258586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-1.8273621240096904E-3</v>
      </c>
      <c r="M28" s="25"/>
    </row>
    <row r="29" spans="2:16" ht="15" x14ac:dyDescent="0.25">
      <c r="B29" s="11" t="s">
        <v>40</v>
      </c>
      <c r="C29" s="14"/>
      <c r="D29" s="12">
        <f>+SUM(D21:D28)</f>
        <v>0</v>
      </c>
      <c r="E29" s="13"/>
      <c r="F29" s="11"/>
      <c r="G29" s="24">
        <f>+IFERROR(SUMPRODUCT($D$21:$D$28,$G$21:$G$28)/SUMPRODUCT($D$21:$D$28),0)</f>
        <v>0</v>
      </c>
      <c r="H29" s="12">
        <f>+SUM(H21:H28)</f>
        <v>0</v>
      </c>
      <c r="I29" s="19"/>
      <c r="K29" s="16" t="s">
        <v>44</v>
      </c>
      <c r="L29" s="73">
        <f>+K17*(1+L28)+C34</f>
        <v>59836098.928347245</v>
      </c>
      <c r="M29" s="73"/>
      <c r="N29" s="49"/>
    </row>
    <row r="30" spans="2:16" x14ac:dyDescent="0.2">
      <c r="K30" s="16" t="s">
        <v>45</v>
      </c>
      <c r="L30" s="26">
        <f>+G16+H29</f>
        <v>0</v>
      </c>
      <c r="M30" s="23"/>
      <c r="O30" s="3"/>
    </row>
    <row r="31" spans="2:16" x14ac:dyDescent="0.2">
      <c r="K31" s="16" t="s">
        <v>48</v>
      </c>
      <c r="L31" s="22">
        <f>+L30/L25</f>
        <v>0</v>
      </c>
      <c r="M31" s="16"/>
      <c r="O31" s="49"/>
    </row>
    <row r="32" spans="2:16" ht="15" x14ac:dyDescent="0.25">
      <c r="D32" s="51"/>
      <c r="K32" s="16" t="s">
        <v>69</v>
      </c>
      <c r="L32" s="73">
        <f>+L25+M26+M27+L30</f>
        <v>59836210.602229796</v>
      </c>
      <c r="M32" s="73"/>
      <c r="O32" s="30"/>
    </row>
    <row r="33" spans="3:16" ht="15" x14ac:dyDescent="0.25">
      <c r="D33" s="3"/>
      <c r="E33" s="59"/>
      <c r="F33" s="58"/>
      <c r="K33" s="47" t="s">
        <v>63</v>
      </c>
      <c r="L33" s="73">
        <f>+N22/K20</f>
        <v>2180.064032835789</v>
      </c>
      <c r="M33" s="73"/>
      <c r="O33" s="31"/>
    </row>
    <row r="34" spans="3:16" ht="15" x14ac:dyDescent="0.25">
      <c r="C34" s="3"/>
      <c r="D34" s="49"/>
      <c r="K34" s="47" t="s">
        <v>64</v>
      </c>
      <c r="L34" s="73">
        <f>+L32-L33</f>
        <v>59834030.538196959</v>
      </c>
      <c r="M34" s="73"/>
    </row>
    <row r="35" spans="3:16" ht="15" x14ac:dyDescent="0.25">
      <c r="D35" s="49"/>
      <c r="F35" s="49"/>
      <c r="K35" s="78" t="s">
        <v>72</v>
      </c>
      <c r="L35" s="79">
        <f>+L32/L25-1</f>
        <v>-1.8254992048701846E-3</v>
      </c>
      <c r="M35" s="80">
        <f>+L32-L25</f>
        <v>-109430.72057020664</v>
      </c>
    </row>
    <row r="36" spans="3:16" ht="15" x14ac:dyDescent="0.25">
      <c r="D36" s="49"/>
      <c r="F36" s="49"/>
      <c r="K36" s="29" t="s">
        <v>71</v>
      </c>
      <c r="L36" s="27">
        <f>+L34/L25-1</f>
        <v>-1.8618665534335666E-3</v>
      </c>
      <c r="M36" s="28">
        <f>+L32-L25</f>
        <v>-109430.72057020664</v>
      </c>
    </row>
    <row r="37" spans="3:16" x14ac:dyDescent="0.2">
      <c r="L37" s="67"/>
    </row>
    <row r="38" spans="3:16" x14ac:dyDescent="0.2">
      <c r="L38" s="71"/>
    </row>
    <row r="39" spans="3:16" ht="15" x14ac:dyDescent="0.25">
      <c r="D39" s="65"/>
      <c r="L39" s="34"/>
      <c r="N39" s="52"/>
      <c r="O39" s="52"/>
      <c r="P39" s="53"/>
    </row>
    <row r="40" spans="3:16" ht="15" x14ac:dyDescent="0.25">
      <c r="D40" s="66"/>
      <c r="N40" s="52"/>
      <c r="O40" s="52"/>
      <c r="P40" s="53"/>
    </row>
    <row r="41" spans="3:16" x14ac:dyDescent="0.2">
      <c r="L41" s="68"/>
      <c r="N41" s="52"/>
      <c r="O41" s="52"/>
      <c r="P41" s="52"/>
    </row>
    <row r="42" spans="3:16" ht="15" x14ac:dyDescent="0.25">
      <c r="N42" s="52"/>
      <c r="O42" s="52"/>
      <c r="P42" s="53"/>
    </row>
    <row r="43" spans="3:16" ht="15" x14ac:dyDescent="0.25">
      <c r="P43" s="53"/>
    </row>
    <row r="45" spans="3:16" x14ac:dyDescent="0.2">
      <c r="P45" s="52"/>
    </row>
    <row r="46" spans="3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6" t="s">
        <v>60</v>
      </c>
      <c r="O20" s="77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2018-02-01T13:54:27Z</dcterms:modified>
</cp:coreProperties>
</file>