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o\Retornos\"/>
    </mc:Choice>
  </mc:AlternateContent>
  <bookViews>
    <workbookView xWindow="0" yWindow="0" windowWidth="28800" windowHeight="12210" xr2:uid="{00000000-000D-0000-FFFF-FFFF00000000}"/>
  </bookViews>
  <sheets>
    <sheet name="Calculo rentabilidad" sheetId="4" r:id="rId1"/>
    <sheet name="lista Lebacs" sheetId="2" r:id="rId2"/>
    <sheet name="Retornos" sheetId="5" r:id="rId3"/>
  </sheets>
  <definedNames>
    <definedName name="_xlnm._FilterDatabase" localSheetId="2" hidden="1">Retornos!$A$1:$B$1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4" l="1"/>
  <c r="G21" i="4"/>
  <c r="H21" i="4"/>
  <c r="G8" i="4"/>
  <c r="M25" i="4"/>
  <c r="L17" i="4"/>
  <c r="E16" i="4"/>
  <c r="F8" i="4"/>
  <c r="H8" i="4"/>
  <c r="G22" i="4"/>
  <c r="H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O9" i="4"/>
  <c r="O8" i="4"/>
  <c r="P8" i="4"/>
  <c r="P9" i="4"/>
  <c r="F9" i="4"/>
  <c r="G9" i="4"/>
  <c r="H9" i="4"/>
  <c r="G11" i="4"/>
  <c r="H11" i="4"/>
  <c r="G12" i="4"/>
  <c r="H12" i="4"/>
  <c r="G13" i="4"/>
  <c r="H13" i="4"/>
  <c r="G14" i="4"/>
  <c r="H14" i="4"/>
  <c r="G15" i="4"/>
  <c r="H15" i="4"/>
  <c r="O23" i="5"/>
  <c r="O2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O21" i="5"/>
  <c r="M15" i="5"/>
  <c r="M16" i="5"/>
  <c r="M17" i="5"/>
  <c r="K15" i="5"/>
  <c r="K16" i="5"/>
  <c r="K17" i="5"/>
  <c r="J15" i="5"/>
  <c r="J16" i="5"/>
  <c r="J17" i="5"/>
  <c r="J14" i="5"/>
  <c r="I15" i="5"/>
  <c r="I16" i="5"/>
  <c r="I17" i="5"/>
  <c r="H15" i="5"/>
  <c r="H16" i="5"/>
  <c r="H17" i="5"/>
  <c r="C23" i="5"/>
  <c r="C24" i="5"/>
  <c r="C25" i="5"/>
  <c r="C26" i="5"/>
  <c r="C27" i="5"/>
  <c r="C28" i="5"/>
  <c r="K3" i="5"/>
  <c r="K4" i="5"/>
  <c r="K5" i="5"/>
  <c r="K6" i="5"/>
  <c r="K7" i="5"/>
  <c r="K8" i="5"/>
  <c r="K9" i="5"/>
  <c r="K10" i="5"/>
  <c r="K11" i="5"/>
  <c r="K12" i="5"/>
  <c r="K13" i="5"/>
  <c r="K14" i="5"/>
  <c r="K2" i="5"/>
  <c r="H14" i="5"/>
  <c r="H3" i="5"/>
  <c r="H4" i="5"/>
  <c r="H5" i="5"/>
  <c r="H6" i="5"/>
  <c r="H7" i="5"/>
  <c r="H8" i="5"/>
  <c r="H9" i="5"/>
  <c r="H10" i="5"/>
  <c r="H11" i="5"/>
  <c r="H12" i="5"/>
  <c r="H13" i="5"/>
  <c r="H2" i="5"/>
  <c r="I4" i="5"/>
  <c r="I5" i="5"/>
  <c r="I6" i="5"/>
  <c r="I7" i="5"/>
  <c r="I8" i="5"/>
  <c r="I9" i="5"/>
  <c r="I10" i="5"/>
  <c r="I11" i="5"/>
  <c r="I12" i="5"/>
  <c r="I13" i="5"/>
  <c r="I14" i="5"/>
  <c r="I3" i="5"/>
  <c r="C22" i="5"/>
  <c r="J2" i="5"/>
  <c r="C4" i="5"/>
  <c r="C5" i="5"/>
  <c r="C6" i="5"/>
  <c r="C7" i="5"/>
  <c r="J4" i="5"/>
  <c r="C8" i="5"/>
  <c r="J5" i="5"/>
  <c r="C9" i="5"/>
  <c r="J6" i="5"/>
  <c r="C10" i="5"/>
  <c r="J7" i="5"/>
  <c r="C11" i="5"/>
  <c r="J8" i="5"/>
  <c r="C12" i="5"/>
  <c r="C13" i="5"/>
  <c r="C14" i="5"/>
  <c r="J9" i="5"/>
  <c r="C15" i="5"/>
  <c r="J10" i="5"/>
  <c r="C16" i="5"/>
  <c r="J11" i="5"/>
  <c r="C17" i="5"/>
  <c r="J12" i="5"/>
  <c r="C18" i="5"/>
  <c r="J13" i="5"/>
  <c r="C19" i="5"/>
  <c r="C20" i="5"/>
  <c r="C21" i="5"/>
  <c r="C3" i="5"/>
  <c r="J3" i="5"/>
  <c r="M3" i="5"/>
  <c r="M4" i="5"/>
  <c r="M5" i="5"/>
  <c r="M6" i="5"/>
  <c r="M7" i="5"/>
  <c r="M8" i="5"/>
  <c r="M9" i="5"/>
  <c r="M10" i="5"/>
  <c r="M11" i="5"/>
  <c r="M12" i="5"/>
  <c r="M13" i="5"/>
  <c r="M14" i="5"/>
  <c r="O24" i="5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F10" i="4"/>
  <c r="G10" i="4"/>
  <c r="H10" i="4"/>
  <c r="F11" i="4"/>
  <c r="F12" i="4"/>
  <c r="F13" i="4"/>
  <c r="F14" i="4"/>
  <c r="F15" i="4"/>
  <c r="F16" i="4"/>
  <c r="D16" i="4"/>
  <c r="I21" i="4"/>
  <c r="M26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E29" i="4"/>
  <c r="H29" i="4"/>
  <c r="G16" i="4"/>
  <c r="N26" i="4"/>
  <c r="H16" i="4"/>
  <c r="M27" i="4"/>
  <c r="I22" i="4"/>
  <c r="I29" i="4"/>
  <c r="N27" i="4"/>
  <c r="O20" i="4"/>
  <c r="O22" i="4"/>
  <c r="M33" i="4"/>
  <c r="M30" i="4"/>
  <c r="M31" i="4"/>
  <c r="M28" i="4"/>
  <c r="M29" i="4"/>
  <c r="M32" i="4"/>
  <c r="M35" i="4"/>
  <c r="N35" i="4"/>
  <c r="M34" i="4"/>
  <c r="M36" i="4"/>
  <c r="N3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G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</t>
        </r>
      </text>
    </comment>
  </commentList>
</comments>
</file>

<file path=xl/sharedStrings.xml><?xml version="1.0" encoding="utf-8"?>
<sst xmlns="http://schemas.openxmlformats.org/spreadsheetml/2006/main" count="91" uniqueCount="75">
  <si>
    <t>FX inicio dia</t>
  </si>
  <si>
    <t>FX fin dia</t>
  </si>
  <si>
    <t>Trade n°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</si>
  <si>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</si>
  <si>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</si>
  <si>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</si>
  <si>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</si>
  <si>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</si>
  <si>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</si>
  <si>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</si>
  <si>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</si>
  <si>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</si>
  <si>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</si>
  <si>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</si>
  <si>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</si>
  <si>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</si>
  <si>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</si>
  <si>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</si>
  <si>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</si>
  <si>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</si>
  <si>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</si>
  <si>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</si>
  <si>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</si>
  <si>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</si>
  <si>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</si>
  <si>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</si>
  <si>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</si>
  <si>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</si>
  <si>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</si>
  <si>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</si>
  <si>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</si>
  <si>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</si>
  <si>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</si>
  <si>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</si>
  <si>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</si>
  <si>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</si>
  <si>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</si>
  <si>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</si>
  <si>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</si>
  <si>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</si>
  <si>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</si>
  <si>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</si>
  <si>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</si>
  <si>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</si>
  <si>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</si>
  <si>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</si>
  <si>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</si>
  <si>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</si>
  <si>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trading</t>
  </si>
  <si>
    <t>Instrumentos en cartera o ReInversión de nominales vencidos</t>
  </si>
  <si>
    <t>Serie U</t>
  </si>
  <si>
    <t>Fecha</t>
  </si>
  <si>
    <t>-</t>
  </si>
  <si>
    <t>Retorno Fondo</t>
  </si>
  <si>
    <t>ARS BCRA</t>
  </si>
  <si>
    <t>retorno Fondo</t>
  </si>
  <si>
    <t>comisión</t>
  </si>
  <si>
    <t>Fondo Argentina Liquidez</t>
  </si>
  <si>
    <t>trading</t>
  </si>
  <si>
    <t>FX ARS</t>
  </si>
  <si>
    <t>Rentabilidades al 26/12</t>
  </si>
  <si>
    <t>Retorno Lebacs</t>
  </si>
  <si>
    <t>LEBAC 21-02-2018</t>
  </si>
  <si>
    <t>Provisión impuestos 5%</t>
  </si>
  <si>
    <t>Total Fondo</t>
  </si>
  <si>
    <t>Provisión Cartera Vigente</t>
  </si>
  <si>
    <t>Provisión compras</t>
  </si>
  <si>
    <t>Total Provisión</t>
  </si>
  <si>
    <t>Outputs (Valores en USD)</t>
  </si>
  <si>
    <t>Total Cartera fondo</t>
  </si>
  <si>
    <t>Provisión impuestos (Valores en ARS)</t>
  </si>
  <si>
    <t xml:space="preserve">Retorno Cartera </t>
  </si>
  <si>
    <t>Retorno Cartera Ex impuestos</t>
  </si>
  <si>
    <t>Op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</si>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</sst>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0.0"/>
    <numFmt numFmtId="171" formatCode="#,##0.0000"/>
    <numFmt numFmtId="172" formatCode="_-&quot;$&quot;\ * #,##0.000_-;\-&quot;$&quot;\ * #,##0.000_-;_-&quot;$&quot;\ * &quot;-&quot;??_-;_-@_-"/>
    <numFmt numFmtId="173" formatCode="0.00000%"/>
    <numFmt numFmtId="174" formatCode="0.000000%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"/>
      <family val="2"/>
      <scheme val="minor"/>
    </font>
    <font>
      <b/>
      <sz val="11"/>
      <color theme="3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6" tint="-0.249977111117893"/>
      </right>
      <top/>
      <bottom/>
      <diagonal/>
    </border>
    <border>
      <left/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0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44" fontId="0" fillId="0" borderId="0" xfId="0" applyNumberFormat="1"/>
    <xf numFmtId="14" fontId="0" fillId="0" borderId="0" xfId="0" applyNumberFormat="1"/>
    <xf numFmtId="0" fontId="0" fillId="0" borderId="0" xfId="0" applyNumberFormat="1"/>
    <xf numFmtId="167" fontId="0" fillId="0" borderId="0" xfId="2" applyNumberFormat="1" applyFont="1"/>
    <xf numFmtId="14" fontId="0" fillId="0" borderId="0" xfId="0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2" applyNumberFormat="1" applyFont="1"/>
    <xf numFmtId="0" fontId="0" fillId="0" borderId="4" xfId="0" applyBorder="1"/>
    <xf numFmtId="0" fontId="0" fillId="0" borderId="5" xfId="0" applyBorder="1"/>
    <xf numFmtId="0" fontId="1" fillId="5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0" fontId="1" fillId="5" borderId="7" xfId="2" applyNumberFormat="1" applyFont="1" applyFill="1" applyBorder="1" applyAlignment="1">
      <alignment horizontal="center"/>
    </xf>
    <xf numFmtId="10" fontId="1" fillId="4" borderId="9" xfId="2" applyNumberFormat="1" applyFont="1" applyFill="1" applyBorder="1" applyAlignment="1">
      <alignment horizontal="center"/>
    </xf>
    <xf numFmtId="10" fontId="1" fillId="5" borderId="9" xfId="2" applyNumberFormat="1" applyFont="1" applyFill="1" applyBorder="1" applyAlignment="1">
      <alignment horizontal="center"/>
    </xf>
    <xf numFmtId="0" fontId="0" fillId="0" borderId="0" xfId="0" applyFill="1" applyBorder="1"/>
    <xf numFmtId="22" fontId="0" fillId="0" borderId="0" xfId="0" applyNumberFormat="1"/>
    <xf numFmtId="165" fontId="0" fillId="0" borderId="0" xfId="0" applyNumberFormat="1"/>
    <xf numFmtId="171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1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4" fontId="0" fillId="0" borderId="0" xfId="1" applyFont="1"/>
    <xf numFmtId="164" fontId="0" fillId="0" borderId="0" xfId="1" applyNumberFormat="1" applyFont="1"/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10" xfId="0" applyFont="1" applyBorder="1"/>
    <xf numFmtId="165" fontId="0" fillId="0" borderId="10" xfId="1" applyNumberFormat="1" applyFont="1" applyBorder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4" fontId="0" fillId="0" borderId="0" xfId="2" applyNumberFormat="1" applyFont="1"/>
    <xf numFmtId="44" fontId="0" fillId="0" borderId="0" xfId="1" applyNumberFormat="1" applyFont="1" applyBorder="1" applyAlignment="1">
      <alignment horizontal="center"/>
    </xf>
    <xf numFmtId="169" fontId="0" fillId="0" borderId="0" xfId="2" applyNumberFormat="1" applyFont="1" applyBorder="1" applyAlignment="1">
      <alignment horizontal="right"/>
    </xf>
    <xf numFmtId="167" fontId="0" fillId="0" borderId="0" xfId="0" applyNumberFormat="1"/>
    <xf numFmtId="0" fontId="6" fillId="0" borderId="0" xfId="0" applyFont="1" applyFill="1" applyBorder="1"/>
    <xf numFmtId="167" fontId="6" fillId="0" borderId="0" xfId="2" applyNumberFormat="1" applyFont="1"/>
    <xf numFmtId="165" fontId="6" fillId="0" borderId="0" xfId="0" applyNumberFormat="1" applyFont="1"/>
    <xf numFmtId="0" fontId="2" fillId="3" borderId="0" xfId="0" applyFont="1" applyFill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9" fontId="2" fillId="3" borderId="0" xfId="2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Argentina Liquidez v/s FX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Retornos!$L$1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D39-45B0-8AEE-06D3F9214A5C}"/>
                </c:ext>
              </c:extLst>
            </c:dLbl>
            <c:dLbl>
              <c:idx val="1"/>
              <c:layout>
                <c:manualLayout>
                  <c:x val="-2.6736310455804463E-2"/>
                  <c:y val="3.1938945676991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39-45B0-8AEE-06D3F9214A5C}"/>
                </c:ext>
              </c:extLst>
            </c:dLbl>
            <c:dLbl>
              <c:idx val="2"/>
              <c:layout>
                <c:manualLayout>
                  <c:x val="-2.8936480118277135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39-45B0-8AEE-06D3F9214A5C}"/>
                </c:ext>
              </c:extLst>
            </c:dLbl>
            <c:dLbl>
              <c:idx val="4"/>
              <c:layout>
                <c:manualLayout>
                  <c:x val="-2.6736310455804449E-2"/>
                  <c:y val="1.2019868886990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39-45B0-8AEE-06D3F9214A5C}"/>
                </c:ext>
              </c:extLst>
            </c:dLbl>
            <c:dLbl>
              <c:idx val="6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39-45B0-8AEE-06D3F9214A5C}"/>
                </c:ext>
              </c:extLst>
            </c:dLbl>
            <c:dLbl>
              <c:idx val="7"/>
              <c:layout>
                <c:manualLayout>
                  <c:x val="-2.5271913688685161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D39-45B0-8AEE-06D3F9214A5C}"/>
                </c:ext>
              </c:extLst>
            </c:dLbl>
            <c:dLbl>
              <c:idx val="9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D39-45B0-8AEE-06D3F9214A5C}"/>
                </c:ext>
              </c:extLst>
            </c:dLbl>
            <c:dLbl>
              <c:idx val="11"/>
              <c:layout>
                <c:manualLayout>
                  <c:x val="-3.112950075716242E-2"/>
                  <c:y val="1.9489522683240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D39-45B0-8AEE-06D3F9214A5C}"/>
                </c:ext>
              </c:extLst>
            </c:dLbl>
            <c:dLbl>
              <c:idx val="12"/>
              <c:layout>
                <c:manualLayout>
                  <c:x val="-3.8451484592758864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39-45B0-8AEE-06D3F9214A5C}"/>
                </c:ext>
              </c:extLst>
            </c:dLbl>
            <c:dLbl>
              <c:idx val="13"/>
              <c:layout>
                <c:manualLayout>
                  <c:x val="-4.4309071661236016E-2"/>
                  <c:y val="2.1979407281990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39-45B0-8AEE-06D3F9214A5C}"/>
                </c:ext>
              </c:extLst>
            </c:dLbl>
            <c:dLbl>
              <c:idx val="14"/>
              <c:layout>
                <c:manualLayout>
                  <c:x val="-2.8200707222923845E-2"/>
                  <c:y val="1.9489522683240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D39-45B0-8AEE-06D3F9214A5C}"/>
                </c:ext>
              </c:extLst>
            </c:dLbl>
            <c:dLbl>
              <c:idx val="15"/>
              <c:layout>
                <c:manualLayout>
                  <c:x val="-1.5338230107006108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Retornos!$L$2:$L$17</c:f>
              <c:numCache>
                <c:formatCode>0.0</c:formatCode>
                <c:ptCount val="16"/>
                <c:pt idx="0">
                  <c:v>100</c:v>
                </c:pt>
                <c:pt idx="1">
                  <c:v>99.886743172809105</c:v>
                </c:pt>
                <c:pt idx="2">
                  <c:v>100.09554306096805</c:v>
                </c:pt>
                <c:pt idx="3">
                  <c:v>100.13149129666638</c:v>
                </c:pt>
                <c:pt idx="4">
                  <c:v>99.833670228125911</c:v>
                </c:pt>
                <c:pt idx="5">
                  <c:v>99.59381679697178</c:v>
                </c:pt>
                <c:pt idx="6">
                  <c:v>98.487326014004339</c:v>
                </c:pt>
                <c:pt idx="7">
                  <c:v>98.417235057674134</c:v>
                </c:pt>
                <c:pt idx="8">
                  <c:v>98.408270616766671</c:v>
                </c:pt>
                <c:pt idx="9">
                  <c:v>97.21834788086025</c:v>
                </c:pt>
                <c:pt idx="10">
                  <c:v>96.733072188024607</c:v>
                </c:pt>
                <c:pt idx="11">
                  <c:v>95.97685832944677</c:v>
                </c:pt>
                <c:pt idx="12">
                  <c:v>94.721499219156669</c:v>
                </c:pt>
                <c:pt idx="13">
                  <c:v>93.768375372931914</c:v>
                </c:pt>
                <c:pt idx="14">
                  <c:v>91.801380775358467</c:v>
                </c:pt>
                <c:pt idx="15">
                  <c:v>92.074229527756145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9-45B0-8AEE-06D3F9214A5C}"/>
            </c:ext>
          </c:extLst>
        </c:ser>
        <c:ser>
          <c:idx val="1"/>
          <c:order val="1"/>
          <c:tx>
            <c:strRef>
              <c:f>Retornos!$M$1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D39-45B0-8AEE-06D3F9214A5C}"/>
                </c:ext>
              </c:extLst>
            </c:dLbl>
            <c:dLbl>
              <c:idx val="14"/>
              <c:layout>
                <c:manualLayout>
                  <c:x val="-2.0878723387327401E-2"/>
                  <c:y val="-4.2757592285514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Retornos!$M$2:$M$17</c:f>
              <c:numCache>
                <c:formatCode>0.0</c:formatCode>
                <c:ptCount val="16"/>
                <c:pt idx="0">
                  <c:v>100</c:v>
                </c:pt>
                <c:pt idx="1">
                  <c:v>100.25136371043837</c:v>
                </c:pt>
                <c:pt idx="2">
                  <c:v>100.58337467303772</c:v>
                </c:pt>
                <c:pt idx="3">
                  <c:v>100.68497026376967</c:v>
                </c:pt>
                <c:pt idx="4">
                  <c:v>100.4421954546235</c:v>
                </c:pt>
                <c:pt idx="5">
                  <c:v>100.29909295332757</c:v>
                </c:pt>
                <c:pt idx="6">
                  <c:v>99.464156725534494</c:v>
                </c:pt>
                <c:pt idx="7">
                  <c:v>99.562416285854965</c:v>
                </c:pt>
                <c:pt idx="8">
                  <c:v>99.554143979973091</c:v>
                </c:pt>
                <c:pt idx="9">
                  <c:v>98.41527051237756</c:v>
                </c:pt>
                <c:pt idx="10">
                  <c:v>98.030197641005245</c:v>
                </c:pt>
                <c:pt idx="11">
                  <c:v>97.580525698389039</c:v>
                </c:pt>
                <c:pt idx="12">
                  <c:v>96.427952647353692</c:v>
                </c:pt>
                <c:pt idx="13">
                  <c:v>95.532560643433214</c:v>
                </c:pt>
                <c:pt idx="14">
                  <c:v>93.621264890918098</c:v>
                </c:pt>
                <c:pt idx="15">
                  <c:v>94.18914576483904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9-45B0-8AEE-06D3F9214A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1242079"/>
        <c:axId val="1558101375"/>
      </c:lineChart>
      <c:dateAx>
        <c:axId val="1531242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101375"/>
        <c:crosses val="autoZero"/>
        <c:auto val="1"/>
        <c:lblOffset val="100"/>
        <c:baseTimeUnit val="days"/>
        <c:majorUnit val="2"/>
        <c:majorTimeUnit val="days"/>
      </c:dateAx>
      <c:valAx>
        <c:axId val="155810137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2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109536</xdr:colOff>
      <xdr:row>24</xdr:row>
      <xdr:rowOff>80962</xdr:rowOff>
    </xdr:from>
    <xdr:to>
      <xdr:col>13</xdr:col>
      <xdr:colOff>542924</xdr:colOff>
      <xdr:row>52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2A259B-91F2-4037-8D99-2C841A92D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V62"/>
  <sheetViews>
    <sheetView showGridLines="0" tabSelected="1" zoomScale="90" zoomScaleNormal="90" workbookViewId="0">
      <selection activeCell="N19" sqref="N19:O19"/>
    </sheetView>
  </sheetViews>
  <sheetFormatPr baseColWidth="10" defaultRowHeight="14.25" x14ac:dyDescent="0.2"/>
  <cols>
    <col min="1" max="1" width="4" customWidth="1"/>
    <col min="2" max="2" width="9.75" bestFit="1" customWidth="1"/>
    <col min="3" max="3" width="5.375" customWidth="1"/>
    <col min="4" max="4" width="16.125" customWidth="1"/>
    <col min="5" max="5" width="20.25" bestFit="1" customWidth="1"/>
    <col min="6" max="6" width="14.125" bestFit="1" customWidth="1"/>
    <col min="7" max="7" width="14" bestFit="1" customWidth="1"/>
    <col min="8" max="8" width="10.75" bestFit="1" customWidth="1"/>
    <col min="9" max="9" width="11.375" bestFit="1" customWidth="1"/>
    <col min="10" max="10" width="11.375" customWidth="1"/>
    <col min="11" max="11" width="16.75" bestFit="1" customWidth="1"/>
    <col min="12" max="12" width="28.375" bestFit="1" customWidth="1"/>
    <col min="13" max="13" width="22.875" bestFit="1" customWidth="1"/>
    <col min="14" max="14" width="24" bestFit="1" customWidth="1"/>
    <col min="15" max="15" width="23.125" bestFit="1" customWidth="1"/>
    <col min="16" max="16" width="9.25" bestFit="1" customWidth="1"/>
    <col min="17" max="17" width="9.5" bestFit="1" customWidth="1"/>
    <col min="18" max="18" width="6.625" bestFit="1" customWidth="1"/>
    <col min="19" max="19" width="12.625" bestFit="1" customWidth="1"/>
    <col min="20" max="20" width="12.375" bestFit="1" customWidth="1"/>
  </cols>
  <sheetData>
    <row r="6" spans="2:16" ht="15" x14ac:dyDescent="0.25">
      <c r="B6" s="77" t="s">
        <v>30</v>
      </c>
      <c r="C6" s="77"/>
      <c r="D6" s="77"/>
      <c r="E6" s="77"/>
      <c r="F6" s="77"/>
      <c r="G6" s="77"/>
      <c r="H6" s="77"/>
      <c r="J6" s="75" t="s">
        <v>49</v>
      </c>
      <c r="K6" s="75"/>
      <c r="L6" s="75"/>
      <c r="M6" s="75"/>
      <c r="N6" s="75"/>
      <c r="O6" s="75"/>
      <c r="P6" s="75"/>
    </row>
    <row r="7" spans="2:16" x14ac:dyDescent="0.2">
      <c r="B7" s="8" t="s">
        <v>2</v>
      </c>
      <c r="C7" s="8" t="s">
        <v>73</v>
      </c>
      <c r="D7" s="8" t="s">
        <v>31</v>
      </c>
      <c r="E7" s="8" t="s">
        <v>28</v>
      </c>
      <c r="F7" s="8" t="s">
        <v>1</v>
      </c>
      <c r="G7" s="8" t="s">
        <v>32</v>
      </c>
      <c r="H7" s="8" t="s">
        <v>29</v>
      </c>
      <c r="J7" s="8" t="s">
        <v>37</v>
      </c>
      <c r="K7" s="8" t="s">
        <v>3</v>
      </c>
      <c r="L7" s="8" t="s">
        <v>17</v>
      </c>
      <c r="M7" s="8" t="s">
        <v>38</v>
      </c>
      <c r="N7" s="8" t="s">
        <v>35</v>
      </c>
      <c r="O7" s="8" t="s">
        <v>36</v>
      </c>
      <c r="P7" s="8" t="s">
        <v>39</v>
      </c>
    </row>
    <row r="8" spans="2:16" x14ac:dyDescent="0.2">
      <c r="B8" s="1">
        <v>1</v>
      </c>
      <c r="C8" s="1" t="s">
        <v>74</v>
      </c>
      <c r="D8" s="9">
        <v>2800000</v>
      </c>
      <c r="E8" s="10">
        <v>19.452000000000002</v>
      </c>
      <c r="F8" s="1">
        <f t="shared" ref="F8:F15" si="0">IF(AND(D8&gt;0,E8&gt;0),$L$20,"")</f>
        <v>19.47</v>
      </c>
      <c r="G8" s="37">
        <f>+IF(E8&gt;0,IF(C8="V",F8/E8-1,E8/F8-1),"")</f>
        <v>9.2535471930887958E-4</v>
      </c>
      <c r="H8" s="2">
        <f t="shared" ref="H8:H15" si="1">+IFERROR(G8*D8,)</f>
        <v>2590.993214064863</v>
      </c>
      <c r="J8" s="1">
        <v>1</v>
      </c>
      <c r="K8" t="s">
        <v>62</v>
      </c>
      <c r="L8" s="21">
        <v>59672092.769699998</v>
      </c>
      <c r="M8" s="56">
        <v>98.532899999999998</v>
      </c>
      <c r="N8" s="56">
        <v>98.6066</v>
      </c>
      <c r="O8" s="4">
        <f t="shared" ref="O8:O16" si="2">+IF(AND(L8&gt;0,M8&gt;0,N8&gt;0),N8/M8-1,"")</f>
        <v>7.4797351950461888E-4</v>
      </c>
      <c r="P8" s="6">
        <f t="shared" ref="P8:P15" si="3">+IF(L8&gt;0,L8/SUM($L$8:$L$16),"")</f>
        <v>1</v>
      </c>
    </row>
    <row r="9" spans="2:16" x14ac:dyDescent="0.2">
      <c r="B9" s="1">
        <v>2</v>
      </c>
      <c r="C9" s="1"/>
      <c r="D9" s="9"/>
      <c r="E9" s="10"/>
      <c r="F9" s="1" t="str">
        <f t="shared" si="0"/>
        <v/>
      </c>
      <c r="G9" s="5" t="str">
        <f t="shared" ref="G9:G15" si="4">+IF(E9&gt;0,E9/F9-1,"")</f>
        <v/>
      </c>
      <c r="H9" s="2">
        <f t="shared" si="1"/>
        <v>0</v>
      </c>
      <c r="J9" s="1">
        <v>2</v>
      </c>
      <c r="L9" s="21"/>
      <c r="M9" s="7"/>
      <c r="N9" s="56"/>
      <c r="O9" s="4" t="str">
        <f t="shared" si="2"/>
        <v/>
      </c>
      <c r="P9" s="6" t="str">
        <f t="shared" si="3"/>
        <v/>
      </c>
    </row>
    <row r="10" spans="2:16" x14ac:dyDescent="0.2">
      <c r="B10" s="1">
        <v>3</v>
      </c>
      <c r="C10" s="1"/>
      <c r="D10" s="9"/>
      <c r="E10" s="10"/>
      <c r="F10" s="1" t="str">
        <f t="shared" si="0"/>
        <v/>
      </c>
      <c r="G10" s="5" t="str">
        <f t="shared" si="4"/>
        <v/>
      </c>
      <c r="H10" s="2">
        <f t="shared" si="1"/>
        <v>0</v>
      </c>
      <c r="J10" s="1">
        <v>3</v>
      </c>
      <c r="L10" s="21"/>
      <c r="M10" s="7"/>
      <c r="N10" s="7"/>
      <c r="O10" s="6" t="str">
        <f t="shared" si="2"/>
        <v/>
      </c>
      <c r="P10" s="6" t="str">
        <f t="shared" si="3"/>
        <v/>
      </c>
    </row>
    <row r="11" spans="2:16" x14ac:dyDescent="0.2">
      <c r="B11" s="1">
        <v>4</v>
      </c>
      <c r="C11" s="1"/>
      <c r="D11" s="9"/>
      <c r="E11" s="10"/>
      <c r="F11" s="1" t="str">
        <f t="shared" si="0"/>
        <v/>
      </c>
      <c r="G11" s="5" t="str">
        <f t="shared" si="4"/>
        <v/>
      </c>
      <c r="H11" s="2">
        <f t="shared" si="1"/>
        <v>0</v>
      </c>
      <c r="J11" s="1">
        <v>4</v>
      </c>
      <c r="L11" s="21"/>
      <c r="M11" s="7"/>
      <c r="N11" s="7"/>
      <c r="O11" s="6" t="str">
        <f t="shared" si="2"/>
        <v/>
      </c>
      <c r="P11" s="6" t="str">
        <f t="shared" si="3"/>
        <v/>
      </c>
    </row>
    <row r="12" spans="2:16" x14ac:dyDescent="0.2">
      <c r="B12" s="1">
        <v>5</v>
      </c>
      <c r="C12" s="1"/>
      <c r="D12" s="9"/>
      <c r="E12" s="10"/>
      <c r="F12" s="1" t="str">
        <f t="shared" si="0"/>
        <v/>
      </c>
      <c r="G12" s="5" t="str">
        <f t="shared" si="4"/>
        <v/>
      </c>
      <c r="H12" s="2">
        <f t="shared" si="1"/>
        <v>0</v>
      </c>
      <c r="J12" s="1">
        <v>5</v>
      </c>
      <c r="L12" s="21"/>
      <c r="M12" s="7"/>
      <c r="N12" s="7"/>
      <c r="O12" s="6" t="str">
        <f t="shared" si="2"/>
        <v/>
      </c>
      <c r="P12" s="6" t="str">
        <f t="shared" si="3"/>
        <v/>
      </c>
    </row>
    <row r="13" spans="2:16" x14ac:dyDescent="0.2">
      <c r="B13" s="1">
        <v>6</v>
      </c>
      <c r="C13" s="1"/>
      <c r="D13" s="9"/>
      <c r="E13" s="10"/>
      <c r="F13" s="1" t="str">
        <f t="shared" si="0"/>
        <v/>
      </c>
      <c r="G13" s="5" t="str">
        <f t="shared" si="4"/>
        <v/>
      </c>
      <c r="H13" s="2">
        <f t="shared" si="1"/>
        <v>0</v>
      </c>
      <c r="J13" s="1">
        <v>6</v>
      </c>
      <c r="L13" s="21"/>
      <c r="M13" s="7"/>
      <c r="N13" s="7"/>
      <c r="O13" s="6" t="str">
        <f t="shared" si="2"/>
        <v/>
      </c>
      <c r="P13" s="6" t="str">
        <f t="shared" si="3"/>
        <v/>
      </c>
    </row>
    <row r="14" spans="2:16" x14ac:dyDescent="0.2">
      <c r="B14" s="1">
        <v>7</v>
      </c>
      <c r="C14" s="1"/>
      <c r="D14" s="9"/>
      <c r="E14" s="10"/>
      <c r="F14" s="1" t="str">
        <f t="shared" si="0"/>
        <v/>
      </c>
      <c r="G14" s="5" t="str">
        <f t="shared" si="4"/>
        <v/>
      </c>
      <c r="H14" s="2">
        <f t="shared" si="1"/>
        <v>0</v>
      </c>
      <c r="J14" s="1">
        <v>7</v>
      </c>
      <c r="L14" s="21"/>
      <c r="M14" s="7"/>
      <c r="N14" s="7"/>
      <c r="O14" s="6" t="str">
        <f t="shared" si="2"/>
        <v/>
      </c>
      <c r="P14" s="6" t="str">
        <f t="shared" si="3"/>
        <v/>
      </c>
    </row>
    <row r="15" spans="2:16" x14ac:dyDescent="0.2">
      <c r="B15" s="1">
        <v>8</v>
      </c>
      <c r="C15" s="1"/>
      <c r="D15" s="9"/>
      <c r="E15" s="10"/>
      <c r="F15" s="1" t="str">
        <f t="shared" si="0"/>
        <v/>
      </c>
      <c r="G15" s="5" t="str">
        <f t="shared" si="4"/>
        <v/>
      </c>
      <c r="H15" s="2">
        <f t="shared" si="1"/>
        <v>0</v>
      </c>
      <c r="J15" s="1">
        <v>8</v>
      </c>
      <c r="L15" s="21"/>
      <c r="M15" s="7"/>
      <c r="N15" s="7"/>
      <c r="O15" s="6" t="str">
        <f t="shared" si="2"/>
        <v/>
      </c>
      <c r="P15" s="6" t="str">
        <f t="shared" si="3"/>
        <v/>
      </c>
    </row>
    <row r="16" spans="2:16" x14ac:dyDescent="0.2">
      <c r="B16" s="11" t="s">
        <v>40</v>
      </c>
      <c r="C16" s="11"/>
      <c r="D16" s="12">
        <f>+SUM(D8:D15)</f>
        <v>2800000</v>
      </c>
      <c r="E16" s="13">
        <f>+IFERROR(SUMPRODUCT($D$8:$D$15,$E$8:$E$15)/SUM(D8:D15),0)</f>
        <v>19.452000000000002</v>
      </c>
      <c r="F16" s="11">
        <f>+$L$20</f>
        <v>19.47</v>
      </c>
      <c r="G16" s="24">
        <f>+SUMPRODUCT($D$8:$D$15,$G$8:$G$15)/SUMPRODUCT($D$8:$D$15)</f>
        <v>9.2535471930887958E-4</v>
      </c>
      <c r="H16" s="12">
        <f>+SUM(H8:H15)</f>
        <v>2590.993214064863</v>
      </c>
      <c r="J16" s="1">
        <v>9</v>
      </c>
      <c r="L16" s="21"/>
      <c r="M16" s="7"/>
      <c r="N16" s="7"/>
      <c r="O16" s="6" t="str">
        <f t="shared" si="2"/>
        <v/>
      </c>
      <c r="P16" s="6"/>
    </row>
    <row r="17" spans="2:17" x14ac:dyDescent="0.2">
      <c r="B17" s="18"/>
      <c r="C17" s="18"/>
      <c r="D17" s="19"/>
      <c r="E17" s="20"/>
      <c r="F17" s="18"/>
      <c r="G17" s="18"/>
      <c r="H17" s="19"/>
      <c r="L17" s="49">
        <f>+SUM(L8:L9)</f>
        <v>59672092.769699998</v>
      </c>
    </row>
    <row r="19" spans="2:17" ht="15" x14ac:dyDescent="0.25">
      <c r="B19" s="77" t="s">
        <v>33</v>
      </c>
      <c r="C19" s="77"/>
      <c r="D19" s="77"/>
      <c r="E19" s="77"/>
      <c r="F19" s="77"/>
      <c r="G19" s="77"/>
      <c r="H19" s="77"/>
      <c r="I19" s="77"/>
      <c r="J19" s="61"/>
      <c r="K19" s="77" t="s">
        <v>42</v>
      </c>
      <c r="L19" s="77"/>
      <c r="N19" s="75" t="s">
        <v>70</v>
      </c>
      <c r="O19" s="75"/>
      <c r="P19" s="49"/>
    </row>
    <row r="20" spans="2:17" ht="15" x14ac:dyDescent="0.25">
      <c r="B20" s="15" t="s">
        <v>2</v>
      </c>
      <c r="C20" s="15" t="s">
        <v>73</v>
      </c>
      <c r="D20" s="15" t="s">
        <v>3</v>
      </c>
      <c r="E20" s="15" t="s">
        <v>31</v>
      </c>
      <c r="F20" s="15" t="s">
        <v>34</v>
      </c>
      <c r="G20" s="15" t="s">
        <v>35</v>
      </c>
      <c r="H20" s="15" t="s">
        <v>36</v>
      </c>
      <c r="I20" s="15" t="s">
        <v>41</v>
      </c>
      <c r="J20" s="60"/>
      <c r="K20" s="7" t="s">
        <v>1</v>
      </c>
      <c r="L20" s="50">
        <v>19.47</v>
      </c>
      <c r="M20" s="49"/>
      <c r="N20" s="62" t="s">
        <v>65</v>
      </c>
      <c r="O20" s="3">
        <f>+L17*L21*M27*5%</f>
        <v>43857.644346524001</v>
      </c>
      <c r="P20" s="49"/>
    </row>
    <row r="21" spans="2:17" ht="15" x14ac:dyDescent="0.25">
      <c r="B21" s="1">
        <v>1</v>
      </c>
      <c r="C21" s="1" t="s">
        <v>74</v>
      </c>
      <c r="D21" s="7" t="s">
        <v>62</v>
      </c>
      <c r="E21" s="21">
        <v>2800000</v>
      </c>
      <c r="F21" s="56">
        <v>98.536799999999999</v>
      </c>
      <c r="G21" s="57">
        <f t="shared" ref="G21:G28" si="5">+IF(D21="","",VLOOKUP(D21,$K$8:$N$16,4,FALSE))</f>
        <v>98.6066</v>
      </c>
      <c r="H21" s="37">
        <f>+IF(AND(G21&gt;0,F21&gt;0),IF(C21="V",F21/G21-1,G21/F21-1),"")</f>
        <v>-7.0786336817207918E-4</v>
      </c>
      <c r="I21" s="3">
        <f t="shared" ref="I21:I28" si="6">+IFERROR(H21*E21,)</f>
        <v>-1982.0174308818216</v>
      </c>
      <c r="J21" s="3"/>
      <c r="K21" s="7" t="s">
        <v>0</v>
      </c>
      <c r="L21" s="50">
        <v>19.6525</v>
      </c>
      <c r="N21" s="63" t="s">
        <v>66</v>
      </c>
      <c r="O21" s="64">
        <f>+IF(I29&gt;=0,I29*E16*5%,0)</f>
        <v>0</v>
      </c>
    </row>
    <row r="22" spans="2:17" ht="15" x14ac:dyDescent="0.25">
      <c r="B22" s="1">
        <v>2</v>
      </c>
      <c r="C22" s="1"/>
      <c r="D22" s="7"/>
      <c r="E22" s="21"/>
      <c r="F22" s="7"/>
      <c r="G22" s="17" t="str">
        <f t="shared" si="5"/>
        <v/>
      </c>
      <c r="H22" s="5" t="str">
        <f t="shared" ref="H22:H28" si="7">+IF(AND(G22&gt;0,F22&gt;0),G22/F22-1,"")</f>
        <v/>
      </c>
      <c r="I22" s="3">
        <f t="shared" si="6"/>
        <v>0</v>
      </c>
      <c r="J22" s="3"/>
      <c r="N22" s="62" t="s">
        <v>67</v>
      </c>
      <c r="O22" s="49">
        <f>+SUM(O20:O21)</f>
        <v>43857.644346524001</v>
      </c>
    </row>
    <row r="23" spans="2:17" x14ac:dyDescent="0.2">
      <c r="B23" s="1">
        <v>3</v>
      </c>
      <c r="C23" s="1"/>
      <c r="D23" s="7"/>
      <c r="E23" s="21"/>
      <c r="F23" s="7"/>
      <c r="G23" s="17" t="str">
        <f t="shared" si="5"/>
        <v/>
      </c>
      <c r="H23" s="5" t="str">
        <f t="shared" si="7"/>
        <v/>
      </c>
      <c r="I23" s="3">
        <f t="shared" si="6"/>
        <v>0</v>
      </c>
      <c r="J23" s="3"/>
      <c r="Q23" s="51"/>
    </row>
    <row r="24" spans="2:17" ht="15" x14ac:dyDescent="0.25">
      <c r="B24" s="1">
        <v>4</v>
      </c>
      <c r="C24" s="1"/>
      <c r="D24" s="7"/>
      <c r="E24" s="7"/>
      <c r="F24" s="7"/>
      <c r="G24" s="17" t="str">
        <f t="shared" si="5"/>
        <v/>
      </c>
      <c r="H24" s="5" t="str">
        <f t="shared" si="7"/>
        <v/>
      </c>
      <c r="I24" s="3">
        <f t="shared" si="6"/>
        <v>0</v>
      </c>
      <c r="J24" s="3"/>
      <c r="L24" s="78" t="s">
        <v>68</v>
      </c>
      <c r="M24" s="78"/>
      <c r="N24" s="78"/>
    </row>
    <row r="25" spans="2:17" ht="15" x14ac:dyDescent="0.25">
      <c r="B25" s="1">
        <v>5</v>
      </c>
      <c r="C25" s="1"/>
      <c r="D25" s="7"/>
      <c r="E25" s="7"/>
      <c r="F25" s="7"/>
      <c r="G25" s="17" t="str">
        <f t="shared" si="5"/>
        <v/>
      </c>
      <c r="H25" s="5" t="str">
        <f t="shared" si="7"/>
        <v/>
      </c>
      <c r="I25" s="3">
        <f t="shared" si="6"/>
        <v>0</v>
      </c>
      <c r="J25" s="3"/>
      <c r="L25" s="16" t="s">
        <v>27</v>
      </c>
      <c r="M25" s="76">
        <f>+SUM(L8:L16)+$D$34</f>
        <v>59672092.769699998</v>
      </c>
      <c r="N25" s="76"/>
      <c r="O25" s="49"/>
      <c r="P25" s="49"/>
    </row>
    <row r="26" spans="2:17" x14ac:dyDescent="0.2">
      <c r="B26" s="1">
        <v>6</v>
      </c>
      <c r="C26" s="1"/>
      <c r="D26" s="7"/>
      <c r="E26" s="7"/>
      <c r="F26" s="7"/>
      <c r="G26" s="17" t="str">
        <f t="shared" si="5"/>
        <v/>
      </c>
      <c r="H26" s="5" t="str">
        <f t="shared" si="7"/>
        <v/>
      </c>
      <c r="I26" s="3">
        <f t="shared" si="6"/>
        <v>0</v>
      </c>
      <c r="J26" s="3"/>
      <c r="L26" s="16" t="s">
        <v>46</v>
      </c>
      <c r="M26" s="22">
        <f>+L21/L20-1</f>
        <v>9.3733949666152672E-3</v>
      </c>
      <c r="N26" s="19">
        <f>+M26*M25</f>
        <v>559330.09401490528</v>
      </c>
      <c r="P26" s="34"/>
    </row>
    <row r="27" spans="2:17" x14ac:dyDescent="0.2">
      <c r="B27" s="1">
        <v>7</v>
      </c>
      <c r="C27" s="1"/>
      <c r="D27" s="7"/>
      <c r="E27" s="7"/>
      <c r="F27" s="7"/>
      <c r="G27" s="17" t="str">
        <f t="shared" si="5"/>
        <v/>
      </c>
      <c r="H27" s="5" t="str">
        <f t="shared" si="7"/>
        <v/>
      </c>
      <c r="I27" s="3">
        <f t="shared" si="6"/>
        <v>0</v>
      </c>
      <c r="J27" s="3"/>
      <c r="L27" s="16" t="s">
        <v>47</v>
      </c>
      <c r="M27" s="22">
        <f>+SUMPRODUCT($O$8:$O$16,$P$8:$P$16)</f>
        <v>7.4797351950461888E-4</v>
      </c>
      <c r="N27" s="69">
        <f>+M27*L17</f>
        <v>44633.14524515863</v>
      </c>
      <c r="P27" s="49"/>
    </row>
    <row r="28" spans="2:17" x14ac:dyDescent="0.2">
      <c r="B28" s="1">
        <v>8</v>
      </c>
      <c r="C28" s="1"/>
      <c r="D28" s="7"/>
      <c r="E28" s="7"/>
      <c r="F28" s="7"/>
      <c r="G28" s="17" t="str">
        <f t="shared" si="5"/>
        <v/>
      </c>
      <c r="H28" s="5" t="str">
        <f t="shared" si="7"/>
        <v/>
      </c>
      <c r="I28" s="3">
        <f t="shared" si="6"/>
        <v>0</v>
      </c>
      <c r="J28" s="3"/>
      <c r="K28" s="16"/>
      <c r="L28" s="16" t="s">
        <v>43</v>
      </c>
      <c r="M28" s="70">
        <f>+(1+M26)*(1+M27)-1</f>
        <v>1.0128379537342802E-2</v>
      </c>
      <c r="N28" s="25"/>
    </row>
    <row r="29" spans="2:17" ht="15" x14ac:dyDescent="0.25">
      <c r="B29" s="11" t="s">
        <v>40</v>
      </c>
      <c r="C29" s="11"/>
      <c r="D29" s="14"/>
      <c r="E29" s="12">
        <f>+SUM(E21:E28)</f>
        <v>2800000</v>
      </c>
      <c r="F29" s="13"/>
      <c r="G29" s="11"/>
      <c r="H29" s="24">
        <f>+IFERROR(SUMPRODUCT($E$21:$E$28,$H$21:$H$28)/SUMPRODUCT($E$21:$E$28),0)</f>
        <v>-7.0786336817207918E-4</v>
      </c>
      <c r="I29" s="12">
        <f>+SUM(I21:I28)</f>
        <v>-1982.0174308818216</v>
      </c>
      <c r="J29" s="19"/>
      <c r="L29" s="16" t="s">
        <v>44</v>
      </c>
      <c r="M29" s="76">
        <f>+L17*(1+M28)+D34</f>
        <v>60276474.373059049</v>
      </c>
      <c r="N29" s="76"/>
      <c r="O29" s="49"/>
    </row>
    <row r="30" spans="2:17" x14ac:dyDescent="0.2">
      <c r="L30" s="16" t="s">
        <v>45</v>
      </c>
      <c r="M30" s="26">
        <f>+H16+I29</f>
        <v>608.97578318304136</v>
      </c>
      <c r="N30" s="23"/>
      <c r="P30" s="3"/>
    </row>
    <row r="31" spans="2:17" x14ac:dyDescent="0.2">
      <c r="L31" s="16" t="s">
        <v>48</v>
      </c>
      <c r="M31" s="22">
        <f>+M30/M25</f>
        <v>1.020536996303009E-5</v>
      </c>
      <c r="N31" s="16"/>
      <c r="P31" s="49"/>
    </row>
    <row r="32" spans="2:17" ht="15" x14ac:dyDescent="0.25">
      <c r="E32" s="51"/>
      <c r="L32" s="16" t="s">
        <v>69</v>
      </c>
      <c r="M32" s="76">
        <f>+M25+N26+N27+M30</f>
        <v>60276664.984743245</v>
      </c>
      <c r="N32" s="76"/>
      <c r="P32" s="30"/>
    </row>
    <row r="33" spans="4:17" ht="15" x14ac:dyDescent="0.25">
      <c r="E33" s="3"/>
      <c r="F33" s="59"/>
      <c r="G33" s="58"/>
      <c r="L33" s="47" t="s">
        <v>63</v>
      </c>
      <c r="M33" s="76">
        <f>+O22/L20</f>
        <v>2252.5754672071907</v>
      </c>
      <c r="N33" s="76"/>
      <c r="P33" s="31"/>
    </row>
    <row r="34" spans="4:17" ht="15" x14ac:dyDescent="0.25">
      <c r="D34" s="3"/>
      <c r="E34" s="49"/>
      <c r="L34" s="47" t="s">
        <v>64</v>
      </c>
      <c r="M34" s="76">
        <f>+M32-M33</f>
        <v>60274412.409276038</v>
      </c>
      <c r="N34" s="76"/>
    </row>
    <row r="35" spans="4:17" ht="15" x14ac:dyDescent="0.25">
      <c r="E35" s="49"/>
      <c r="G35" s="49"/>
      <c r="L35" s="72" t="s">
        <v>72</v>
      </c>
      <c r="M35" s="73">
        <f>+M32/M25-1</f>
        <v>1.0131573856082987E-2</v>
      </c>
      <c r="N35" s="74">
        <f>+M32-M25</f>
        <v>604572.21504324675</v>
      </c>
    </row>
    <row r="36" spans="4:17" ht="15" x14ac:dyDescent="0.25">
      <c r="E36" s="49"/>
      <c r="G36" s="49"/>
      <c r="L36" s="29" t="s">
        <v>71</v>
      </c>
      <c r="M36" s="27">
        <f>+M34/M25-1</f>
        <v>1.0093824627546599E-2</v>
      </c>
      <c r="N36" s="28">
        <f>+M32-M25</f>
        <v>604572.21504324675</v>
      </c>
    </row>
    <row r="37" spans="4:17" x14ac:dyDescent="0.2">
      <c r="M37" s="67"/>
    </row>
    <row r="38" spans="4:17" x14ac:dyDescent="0.2">
      <c r="M38" s="71"/>
    </row>
    <row r="39" spans="4:17" ht="15" x14ac:dyDescent="0.25">
      <c r="E39" s="65"/>
      <c r="M39" s="34"/>
      <c r="O39" s="52"/>
      <c r="P39" s="52"/>
      <c r="Q39" s="53"/>
    </row>
    <row r="40" spans="4:17" ht="15" x14ac:dyDescent="0.25">
      <c r="E40" s="66"/>
      <c r="M40" s="33"/>
      <c r="O40" s="52"/>
      <c r="P40" s="52"/>
      <c r="Q40" s="53"/>
    </row>
    <row r="41" spans="4:17" x14ac:dyDescent="0.2">
      <c r="M41" s="68"/>
      <c r="O41" s="52"/>
      <c r="P41" s="52"/>
      <c r="Q41" s="52"/>
    </row>
    <row r="42" spans="4:17" ht="15" x14ac:dyDescent="0.25">
      <c r="O42" s="52"/>
      <c r="P42" s="52"/>
      <c r="Q42" s="53"/>
    </row>
    <row r="43" spans="4:17" ht="15" x14ac:dyDescent="0.25">
      <c r="Q43" s="53"/>
    </row>
    <row r="45" spans="4:17" x14ac:dyDescent="0.2">
      <c r="Q45" s="52"/>
    </row>
    <row r="46" spans="4:17" x14ac:dyDescent="0.2">
      <c r="Q46" s="34"/>
    </row>
    <row r="50" spans="16:22" x14ac:dyDescent="0.2">
      <c r="P50" s="52"/>
      <c r="Q50" s="4"/>
      <c r="R50" s="52"/>
      <c r="T50" s="52"/>
      <c r="U50" s="55"/>
      <c r="V50" s="34"/>
    </row>
    <row r="51" spans="16:22" x14ac:dyDescent="0.2">
      <c r="P51" s="52"/>
      <c r="Q51" s="4"/>
      <c r="R51" s="52"/>
      <c r="T51" s="52"/>
      <c r="U51" s="55"/>
      <c r="V51" s="34"/>
    </row>
    <row r="52" spans="16:22" x14ac:dyDescent="0.2">
      <c r="P52" s="52"/>
      <c r="Q52" s="4"/>
      <c r="R52" s="52"/>
      <c r="U52" s="55"/>
    </row>
    <row r="53" spans="16:22" x14ac:dyDescent="0.2">
      <c r="P53" s="52"/>
      <c r="Q53" s="4"/>
      <c r="R53" s="52"/>
      <c r="T53" s="52"/>
      <c r="U53" s="55"/>
      <c r="V53" s="34"/>
    </row>
    <row r="54" spans="16:22" ht="15" x14ac:dyDescent="0.25">
      <c r="P54" s="53"/>
    </row>
    <row r="58" spans="16:22" x14ac:dyDescent="0.2">
      <c r="P58" s="54"/>
    </row>
    <row r="59" spans="16:22" x14ac:dyDescent="0.2">
      <c r="P59" s="54"/>
    </row>
    <row r="60" spans="16:22" x14ac:dyDescent="0.2">
      <c r="P60" s="54"/>
    </row>
    <row r="61" spans="16:22" x14ac:dyDescent="0.2">
      <c r="P61" s="54"/>
    </row>
    <row r="62" spans="16:22" x14ac:dyDescent="0.2">
      <c r="P62" s="54"/>
    </row>
  </sheetData>
  <mergeCells count="11">
    <mergeCell ref="J6:P6"/>
    <mergeCell ref="M33:N33"/>
    <mergeCell ref="M34:N34"/>
    <mergeCell ref="N19:O19"/>
    <mergeCell ref="B6:H6"/>
    <mergeCell ref="M32:N32"/>
    <mergeCell ref="M29:N29"/>
    <mergeCell ref="L24:N24"/>
    <mergeCell ref="M25:N25"/>
    <mergeCell ref="B19:I19"/>
    <mergeCell ref="K19:L19"/>
  </mergeCells>
  <conditionalFormatting sqref="H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M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M36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M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M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M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N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N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M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G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N36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H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I29:J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2D07F7-5792-48B1-A782-7A4DA50EBF53}">
          <x14:formula1>
            <xm:f>'lista Lebacs'!$B$2:$B$10</xm:f>
          </x14:formula1>
          <xm:sqref>D21:D28 K8:K16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8</v>
      </c>
      <c r="B2" t="str">
        <f>+ "LEBAC "&amp;C2</f>
        <v>LEBAC 20-12-2017</v>
      </c>
      <c r="C2" t="s">
        <v>18</v>
      </c>
      <c r="D2" t="str">
        <f ca="1">IF(TODAY()&gt;=C2,"Vencida","Vigente")</f>
        <v>Vigente</v>
      </c>
    </row>
    <row r="3" spans="1:4" x14ac:dyDescent="0.2">
      <c r="A3" t="s">
        <v>9</v>
      </c>
      <c r="B3" t="str">
        <f t="shared" ref="B3:B10" si="0">+ "LEBAC "&amp;C3</f>
        <v>LEBAC 17-01-2018</v>
      </c>
      <c r="C3" t="s">
        <v>19</v>
      </c>
      <c r="D3" t="str">
        <f t="shared" ref="D3:D10" ca="1" si="1">IF(TODAY()&gt;=C3,"Vencida","Vigente")</f>
        <v>Vigente</v>
      </c>
    </row>
    <row r="4" spans="1:4" x14ac:dyDescent="0.2">
      <c r="A4" t="s">
        <v>10</v>
      </c>
      <c r="B4" t="str">
        <f t="shared" si="0"/>
        <v>LEBAC 21-02-2018</v>
      </c>
      <c r="C4" t="s">
        <v>20</v>
      </c>
      <c r="D4" t="str">
        <f t="shared" ca="1" si="1"/>
        <v>Vigente</v>
      </c>
    </row>
    <row r="5" spans="1:4" x14ac:dyDescent="0.2">
      <c r="A5" t="s">
        <v>11</v>
      </c>
      <c r="B5" t="str">
        <f t="shared" si="0"/>
        <v>LEBAC 21-03-2018</v>
      </c>
      <c r="C5" t="s">
        <v>21</v>
      </c>
      <c r="D5" t="str">
        <f t="shared" ca="1" si="1"/>
        <v>Vigente</v>
      </c>
    </row>
    <row r="6" spans="1:4" x14ac:dyDescent="0.2">
      <c r="A6" t="s">
        <v>12</v>
      </c>
      <c r="B6" t="str">
        <f t="shared" si="0"/>
        <v>LEBAC 18-04-2018</v>
      </c>
      <c r="C6" t="s">
        <v>22</v>
      </c>
      <c r="D6" t="str">
        <f t="shared" ca="1" si="1"/>
        <v>Vigente</v>
      </c>
    </row>
    <row r="7" spans="1:4" x14ac:dyDescent="0.2">
      <c r="A7" t="s">
        <v>13</v>
      </c>
      <c r="B7" t="str">
        <f t="shared" si="0"/>
        <v>LEBAC 16-05-2018</v>
      </c>
      <c r="C7" t="s">
        <v>23</v>
      </c>
      <c r="D7" t="str">
        <f t="shared" ca="1" si="1"/>
        <v>Vigente</v>
      </c>
    </row>
    <row r="8" spans="1:4" x14ac:dyDescent="0.2">
      <c r="A8" t="s">
        <v>14</v>
      </c>
      <c r="B8" t="str">
        <f t="shared" si="0"/>
        <v>LEBAC 21-06-2018</v>
      </c>
      <c r="C8" t="s">
        <v>24</v>
      </c>
      <c r="D8" t="str">
        <f t="shared" ca="1" si="1"/>
        <v>Vigente</v>
      </c>
    </row>
    <row r="9" spans="1:4" x14ac:dyDescent="0.2">
      <c r="A9" t="s">
        <v>15</v>
      </c>
      <c r="B9" t="str">
        <f t="shared" si="0"/>
        <v>LEBAC 18-07-2018</v>
      </c>
      <c r="C9" t="s">
        <v>25</v>
      </c>
      <c r="D9" t="str">
        <f t="shared" ca="1" si="1"/>
        <v>Vigente</v>
      </c>
    </row>
    <row r="10" spans="1:4" x14ac:dyDescent="0.2">
      <c r="A10" t="s">
        <v>16</v>
      </c>
      <c r="B10" t="str">
        <f t="shared" si="0"/>
        <v>LEBAC 15-08-2018</v>
      </c>
      <c r="C10" t="s">
        <v>26</v>
      </c>
      <c r="D10" t="str">
        <f t="shared" ca="1" si="1"/>
        <v>Vigente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B1D5-2E05-4A00-AEE4-BE34B9DE4B9A}">
  <sheetPr codeName="Hoja1"/>
  <dimension ref="A1:P30"/>
  <sheetViews>
    <sheetView topLeftCell="A16" workbookViewId="0">
      <selection activeCell="N43" sqref="N43"/>
    </sheetView>
  </sheetViews>
  <sheetFormatPr baseColWidth="10" defaultRowHeight="14.25" x14ac:dyDescent="0.2"/>
  <cols>
    <col min="1" max="1" width="14.875" bestFit="1" customWidth="1"/>
    <col min="3" max="3" width="13" bestFit="1" customWidth="1"/>
    <col min="9" max="9" width="10.125" bestFit="1" customWidth="1"/>
    <col min="10" max="10" width="12.25" bestFit="1" customWidth="1"/>
    <col min="11" max="11" width="8.25" bestFit="1" customWidth="1"/>
    <col min="12" max="12" width="11.875" bestFit="1" customWidth="1"/>
    <col min="13" max="13" width="21.625" bestFit="1" customWidth="1"/>
    <col min="14" max="14" width="22.375" bestFit="1" customWidth="1"/>
    <col min="16" max="16" width="14.875" bestFit="1" customWidth="1"/>
  </cols>
  <sheetData>
    <row r="1" spans="1:16" x14ac:dyDescent="0.2">
      <c r="A1" t="s">
        <v>51</v>
      </c>
      <c r="B1" t="s">
        <v>50</v>
      </c>
      <c r="C1" t="s">
        <v>53</v>
      </c>
      <c r="E1" t="s">
        <v>51</v>
      </c>
      <c r="F1" t="s">
        <v>54</v>
      </c>
      <c r="H1" s="1" t="s">
        <v>51</v>
      </c>
      <c r="I1" s="1" t="s">
        <v>46</v>
      </c>
      <c r="J1" s="1" t="s">
        <v>55</v>
      </c>
      <c r="K1" s="1" t="s">
        <v>56</v>
      </c>
      <c r="L1" s="1" t="s">
        <v>59</v>
      </c>
      <c r="M1" s="1" t="s">
        <v>57</v>
      </c>
      <c r="N1" s="1"/>
    </row>
    <row r="2" spans="1:16" x14ac:dyDescent="0.2">
      <c r="A2" s="32">
        <v>43075</v>
      </c>
      <c r="B2" s="33">
        <v>1000</v>
      </c>
      <c r="C2" t="s">
        <v>52</v>
      </c>
      <c r="E2" s="32">
        <v>43075</v>
      </c>
      <c r="F2" s="33">
        <v>17.286200000000001</v>
      </c>
      <c r="H2" s="35">
        <f>+E2</f>
        <v>43075</v>
      </c>
      <c r="I2" s="1" t="s">
        <v>52</v>
      </c>
      <c r="J2" s="1" t="str">
        <f t="shared" ref="J2:J13" si="0">+VLOOKUP(E2,$A$2:$C$22,3,FALSE)</f>
        <v>-</v>
      </c>
      <c r="K2" s="36">
        <f>+(1+0.4%)^(1/365)-1</f>
        <v>1.0937104383712537E-5</v>
      </c>
      <c r="L2" s="38">
        <v>100</v>
      </c>
      <c r="M2" s="38">
        <v>100</v>
      </c>
      <c r="P2" s="48"/>
    </row>
    <row r="3" spans="1:16" x14ac:dyDescent="0.2">
      <c r="A3" s="32">
        <v>43076</v>
      </c>
      <c r="B3" s="33">
        <v>1002.5027</v>
      </c>
      <c r="C3" s="4">
        <f>+B3/B2-1</f>
        <v>2.5026999999999688E-3</v>
      </c>
      <c r="E3" s="32">
        <v>43076</v>
      </c>
      <c r="F3" s="33">
        <v>17.305800000000001</v>
      </c>
      <c r="H3" s="35">
        <f t="shared" ref="H3:H13" si="1">+E3</f>
        <v>43076</v>
      </c>
      <c r="I3" s="37">
        <f>+F2/F3-1</f>
        <v>-1.1325682719088848E-3</v>
      </c>
      <c r="J3" s="37">
        <f t="shared" si="0"/>
        <v>2.5026999999999688E-3</v>
      </c>
      <c r="K3" s="36">
        <f t="shared" ref="K3:K17" si="2">+(1+0.4%)^(1/365)-1</f>
        <v>1.0937104383712537E-5</v>
      </c>
      <c r="L3" s="38">
        <f>+L2*(1+I3)</f>
        <v>99.886743172809105</v>
      </c>
      <c r="M3" s="38">
        <f>+M2*(1+J3+K3)</f>
        <v>100.25136371043837</v>
      </c>
      <c r="P3" s="48"/>
    </row>
    <row r="4" spans="1:16" x14ac:dyDescent="0.2">
      <c r="A4" s="32">
        <v>43077</v>
      </c>
      <c r="B4" s="33">
        <v>1002.4917</v>
      </c>
      <c r="C4" s="4">
        <f t="shared" ref="C4:C28" si="3">+B4/B3-1</f>
        <v>-1.0972539026599115E-5</v>
      </c>
      <c r="E4" s="32">
        <v>43080</v>
      </c>
      <c r="F4" s="33">
        <v>17.2697</v>
      </c>
      <c r="H4" s="35">
        <f t="shared" si="1"/>
        <v>43080</v>
      </c>
      <c r="I4" s="37">
        <f t="shared" ref="I4:I17" si="4">+F3/F4-1</f>
        <v>2.0903663642102277E-3</v>
      </c>
      <c r="J4" s="37">
        <f t="shared" si="0"/>
        <v>3.3008478959513088E-3</v>
      </c>
      <c r="K4" s="36">
        <f t="shared" si="2"/>
        <v>1.0937104383712537E-5</v>
      </c>
      <c r="L4" s="38">
        <f t="shared" ref="L4:L17" si="5">+L3*(1+I4)</f>
        <v>100.09554306096805</v>
      </c>
      <c r="M4" s="38">
        <f t="shared" ref="M4:M17" si="6">+M3*(1+J4+K4)</f>
        <v>100.58337467303772</v>
      </c>
      <c r="N4" s="4"/>
      <c r="P4" s="48"/>
    </row>
    <row r="5" spans="1:16" x14ac:dyDescent="0.2">
      <c r="A5" s="32">
        <v>43078</v>
      </c>
      <c r="B5" s="33">
        <v>1002.4807</v>
      </c>
      <c r="C5" s="4">
        <f t="shared" si="3"/>
        <v>-1.0972659424623998E-5</v>
      </c>
      <c r="E5" s="32">
        <v>43081</v>
      </c>
      <c r="F5" s="33">
        <v>17.263500000000001</v>
      </c>
      <c r="H5" s="35">
        <f t="shared" si="1"/>
        <v>43081</v>
      </c>
      <c r="I5" s="37">
        <f t="shared" si="4"/>
        <v>3.591392243751379E-4</v>
      </c>
      <c r="J5" s="37">
        <f t="shared" si="0"/>
        <v>9.9912634856957894E-4</v>
      </c>
      <c r="K5" s="36">
        <f t="shared" si="2"/>
        <v>1.0937104383712537E-5</v>
      </c>
      <c r="L5" s="38">
        <f t="shared" si="5"/>
        <v>100.13149129666638</v>
      </c>
      <c r="M5" s="38">
        <f t="shared" si="6"/>
        <v>100.68497026376967</v>
      </c>
      <c r="N5" s="4"/>
      <c r="P5" s="48"/>
    </row>
    <row r="6" spans="1:16" x14ac:dyDescent="0.2">
      <c r="A6" s="32">
        <v>43079</v>
      </c>
      <c r="B6" s="33">
        <v>1002.4697</v>
      </c>
      <c r="C6" s="4">
        <f t="shared" si="3"/>
        <v>-1.0972779825091372E-5</v>
      </c>
      <c r="E6" s="32">
        <v>43082</v>
      </c>
      <c r="F6" s="33">
        <v>17.315000000000001</v>
      </c>
      <c r="H6" s="35">
        <f t="shared" si="1"/>
        <v>43082</v>
      </c>
      <c r="I6" s="37">
        <f t="shared" si="4"/>
        <v>-2.9742997401097648E-3</v>
      </c>
      <c r="J6" s="37">
        <f t="shared" si="0"/>
        <v>-2.4221689745442809E-3</v>
      </c>
      <c r="K6" s="36">
        <f t="shared" si="2"/>
        <v>1.0937104383712537E-5</v>
      </c>
      <c r="L6" s="38">
        <f t="shared" si="5"/>
        <v>99.833670228125911</v>
      </c>
      <c r="M6" s="38">
        <f t="shared" si="6"/>
        <v>100.4421954546235</v>
      </c>
      <c r="N6" s="4"/>
      <c r="P6" s="48"/>
    </row>
    <row r="7" spans="1:16" x14ac:dyDescent="0.2">
      <c r="A7" s="32">
        <v>43080</v>
      </c>
      <c r="B7" s="33">
        <v>1005.7787</v>
      </c>
      <c r="C7" s="4">
        <f t="shared" si="3"/>
        <v>3.3008478959513088E-3</v>
      </c>
      <c r="E7" s="32">
        <v>43083</v>
      </c>
      <c r="F7" s="33">
        <v>17.3567</v>
      </c>
      <c r="H7" s="35">
        <f t="shared" si="1"/>
        <v>43083</v>
      </c>
      <c r="I7" s="37">
        <f t="shared" si="4"/>
        <v>-2.4025304349328813E-3</v>
      </c>
      <c r="J7" s="37">
        <f t="shared" si="0"/>
        <v>-1.4356620483997329E-3</v>
      </c>
      <c r="K7" s="36">
        <f t="shared" si="2"/>
        <v>1.0937104383712537E-5</v>
      </c>
      <c r="L7" s="38">
        <f t="shared" si="5"/>
        <v>99.59381679697178</v>
      </c>
      <c r="M7" s="38">
        <f t="shared" si="6"/>
        <v>100.29909295332757</v>
      </c>
      <c r="N7" s="39"/>
      <c r="P7" s="48"/>
    </row>
    <row r="8" spans="1:16" x14ac:dyDescent="0.2">
      <c r="A8" s="32">
        <v>43081</v>
      </c>
      <c r="B8" s="33">
        <v>1006.7836</v>
      </c>
      <c r="C8" s="4">
        <f t="shared" si="3"/>
        <v>9.9912634856957894E-4</v>
      </c>
      <c r="E8" s="32">
        <v>43084</v>
      </c>
      <c r="F8" s="33">
        <v>17.5517</v>
      </c>
      <c r="H8" s="35">
        <f t="shared" si="1"/>
        <v>43084</v>
      </c>
      <c r="I8" s="37">
        <f t="shared" si="4"/>
        <v>-1.1110034925391865E-2</v>
      </c>
      <c r="J8" s="37">
        <f t="shared" si="0"/>
        <v>-8.3354014959171607E-3</v>
      </c>
      <c r="K8" s="36">
        <f t="shared" si="2"/>
        <v>1.0937104383712537E-5</v>
      </c>
      <c r="L8" s="38">
        <f t="shared" si="5"/>
        <v>98.487326014004339</v>
      </c>
      <c r="M8" s="38">
        <f t="shared" si="6"/>
        <v>99.464156725534494</v>
      </c>
      <c r="N8" s="4"/>
      <c r="P8" s="48"/>
    </row>
    <row r="9" spans="1:16" x14ac:dyDescent="0.2">
      <c r="A9" s="32">
        <v>43082</v>
      </c>
      <c r="B9" s="33">
        <v>1004.345</v>
      </c>
      <c r="C9" s="4">
        <f t="shared" si="3"/>
        <v>-2.4221689745442809E-3</v>
      </c>
      <c r="E9" s="32">
        <v>43087</v>
      </c>
      <c r="F9" s="33">
        <v>17.5642</v>
      </c>
      <c r="H9" s="35">
        <f t="shared" si="1"/>
        <v>43087</v>
      </c>
      <c r="I9" s="37">
        <f t="shared" si="4"/>
        <v>-7.1167488413925728E-4</v>
      </c>
      <c r="J9" s="37">
        <f t="shared" si="0"/>
        <v>9.7695203634073913E-4</v>
      </c>
      <c r="K9" s="36">
        <f t="shared" si="2"/>
        <v>1.0937104383712537E-5</v>
      </c>
      <c r="L9" s="38">
        <f t="shared" si="5"/>
        <v>98.417235057674134</v>
      </c>
      <c r="M9" s="38">
        <f t="shared" si="6"/>
        <v>99.562416285854965</v>
      </c>
      <c r="N9" s="4"/>
      <c r="P9" s="48"/>
    </row>
    <row r="10" spans="1:16" x14ac:dyDescent="0.2">
      <c r="A10" s="32">
        <v>43083</v>
      </c>
      <c r="B10" s="33">
        <v>1002.9031</v>
      </c>
      <c r="C10" s="4">
        <f t="shared" si="3"/>
        <v>-1.4356620483997329E-3</v>
      </c>
      <c r="E10" s="32">
        <v>43088</v>
      </c>
      <c r="F10" s="33">
        <v>17.565799999999999</v>
      </c>
      <c r="H10" s="35">
        <f t="shared" si="1"/>
        <v>43088</v>
      </c>
      <c r="I10" s="37">
        <f t="shared" si="4"/>
        <v>-9.1086087738667665E-5</v>
      </c>
      <c r="J10" s="37">
        <f t="shared" si="0"/>
        <v>-9.4023736774473399E-5</v>
      </c>
      <c r="K10" s="36">
        <f t="shared" si="2"/>
        <v>1.0937104383712537E-5</v>
      </c>
      <c r="L10" s="38">
        <f t="shared" si="5"/>
        <v>98.408270616766671</v>
      </c>
      <c r="M10" s="38">
        <f t="shared" si="6"/>
        <v>99.554143979973091</v>
      </c>
      <c r="N10" s="4"/>
      <c r="P10" s="48"/>
    </row>
    <row r="11" spans="1:16" x14ac:dyDescent="0.2">
      <c r="A11" s="32">
        <v>43084</v>
      </c>
      <c r="B11" s="33">
        <v>994.54349999999999</v>
      </c>
      <c r="C11" s="4">
        <f t="shared" si="3"/>
        <v>-8.3354014959171607E-3</v>
      </c>
      <c r="E11" s="32">
        <v>43089</v>
      </c>
      <c r="F11" s="33">
        <v>17.780799999999999</v>
      </c>
      <c r="H11" s="35">
        <f t="shared" si="1"/>
        <v>43089</v>
      </c>
      <c r="I11" s="37">
        <f t="shared" si="4"/>
        <v>-1.2091694411950016E-2</v>
      </c>
      <c r="J11" s="37">
        <f t="shared" si="0"/>
        <v>-1.1450676547320682E-2</v>
      </c>
      <c r="K11" s="36">
        <f t="shared" si="2"/>
        <v>1.0937104383712537E-5</v>
      </c>
      <c r="L11" s="38">
        <f t="shared" si="5"/>
        <v>97.21834788086025</v>
      </c>
      <c r="M11" s="38">
        <f t="shared" si="6"/>
        <v>98.41527051237756</v>
      </c>
      <c r="N11" s="4"/>
      <c r="P11" s="48"/>
    </row>
    <row r="12" spans="1:16" x14ac:dyDescent="0.2">
      <c r="A12" s="32">
        <v>43085</v>
      </c>
      <c r="B12" s="33">
        <v>994.5326</v>
      </c>
      <c r="C12" s="4">
        <f t="shared" si="3"/>
        <v>-1.0959802160481757E-5</v>
      </c>
      <c r="E12" s="32">
        <v>43090</v>
      </c>
      <c r="F12" s="33">
        <v>17.87</v>
      </c>
      <c r="H12" s="35">
        <f t="shared" si="1"/>
        <v>43090</v>
      </c>
      <c r="I12" s="37">
        <f t="shared" si="4"/>
        <v>-4.9916060436486775E-3</v>
      </c>
      <c r="J12" s="37">
        <f t="shared" si="0"/>
        <v>-3.9236720830868599E-3</v>
      </c>
      <c r="K12" s="36">
        <f t="shared" si="2"/>
        <v>1.0937104383712537E-5</v>
      </c>
      <c r="L12" s="38">
        <f t="shared" si="5"/>
        <v>96.733072188024607</v>
      </c>
      <c r="M12" s="38">
        <f t="shared" si="6"/>
        <v>98.030197641005245</v>
      </c>
      <c r="N12" s="4"/>
      <c r="P12" s="48"/>
    </row>
    <row r="13" spans="1:16" x14ac:dyDescent="0.2">
      <c r="A13" s="32">
        <v>43086</v>
      </c>
      <c r="B13" s="33">
        <v>994.52170000000001</v>
      </c>
      <c r="C13" s="4">
        <f t="shared" si="3"/>
        <v>-1.0959922279063505E-5</v>
      </c>
      <c r="E13" s="32">
        <v>43091</v>
      </c>
      <c r="F13" s="33">
        <v>18.0108</v>
      </c>
      <c r="H13" s="35">
        <f t="shared" si="1"/>
        <v>43091</v>
      </c>
      <c r="I13" s="37">
        <f t="shared" si="4"/>
        <v>-7.817531703200209E-3</v>
      </c>
      <c r="J13" s="37">
        <f t="shared" si="0"/>
        <v>-4.5980128569282908E-3</v>
      </c>
      <c r="K13" s="36">
        <f t="shared" si="2"/>
        <v>1.0937104383712537E-5</v>
      </c>
      <c r="L13" s="38">
        <f t="shared" si="5"/>
        <v>95.97685832944677</v>
      </c>
      <c r="M13" s="38">
        <f t="shared" si="6"/>
        <v>97.580525698389039</v>
      </c>
      <c r="N13" s="4"/>
      <c r="P13" s="48"/>
    </row>
    <row r="14" spans="1:16" x14ac:dyDescent="0.2">
      <c r="A14" s="32">
        <v>43087</v>
      </c>
      <c r="B14" s="33">
        <v>995.49329999999998</v>
      </c>
      <c r="C14" s="4">
        <f t="shared" si="3"/>
        <v>9.7695203634073913E-4</v>
      </c>
      <c r="E14" s="32">
        <v>43095</v>
      </c>
      <c r="F14" s="33">
        <v>18.249500000000001</v>
      </c>
      <c r="H14" s="35">
        <f>+E14</f>
        <v>43095</v>
      </c>
      <c r="I14" s="37">
        <f t="shared" si="4"/>
        <v>-1.3079810405764669E-2</v>
      </c>
      <c r="J14" s="37">
        <f>+VLOOKUP(E14,$A$2:$C$44,3,FALSE)</f>
        <v>-1.1822443988429687E-2</v>
      </c>
      <c r="K14" s="36">
        <f t="shared" si="2"/>
        <v>1.0937104383712537E-5</v>
      </c>
      <c r="L14" s="38">
        <f t="shared" si="5"/>
        <v>94.721499219156669</v>
      </c>
      <c r="M14" s="38">
        <f t="shared" si="6"/>
        <v>96.427952647353692</v>
      </c>
      <c r="N14" s="34"/>
      <c r="P14" s="48"/>
    </row>
    <row r="15" spans="1:16" x14ac:dyDescent="0.2">
      <c r="A15" s="32">
        <v>43088</v>
      </c>
      <c r="B15" s="33">
        <v>995.39970000000005</v>
      </c>
      <c r="C15" s="4">
        <f t="shared" si="3"/>
        <v>-9.4023736774473399E-5</v>
      </c>
      <c r="E15" s="32">
        <v>43096</v>
      </c>
      <c r="F15" s="33">
        <v>18.434999999999999</v>
      </c>
      <c r="H15" s="35">
        <f t="shared" ref="H15:H17" si="7">+E15</f>
        <v>43096</v>
      </c>
      <c r="I15" s="37">
        <f t="shared" si="4"/>
        <v>-1.0062381339842608E-2</v>
      </c>
      <c r="J15" s="37">
        <f t="shared" ref="J15:J17" si="8">+VLOOKUP(E15,$A$2:$C$44,3,FALSE)</f>
        <v>-9.2965433973536404E-3</v>
      </c>
      <c r="K15" s="36">
        <f t="shared" si="2"/>
        <v>1.0937104383712537E-5</v>
      </c>
      <c r="L15" s="38">
        <f t="shared" si="5"/>
        <v>93.768375372931914</v>
      </c>
      <c r="M15" s="38">
        <f t="shared" si="6"/>
        <v>95.532560643433214</v>
      </c>
      <c r="P15" s="48"/>
    </row>
    <row r="16" spans="1:16" x14ac:dyDescent="0.2">
      <c r="A16" s="32">
        <v>43089</v>
      </c>
      <c r="B16" s="33">
        <v>984.00170000000003</v>
      </c>
      <c r="C16" s="4">
        <f t="shared" si="3"/>
        <v>-1.1450676547320682E-2</v>
      </c>
      <c r="E16" s="32">
        <v>43097</v>
      </c>
      <c r="F16" s="33">
        <v>18.829999999999998</v>
      </c>
      <c r="H16" s="35">
        <f t="shared" si="7"/>
        <v>43097</v>
      </c>
      <c r="I16" s="37">
        <f t="shared" si="4"/>
        <v>-2.0977164099840628E-2</v>
      </c>
      <c r="J16" s="37">
        <f t="shared" si="8"/>
        <v>-2.0017683910311557E-2</v>
      </c>
      <c r="K16" s="36">
        <f t="shared" si="2"/>
        <v>1.0937104383712537E-5</v>
      </c>
      <c r="L16" s="38">
        <f t="shared" si="5"/>
        <v>91.801380775358467</v>
      </c>
      <c r="M16" s="38">
        <f t="shared" si="6"/>
        <v>93.621264890918098</v>
      </c>
      <c r="P16" s="48"/>
    </row>
    <row r="17" spans="1:16" x14ac:dyDescent="0.2">
      <c r="A17" s="32">
        <v>43090</v>
      </c>
      <c r="B17" s="33">
        <v>980.14080000000001</v>
      </c>
      <c r="C17" s="4">
        <f t="shared" si="3"/>
        <v>-3.9236720830868599E-3</v>
      </c>
      <c r="E17" s="32">
        <v>43098</v>
      </c>
      <c r="F17" s="33">
        <v>18.7742</v>
      </c>
      <c r="H17" s="35">
        <f t="shared" si="7"/>
        <v>43098</v>
      </c>
      <c r="I17" s="37">
        <f t="shared" si="4"/>
        <v>2.9721639270912092E-3</v>
      </c>
      <c r="J17" s="37">
        <f t="shared" si="8"/>
        <v>6.0547881833765693E-3</v>
      </c>
      <c r="K17" s="36">
        <f t="shared" si="2"/>
        <v>1.0937104383712537E-5</v>
      </c>
      <c r="L17" s="38">
        <f t="shared" si="5"/>
        <v>92.074229527756145</v>
      </c>
      <c r="M17" s="38">
        <f t="shared" si="6"/>
        <v>94.18914576483904</v>
      </c>
      <c r="P17" s="48"/>
    </row>
    <row r="18" spans="1:16" x14ac:dyDescent="0.2">
      <c r="A18" s="32">
        <v>43091</v>
      </c>
      <c r="B18" s="33">
        <v>975.63409999999999</v>
      </c>
      <c r="C18" s="4">
        <f t="shared" si="3"/>
        <v>-4.5980128569282908E-3</v>
      </c>
      <c r="E18" s="32"/>
      <c r="P18" s="48"/>
    </row>
    <row r="19" spans="1:16" x14ac:dyDescent="0.2">
      <c r="A19" s="32">
        <v>43092</v>
      </c>
      <c r="B19" s="33">
        <v>975.62339999999995</v>
      </c>
      <c r="C19" s="4">
        <f t="shared" si="3"/>
        <v>-1.0967226340308223E-5</v>
      </c>
      <c r="N19" s="41"/>
      <c r="O19" s="41"/>
      <c r="P19" s="48"/>
    </row>
    <row r="20" spans="1:16" ht="15" x14ac:dyDescent="0.25">
      <c r="A20" s="32">
        <v>43093</v>
      </c>
      <c r="B20" s="33">
        <v>975.61270000000002</v>
      </c>
      <c r="C20" s="4">
        <f t="shared" si="3"/>
        <v>-1.0967346621537644E-5</v>
      </c>
      <c r="M20" s="40"/>
      <c r="N20" s="79" t="s">
        <v>60</v>
      </c>
      <c r="O20" s="80"/>
      <c r="P20" s="48"/>
    </row>
    <row r="21" spans="1:16" x14ac:dyDescent="0.2">
      <c r="A21" s="32">
        <v>43094</v>
      </c>
      <c r="B21" s="33">
        <v>975.60199999999998</v>
      </c>
      <c r="C21" s="4">
        <f t="shared" si="3"/>
        <v>-1.0967466905764667E-5</v>
      </c>
      <c r="M21" s="40"/>
      <c r="N21" s="42" t="s">
        <v>46</v>
      </c>
      <c r="O21" s="44">
        <f>+L17/100-1</f>
        <v>-7.9257704722438538E-2</v>
      </c>
      <c r="P21" s="48"/>
    </row>
    <row r="22" spans="1:16" x14ac:dyDescent="0.2">
      <c r="A22" s="32">
        <v>43095</v>
      </c>
      <c r="B22" s="33">
        <v>964.06799999999998</v>
      </c>
      <c r="C22" s="4">
        <f t="shared" si="3"/>
        <v>-1.1822443988429687E-2</v>
      </c>
      <c r="N22" s="43" t="s">
        <v>53</v>
      </c>
      <c r="O22" s="45">
        <f>+M17/100-1</f>
        <v>-5.810854235160956E-2</v>
      </c>
      <c r="P22" s="48"/>
    </row>
    <row r="23" spans="1:16" x14ac:dyDescent="0.2">
      <c r="A23" s="32">
        <v>43096</v>
      </c>
      <c r="B23" s="33">
        <v>955.10550000000001</v>
      </c>
      <c r="C23" s="4">
        <f t="shared" si="3"/>
        <v>-9.2965433973536404E-3</v>
      </c>
      <c r="N23" s="42" t="s">
        <v>61</v>
      </c>
      <c r="O23" s="46">
        <f>28.75%/365*24</f>
        <v>1.8904109589041096E-2</v>
      </c>
      <c r="P23" s="48"/>
    </row>
    <row r="24" spans="1:16" x14ac:dyDescent="0.2">
      <c r="A24" s="32">
        <v>43097</v>
      </c>
      <c r="B24" s="33">
        <v>935.98649999999998</v>
      </c>
      <c r="C24" s="4">
        <f t="shared" si="3"/>
        <v>-2.0017683910311557E-2</v>
      </c>
      <c r="N24" s="43" t="s">
        <v>58</v>
      </c>
      <c r="O24" s="45">
        <f>+O22-O21-O23</f>
        <v>2.2450527817878818E-3</v>
      </c>
      <c r="P24" s="48"/>
    </row>
    <row r="25" spans="1:16" x14ac:dyDescent="0.2">
      <c r="A25" s="32">
        <v>43098</v>
      </c>
      <c r="B25" s="33">
        <v>941.65369999999996</v>
      </c>
      <c r="C25" s="4">
        <f t="shared" si="3"/>
        <v>6.0547881833765693E-3</v>
      </c>
      <c r="P25" s="48"/>
    </row>
    <row r="26" spans="1:16" x14ac:dyDescent="0.2">
      <c r="A26" s="32">
        <v>43099</v>
      </c>
      <c r="B26" s="33">
        <v>941.64340000000004</v>
      </c>
      <c r="C26" s="4">
        <f t="shared" si="3"/>
        <v>-1.0938203715338268E-5</v>
      </c>
      <c r="P26" s="48"/>
    </row>
    <row r="27" spans="1:16" x14ac:dyDescent="0.2">
      <c r="A27" s="32">
        <v>43100</v>
      </c>
      <c r="B27" s="33">
        <v>941.63300000000004</v>
      </c>
      <c r="C27" s="4">
        <f t="shared" si="3"/>
        <v>-1.1044520675240754E-5</v>
      </c>
      <c r="P27" s="48"/>
    </row>
    <row r="28" spans="1:16" x14ac:dyDescent="0.2">
      <c r="A28" s="32">
        <v>43101</v>
      </c>
      <c r="B28" s="33">
        <v>941.62270000000001</v>
      </c>
      <c r="C28" s="4">
        <f t="shared" si="3"/>
        <v>-1.0938444170993655E-5</v>
      </c>
      <c r="P28" s="48"/>
    </row>
    <row r="29" spans="1:16" x14ac:dyDescent="0.2">
      <c r="O29" s="47"/>
      <c r="P29" s="48"/>
    </row>
    <row r="30" spans="1:16" x14ac:dyDescent="0.2">
      <c r="O30" s="16"/>
    </row>
  </sheetData>
  <mergeCells count="1">
    <mergeCell ref="N20:O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 rentabilidad</vt:lpstr>
      <vt:lpstr>lista Lebacs</vt:lpstr>
      <vt:lpstr>Retornos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2018-02-02T15:44:35Z</dcterms:modified>
</cp:coreProperties>
</file>