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I29" i="4"/>
  <c r="E16" i="4"/>
  <c r="O21" i="4"/>
  <c r="F8" i="4"/>
  <c r="G8" i="4"/>
  <c r="M25" i="4"/>
  <c r="L17" i="4"/>
  <c r="H8" i="4"/>
  <c r="O9" i="4"/>
  <c r="O8" i="4"/>
  <c r="P8" i="4"/>
  <c r="P9" i="4"/>
  <c r="F9" i="4"/>
  <c r="G9" i="4"/>
  <c r="H9" i="4"/>
  <c r="G11" i="4"/>
  <c r="H11" i="4"/>
  <c r="G12" i="4"/>
  <c r="H12" i="4"/>
  <c r="G13" i="4"/>
  <c r="H13" i="4"/>
  <c r="G14" i="4"/>
  <c r="H14" i="4"/>
  <c r="G15" i="4"/>
  <c r="H15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H29" i="4"/>
  <c r="G16" i="4"/>
  <c r="N26" i="4"/>
  <c r="H16" i="4"/>
  <c r="M27" i="4"/>
  <c r="N27" i="4"/>
  <c r="O20" i="4"/>
  <c r="O22" i="4"/>
  <c r="M33" i="4"/>
  <c r="M30" i="4"/>
  <c r="M31" i="4"/>
  <c r="M28" i="4"/>
  <c r="M29" i="4"/>
  <c r="M32" i="4"/>
  <c r="M35" i="4"/>
  <c r="N35" i="4"/>
  <c r="M34" i="4"/>
  <c r="M36" i="4"/>
  <c r="N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<sst xmlns="http://schemas.openxmlformats.org/spreadsheetml/2006/main" count="92" uniqueCount="75">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</sst>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I40" sqref="I40:I41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>
        <v>4000000</v>
      </c>
      <c r="E8" s="10">
        <v>19.465</v>
      </c>
      <c r="F8" s="1">
        <f t="shared" ref="F8:F15" si="0">IF(AND(D8&gt;0,E8&gt;0),$L$20,"")</f>
        <v>19.5</v>
      </c>
      <c r="G8" s="37">
        <f>+IF(E8&gt;0,IF(C8="V",F8/E8-1,E8/F8-1),"")</f>
        <v>-1.7948717948718107E-3</v>
      </c>
      <c r="H8" s="2">
        <f t="shared" ref="H8:H15" si="1">+IFERROR(G8*D8,)</f>
        <v>-7179.4871794872424</v>
      </c>
      <c r="J8" s="1">
        <v>1</v>
      </c>
      <c r="K8" t="s">
        <v>62</v>
      </c>
      <c r="L8" s="21">
        <v>57477088.408600003</v>
      </c>
      <c r="M8" s="56">
        <v>98.6066</v>
      </c>
      <c r="N8" s="56">
        <v>98.830399999999997</v>
      </c>
      <c r="O8" s="4">
        <f t="shared" ref="O8:O16" si="2">+IF(AND(L8&gt;0,M8&gt;0,N8&gt;0),N8/M8-1,"")</f>
        <v>2.2696249541105384E-3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>
        <v>3060000</v>
      </c>
      <c r="E9" s="10">
        <v>19.475000000000001</v>
      </c>
      <c r="F9" s="1">
        <f t="shared" si="0"/>
        <v>19.5</v>
      </c>
      <c r="G9" s="5">
        <f t="shared" ref="G9:G15" si="4">+IF(E9&gt;0,E9/F9-1,"")</f>
        <v>-1.2820512820511665E-3</v>
      </c>
      <c r="H9" s="2">
        <f t="shared" si="1"/>
        <v>-3923.0769230765695</v>
      </c>
      <c r="J9" s="1">
        <v>2</v>
      </c>
      <c r="L9" s="21"/>
      <c r="M9" s="7"/>
      <c r="N9" s="56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7060000</v>
      </c>
      <c r="E16" s="13">
        <f>+IFERROR(SUMPRODUCT($D$8:$D$15,$E$8:$E$15)/SUM(D8:D15),0)</f>
        <v>19.469334277620398</v>
      </c>
      <c r="F16" s="11">
        <f>+$L$20</f>
        <v>19.5</v>
      </c>
      <c r="G16" s="24">
        <f>+SUMPRODUCT($D$8:$D$15,$G$8:$G$15)/SUMPRODUCT($D$8:$D$15)</f>
        <v>-1.5726011476719281E-3</v>
      </c>
      <c r="H16" s="12">
        <f>+SUM(H8:H15)</f>
        <v>-11102.564102563812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9">
        <f>+SUM(L8:L9)</f>
        <v>57477088.408600003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1"/>
      <c r="K19" s="77" t="s">
        <v>42</v>
      </c>
      <c r="L19" s="77"/>
      <c r="N19" s="75" t="s">
        <v>70</v>
      </c>
      <c r="O19" s="75"/>
      <c r="P19" s="49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60"/>
      <c r="K20" s="7" t="s">
        <v>1</v>
      </c>
      <c r="L20" s="50">
        <v>19.5</v>
      </c>
      <c r="M20" s="49"/>
      <c r="N20" s="62" t="s">
        <v>65</v>
      </c>
      <c r="O20" s="3">
        <f>+L17*L21*M27*5%</f>
        <v>126994.47113701909</v>
      </c>
      <c r="P20" s="49"/>
    </row>
    <row r="21" spans="2:17" ht="15" x14ac:dyDescent="0.25">
      <c r="B21" s="1">
        <v>1</v>
      </c>
      <c r="C21" s="1" t="s">
        <v>74</v>
      </c>
      <c r="D21" s="7" t="s">
        <v>62</v>
      </c>
      <c r="E21" s="21">
        <v>7060000</v>
      </c>
      <c r="F21" s="56">
        <v>98.619100000000003</v>
      </c>
      <c r="G21" s="57">
        <f t="shared" ref="G21:G28" si="5">+IF(D21="","",VLOOKUP(D21,$K$8:$N$16,4,FALSE))</f>
        <v>98.830399999999997</v>
      </c>
      <c r="H21" s="37">
        <f>+IF(AND(G21&gt;0,F21&gt;0),IF(C21="V",F21/G21-1,G21/F21-1),"")</f>
        <v>2.1425869836573241E-3</v>
      </c>
      <c r="I21" s="3">
        <f t="shared" ref="I21:I28" si="6">+IFERROR(H21*E21,)</f>
        <v>15126.664104620708</v>
      </c>
      <c r="J21" s="3"/>
      <c r="K21" s="7" t="s">
        <v>0</v>
      </c>
      <c r="L21" s="50">
        <v>19.47</v>
      </c>
      <c r="N21" s="63" t="s">
        <v>66</v>
      </c>
      <c r="O21" s="64">
        <f>+IF(I29&gt;=0,I29*E16*5%,0)</f>
        <v>14725.303997907102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2" t="s">
        <v>67</v>
      </c>
      <c r="O22" s="49">
        <f>+SUM(O20:O21)</f>
        <v>141719.7751349262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1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57477088.408600003</v>
      </c>
      <c r="N25" s="76"/>
      <c r="O25" s="49"/>
      <c r="P25" s="49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-1.5384615384615996E-3</v>
      </c>
      <c r="N26" s="19">
        <f>+M26*M25</f>
        <v>-88426.28985938814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2.2696249541105384E-3</v>
      </c>
      <c r="N27" s="69">
        <f>+M27*L17</f>
        <v>130451.43414177615</v>
      </c>
      <c r="P27" s="49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70">
        <f>+(1+M26)*(1+M27)-1</f>
        <v>7.2767168495024848E-4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7060000</v>
      </c>
      <c r="F29" s="13"/>
      <c r="G29" s="11"/>
      <c r="H29" s="24">
        <f>+IFERROR(SUMPRODUCT($E$21:$E$28,$H$21:$H$28)/SUMPRODUCT($E$21:$E$28),0)</f>
        <v>2.1425869836573241E-3</v>
      </c>
      <c r="I29" s="12">
        <f>+SUM(I21:I28)</f>
        <v>15126.664104620708</v>
      </c>
      <c r="J29" s="19"/>
      <c r="L29" s="16" t="s">
        <v>44</v>
      </c>
      <c r="M29" s="76">
        <f>+L17*(1+M28)+D34</f>
        <v>57518912.858368322</v>
      </c>
      <c r="N29" s="76"/>
      <c r="O29" s="49"/>
    </row>
    <row r="30" spans="2:17" x14ac:dyDescent="0.2">
      <c r="L30" s="16" t="s">
        <v>45</v>
      </c>
      <c r="M30" s="26">
        <f>+H16+I29</f>
        <v>4024.1000020568954</v>
      </c>
      <c r="N30" s="23"/>
      <c r="P30" s="3"/>
    </row>
    <row r="31" spans="2:17" x14ac:dyDescent="0.2">
      <c r="L31" s="16" t="s">
        <v>48</v>
      </c>
      <c r="M31" s="22">
        <f>+M30/M25</f>
        <v>7.0012245113216108E-5</v>
      </c>
      <c r="N31" s="16"/>
      <c r="P31" s="49"/>
    </row>
    <row r="32" spans="2:17" ht="15" x14ac:dyDescent="0.25">
      <c r="E32" s="51"/>
      <c r="L32" s="16" t="s">
        <v>69</v>
      </c>
      <c r="M32" s="76">
        <f>+M25+N26+N27+M30</f>
        <v>57523137.652884446</v>
      </c>
      <c r="N32" s="76"/>
      <c r="P32" s="30"/>
    </row>
    <row r="33" spans="4:17" ht="15" x14ac:dyDescent="0.25">
      <c r="E33" s="3"/>
      <c r="F33" s="59"/>
      <c r="G33" s="58"/>
      <c r="L33" s="47" t="s">
        <v>63</v>
      </c>
      <c r="M33" s="76">
        <f>+O22/L20</f>
        <v>7267.6807761500613</v>
      </c>
      <c r="N33" s="76"/>
      <c r="P33" s="31"/>
    </row>
    <row r="34" spans="4:17" ht="15" x14ac:dyDescent="0.25">
      <c r="D34" s="3"/>
      <c r="E34" s="49"/>
      <c r="L34" s="47" t="s">
        <v>64</v>
      </c>
      <c r="M34" s="76">
        <f>+M32-M33</f>
        <v>57515869.972108297</v>
      </c>
      <c r="N34" s="76"/>
    </row>
    <row r="35" spans="4:17" ht="15" x14ac:dyDescent="0.25">
      <c r="E35" s="49"/>
      <c r="G35" s="49"/>
      <c r="L35" s="72" t="s">
        <v>72</v>
      </c>
      <c r="M35" s="73">
        <f>+M32/M25-1</f>
        <v>8.0117566076221003E-4</v>
      </c>
      <c r="N35" s="74">
        <f>+M32-M25</f>
        <v>46049.244284443557</v>
      </c>
    </row>
    <row r="36" spans="4:17" ht="15" x14ac:dyDescent="0.25">
      <c r="E36" s="49"/>
      <c r="G36" s="49"/>
      <c r="L36" s="29" t="s">
        <v>71</v>
      </c>
      <c r="M36" s="27">
        <f>+M34/M25-1</f>
        <v>6.7473082896274406E-4</v>
      </c>
      <c r="N36" s="28">
        <f>+M32-M25</f>
        <v>46049.244284443557</v>
      </c>
    </row>
    <row r="37" spans="4:17" x14ac:dyDescent="0.2">
      <c r="M37" s="67"/>
    </row>
    <row r="38" spans="4:17" x14ac:dyDescent="0.2">
      <c r="M38" s="71"/>
    </row>
    <row r="39" spans="4:17" ht="15" x14ac:dyDescent="0.25">
      <c r="E39" s="65"/>
      <c r="M39" s="34"/>
      <c r="O39" s="52"/>
      <c r="P39" s="52"/>
      <c r="Q39" s="53"/>
    </row>
    <row r="40" spans="4:17" ht="15" x14ac:dyDescent="0.25">
      <c r="E40" s="66"/>
      <c r="M40" s="33"/>
      <c r="O40" s="52"/>
      <c r="P40" s="52"/>
      <c r="Q40" s="53"/>
    </row>
    <row r="41" spans="4:17" x14ac:dyDescent="0.2">
      <c r="M41" s="68"/>
      <c r="O41" s="52"/>
      <c r="P41" s="52"/>
      <c r="Q41" s="52"/>
    </row>
    <row r="42" spans="4:17" ht="15" x14ac:dyDescent="0.25">
      <c r="O42" s="52"/>
      <c r="P42" s="52"/>
      <c r="Q42" s="53"/>
    </row>
    <row r="43" spans="4:17" ht="15" x14ac:dyDescent="0.25">
      <c r="Q43" s="53"/>
    </row>
    <row r="45" spans="4:17" x14ac:dyDescent="0.2">
      <c r="Q45" s="52"/>
    </row>
    <row r="46" spans="4:17" x14ac:dyDescent="0.2">
      <c r="Q46" s="34"/>
    </row>
    <row r="50" spans="16:22" x14ac:dyDescent="0.2">
      <c r="P50" s="52"/>
      <c r="Q50" s="4"/>
      <c r="R50" s="52"/>
      <c r="T50" s="52"/>
      <c r="U50" s="55"/>
      <c r="V50" s="34"/>
    </row>
    <row r="51" spans="16:22" x14ac:dyDescent="0.2">
      <c r="P51" s="52"/>
      <c r="Q51" s="4"/>
      <c r="R51" s="52"/>
      <c r="T51" s="52"/>
      <c r="U51" s="55"/>
      <c r="V51" s="34"/>
    </row>
    <row r="52" spans="16:22" x14ac:dyDescent="0.2">
      <c r="P52" s="52"/>
      <c r="Q52" s="4"/>
      <c r="R52" s="52"/>
      <c r="U52" s="55"/>
    </row>
    <row r="53" spans="16:22" x14ac:dyDescent="0.2">
      <c r="P53" s="52"/>
      <c r="Q53" s="4"/>
      <c r="R53" s="52"/>
      <c r="T53" s="52"/>
      <c r="U53" s="55"/>
      <c r="V53" s="34"/>
    </row>
    <row r="54" spans="16:22" ht="15" x14ac:dyDescent="0.25">
      <c r="P54" s="53"/>
    </row>
    <row r="58" spans="16:22" x14ac:dyDescent="0.2">
      <c r="P58" s="54"/>
    </row>
    <row r="59" spans="16:22" x14ac:dyDescent="0.2">
      <c r="P59" s="54"/>
    </row>
    <row r="60" spans="16:22" x14ac:dyDescent="0.2">
      <c r="P60" s="54"/>
    </row>
    <row r="61" spans="16:22" x14ac:dyDescent="0.2">
      <c r="P61" s="54"/>
    </row>
    <row r="62" spans="16:22" x14ac:dyDescent="0.2">
      <c r="P62" s="54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9" t="s">
        <v>60</v>
      </c>
      <c r="O20" s="80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2018-02-15T22:55:38Z</dcterms:modified>
</cp:coreProperties>
</file>