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4" l="1"/>
  <c r="H21" i="4" s="1"/>
  <c r="G22" i="4"/>
  <c r="H22" i="4" s="1"/>
  <c r="I22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27" i="4"/>
  <c r="H27" i="4" s="1"/>
  <c r="I27" i="4" s="1"/>
  <c r="G28" i="4"/>
  <c r="H28" i="4" s="1"/>
  <c r="I28" i="4" s="1"/>
  <c r="E16" i="4"/>
  <c r="F8" i="4"/>
  <c r="G8" i="4"/>
  <c r="H8" i="4" s="1"/>
  <c r="M25" i="4"/>
  <c r="L17" i="4"/>
  <c r="O9" i="4"/>
  <c r="O8" i="4"/>
  <c r="P8" i="4"/>
  <c r="P9" i="4"/>
  <c r="F9" i="4"/>
  <c r="G9" i="4"/>
  <c r="H9" i="4" s="1"/>
  <c r="G11" i="4"/>
  <c r="H11" i="4" s="1"/>
  <c r="G12" i="4"/>
  <c r="H12" i="4" s="1"/>
  <c r="G13" i="4"/>
  <c r="H13" i="4" s="1"/>
  <c r="G14" i="4"/>
  <c r="H14" i="4" s="1"/>
  <c r="G15" i="4"/>
  <c r="H15" i="4" s="1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F10" i="4"/>
  <c r="G10" i="4"/>
  <c r="H10" i="4" s="1"/>
  <c r="F11" i="4"/>
  <c r="F12" i="4"/>
  <c r="F13" i="4"/>
  <c r="F14" i="4"/>
  <c r="F15" i="4"/>
  <c r="F16" i="4"/>
  <c r="D16" i="4"/>
  <c r="M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M27" i="4" l="1"/>
  <c r="M28" i="4" s="1"/>
  <c r="M29" i="4" s="1"/>
  <c r="N26" i="4"/>
  <c r="H16" i="4"/>
  <c r="G16" i="4"/>
  <c r="I21" i="4"/>
  <c r="I29" i="4" s="1"/>
  <c r="H29" i="4"/>
  <c r="N27" i="4" l="1"/>
  <c r="O20" i="4"/>
  <c r="M30" i="4"/>
  <c r="M31" i="4" s="1"/>
  <c r="O21" i="4"/>
  <c r="O22" i="4" s="1"/>
  <c r="M33" i="4" s="1"/>
  <c r="M32" i="4" l="1"/>
  <c r="N36" i="4" l="1"/>
  <c r="M34" i="4"/>
  <c r="M36" i="4" s="1"/>
  <c r="M35" i="4"/>
  <c r="N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<sst xmlns="http://schemas.openxmlformats.org/spreadsheetml/2006/main" count="92" uniqueCount="75">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</sst>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  <font>
      <b/>
      <sz val="11"/>
      <color theme="3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22" fontId="0" fillId="0" borderId="0" xfId="0" applyNumberFormat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6" fillId="0" borderId="0" xfId="0" applyFont="1" applyFill="1" applyBorder="1"/>
    <xf numFmtId="167" fontId="6" fillId="0" borderId="0" xfId="2" applyNumberFormat="1" applyFont="1"/>
    <xf numFmtId="165" fontId="6" fillId="0" borderId="0" xfId="0" applyNumberFormat="1" applyFon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90" zoomScaleNormal="90" workbookViewId="0">
      <selection activeCell="N9" sqref="N9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6.125" customWidth="1"/>
    <col min="5" max="5" width="20.25" bestFit="1" customWidth="1"/>
    <col min="6" max="6" width="14.125" bestFit="1" customWidth="1"/>
    <col min="7" max="7" width="14" bestFit="1" customWidth="1"/>
    <col min="8" max="8" width="10.75" bestFit="1" customWidth="1"/>
    <col min="9" max="9" width="11.37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9.25" bestFit="1" customWidth="1"/>
    <col min="17" max="17" width="9.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6" ht="15" x14ac:dyDescent="0.25">
      <c r="B6" s="77" t="s">
        <v>30</v>
      </c>
      <c r="C6" s="77"/>
      <c r="D6" s="77"/>
      <c r="E6" s="77"/>
      <c r="F6" s="77"/>
      <c r="G6" s="77"/>
      <c r="H6" s="77"/>
      <c r="J6" s="75" t="s">
        <v>49</v>
      </c>
      <c r="K6" s="75"/>
      <c r="L6" s="75"/>
      <c r="M6" s="75"/>
      <c r="N6" s="75"/>
      <c r="O6" s="75"/>
      <c r="P6" s="75"/>
    </row>
    <row r="7" spans="2:16" x14ac:dyDescent="0.2">
      <c r="B7" s="8" t="s">
        <v>2</v>
      </c>
      <c r="C7" s="8" t="s">
        <v>73</v>
      </c>
      <c r="D7" s="8" t="s">
        <v>31</v>
      </c>
      <c r="E7" s="8" t="s">
        <v>28</v>
      </c>
      <c r="F7" s="8" t="s">
        <v>1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6" x14ac:dyDescent="0.2">
      <c r="B8" s="1">
        <v>1</v>
      </c>
      <c r="C8" s="1" t="s">
        <v>74</v>
      </c>
      <c r="D8" s="9">
        <v>150000</v>
      </c>
      <c r="E8" s="10">
        <v>19.612500000000001</v>
      </c>
      <c r="F8" s="1">
        <f t="shared" ref="F8:F15" si="0">IF(AND(D8&gt;0,E8&gt;0),$L$20,"")</f>
        <v>19.624199999999998</v>
      </c>
      <c r="G8" s="37">
        <f>+IF(E8&gt;0,IF(C8="V",F8/E8-1,E8/F8-1),"")</f>
        <v>-5.9620264775117615E-4</v>
      </c>
      <c r="H8" s="2">
        <f t="shared" ref="H8:H15" si="1">+IFERROR(G8*D8,)</f>
        <v>-89.430397162676428</v>
      </c>
      <c r="J8" s="1">
        <v>1</v>
      </c>
      <c r="K8" t="s">
        <v>62</v>
      </c>
      <c r="L8" s="21">
        <v>64052548.865800001</v>
      </c>
      <c r="M8" s="56">
        <v>98.973699999999994</v>
      </c>
      <c r="N8" s="56">
        <v>99.046400000000006</v>
      </c>
      <c r="O8" s="4">
        <f t="shared" ref="O8:O16" si="2">+IF(AND(L8&gt;0,M8&gt;0,N8&gt;0),N8/M8-1,"")</f>
        <v>7.3453856933713979E-4</v>
      </c>
      <c r="P8" s="6">
        <f t="shared" ref="P8:P15" si="3">+IF(L8&gt;0,L8/SUM($L$8:$L$16),"")</f>
        <v>1</v>
      </c>
    </row>
    <row r="9" spans="2:16" x14ac:dyDescent="0.2">
      <c r="B9" s="1">
        <v>2</v>
      </c>
      <c r="C9" s="1" t="s">
        <v>74</v>
      </c>
      <c r="D9" s="9"/>
      <c r="E9" s="10"/>
      <c r="F9" s="1" t="str">
        <f t="shared" si="0"/>
        <v/>
      </c>
      <c r="G9" s="5" t="str">
        <f t="shared" ref="G9:G15" si="4">+IF(E9&gt;0,E9/F9-1,"")</f>
        <v/>
      </c>
      <c r="H9" s="2">
        <f t="shared" si="1"/>
        <v>0</v>
      </c>
      <c r="J9" s="1">
        <v>2</v>
      </c>
      <c r="L9" s="21"/>
      <c r="M9" s="7"/>
      <c r="N9" s="56"/>
      <c r="O9" s="4" t="str">
        <f t="shared" si="2"/>
        <v/>
      </c>
      <c r="P9" s="6" t="str">
        <f t="shared" si="3"/>
        <v/>
      </c>
    </row>
    <row r="10" spans="2:16" x14ac:dyDescent="0.2">
      <c r="B10" s="1">
        <v>3</v>
      </c>
      <c r="C10" s="1"/>
      <c r="D10" s="9"/>
      <c r="E10" s="10"/>
      <c r="F10" s="1" t="str">
        <f t="shared" si="0"/>
        <v/>
      </c>
      <c r="G10" s="5" t="str">
        <f t="shared" si="4"/>
        <v/>
      </c>
      <c r="H10" s="2">
        <f t="shared" si="1"/>
        <v>0</v>
      </c>
      <c r="J10" s="1">
        <v>3</v>
      </c>
      <c r="L10" s="21"/>
      <c r="M10" s="7"/>
      <c r="N10" s="7"/>
      <c r="O10" s="6" t="str">
        <f t="shared" si="2"/>
        <v/>
      </c>
      <c r="P10" s="6" t="str">
        <f t="shared" si="3"/>
        <v/>
      </c>
    </row>
    <row r="11" spans="2:16" x14ac:dyDescent="0.2">
      <c r="B11" s="1">
        <v>4</v>
      </c>
      <c r="C11" s="1"/>
      <c r="D11" s="9"/>
      <c r="E11" s="10"/>
      <c r="F11" s="1" t="str">
        <f t="shared" si="0"/>
        <v/>
      </c>
      <c r="G11" s="5" t="str">
        <f t="shared" si="4"/>
        <v/>
      </c>
      <c r="H11" s="2">
        <f t="shared" si="1"/>
        <v>0</v>
      </c>
      <c r="J11" s="1">
        <v>4</v>
      </c>
      <c r="L11" s="21"/>
      <c r="M11" s="7"/>
      <c r="N11" s="7"/>
      <c r="O11" s="6" t="str">
        <f t="shared" si="2"/>
        <v/>
      </c>
      <c r="P11" s="6" t="str">
        <f t="shared" si="3"/>
        <v/>
      </c>
    </row>
    <row r="12" spans="2:16" x14ac:dyDescent="0.2">
      <c r="B12" s="1">
        <v>5</v>
      </c>
      <c r="C12" s="1"/>
      <c r="D12" s="9"/>
      <c r="E12" s="10"/>
      <c r="F12" s="1" t="str">
        <f t="shared" si="0"/>
        <v/>
      </c>
      <c r="G12" s="5" t="str">
        <f t="shared" si="4"/>
        <v/>
      </c>
      <c r="H12" s="2">
        <f t="shared" si="1"/>
        <v>0</v>
      </c>
      <c r="J12" s="1">
        <v>5</v>
      </c>
      <c r="L12" s="21"/>
      <c r="M12" s="7"/>
      <c r="N12" s="7"/>
      <c r="O12" s="6" t="str">
        <f t="shared" si="2"/>
        <v/>
      </c>
      <c r="P12" s="6" t="str">
        <f t="shared" si="3"/>
        <v/>
      </c>
    </row>
    <row r="13" spans="2:16" x14ac:dyDescent="0.2">
      <c r="B13" s="1">
        <v>6</v>
      </c>
      <c r="C13" s="1"/>
      <c r="D13" s="9"/>
      <c r="E13" s="10"/>
      <c r="F13" s="1" t="str">
        <f t="shared" si="0"/>
        <v/>
      </c>
      <c r="G13" s="5" t="str">
        <f t="shared" si="4"/>
        <v/>
      </c>
      <c r="H13" s="2">
        <f t="shared" si="1"/>
        <v>0</v>
      </c>
      <c r="J13" s="1">
        <v>6</v>
      </c>
      <c r="L13" s="21"/>
      <c r="M13" s="7"/>
      <c r="N13" s="7"/>
      <c r="O13" s="6" t="str">
        <f t="shared" si="2"/>
        <v/>
      </c>
      <c r="P13" s="6" t="str">
        <f t="shared" si="3"/>
        <v/>
      </c>
    </row>
    <row r="14" spans="2:16" x14ac:dyDescent="0.2">
      <c r="B14" s="1">
        <v>7</v>
      </c>
      <c r="C14" s="1"/>
      <c r="D14" s="9"/>
      <c r="E14" s="10"/>
      <c r="F14" s="1" t="str">
        <f t="shared" si="0"/>
        <v/>
      </c>
      <c r="G14" s="5" t="str">
        <f t="shared" si="4"/>
        <v/>
      </c>
      <c r="H14" s="2">
        <f t="shared" si="1"/>
        <v>0</v>
      </c>
      <c r="J14" s="1">
        <v>7</v>
      </c>
      <c r="L14" s="21"/>
      <c r="M14" s="7"/>
      <c r="N14" s="7"/>
      <c r="O14" s="6" t="str">
        <f t="shared" si="2"/>
        <v/>
      </c>
      <c r="P14" s="6" t="str">
        <f t="shared" si="3"/>
        <v/>
      </c>
    </row>
    <row r="15" spans="2:16" x14ac:dyDescent="0.2">
      <c r="B15" s="1">
        <v>8</v>
      </c>
      <c r="C15" s="1"/>
      <c r="D15" s="9"/>
      <c r="E15" s="10"/>
      <c r="F15" s="1" t="str">
        <f t="shared" si="0"/>
        <v/>
      </c>
      <c r="G15" s="5" t="str">
        <f t="shared" si="4"/>
        <v/>
      </c>
      <c r="H15" s="2">
        <f t="shared" si="1"/>
        <v>0</v>
      </c>
      <c r="J15" s="1">
        <v>8</v>
      </c>
      <c r="L15" s="21"/>
      <c r="M15" s="7"/>
      <c r="N15" s="7"/>
      <c r="O15" s="6" t="str">
        <f t="shared" si="2"/>
        <v/>
      </c>
      <c r="P15" s="6" t="str">
        <f t="shared" si="3"/>
        <v/>
      </c>
    </row>
    <row r="16" spans="2:16" x14ac:dyDescent="0.2">
      <c r="B16" s="11" t="s">
        <v>40</v>
      </c>
      <c r="C16" s="11"/>
      <c r="D16" s="12">
        <f>+SUM(D8:D15)</f>
        <v>150000</v>
      </c>
      <c r="E16" s="13">
        <f>+IFERROR(SUMPRODUCT($D$8:$D$15,$E$8:$E$15)/SUM(D8:D15),0)</f>
        <v>19.612500000000001</v>
      </c>
      <c r="F16" s="11">
        <f>+$L$20</f>
        <v>19.624199999999998</v>
      </c>
      <c r="G16" s="24">
        <f>+SUMPRODUCT($D$8:$D$15,$G$8:$G$15)/SUMPRODUCT($D$8:$D$15)</f>
        <v>-5.9620264775117615E-4</v>
      </c>
      <c r="H16" s="12">
        <f>+SUM(H8:H15)</f>
        <v>-89.430397162676428</v>
      </c>
      <c r="J16" s="1">
        <v>9</v>
      </c>
      <c r="L16" s="21"/>
      <c r="M16" s="7"/>
      <c r="N16" s="7"/>
      <c r="O16" s="6" t="str">
        <f t="shared" si="2"/>
        <v/>
      </c>
      <c r="P16" s="6"/>
    </row>
    <row r="17" spans="2:17" x14ac:dyDescent="0.2">
      <c r="B17" s="18"/>
      <c r="C17" s="18"/>
      <c r="D17" s="19"/>
      <c r="E17" s="20"/>
      <c r="F17" s="18"/>
      <c r="G17" s="18"/>
      <c r="H17" s="19"/>
      <c r="L17" s="49">
        <f>+SUM(L8:L9)</f>
        <v>64052548.865800001</v>
      </c>
    </row>
    <row r="19" spans="2:17" ht="15" x14ac:dyDescent="0.25">
      <c r="B19" s="77" t="s">
        <v>33</v>
      </c>
      <c r="C19" s="77"/>
      <c r="D19" s="77"/>
      <c r="E19" s="77"/>
      <c r="F19" s="77"/>
      <c r="G19" s="77"/>
      <c r="H19" s="77"/>
      <c r="I19" s="77"/>
      <c r="J19" s="61"/>
      <c r="K19" s="77" t="s">
        <v>42</v>
      </c>
      <c r="L19" s="77"/>
      <c r="N19" s="75" t="s">
        <v>70</v>
      </c>
      <c r="O19" s="75"/>
      <c r="P19" s="49"/>
    </row>
    <row r="20" spans="2:17" ht="15" x14ac:dyDescent="0.25">
      <c r="B20" s="15" t="s">
        <v>2</v>
      </c>
      <c r="C20" s="15" t="s">
        <v>73</v>
      </c>
      <c r="D20" s="15" t="s">
        <v>3</v>
      </c>
      <c r="E20" s="15" t="s">
        <v>31</v>
      </c>
      <c r="F20" s="15" t="s">
        <v>34</v>
      </c>
      <c r="G20" s="15" t="s">
        <v>35</v>
      </c>
      <c r="H20" s="15" t="s">
        <v>36</v>
      </c>
      <c r="I20" s="15" t="s">
        <v>41</v>
      </c>
      <c r="J20" s="60"/>
      <c r="K20" s="7" t="s">
        <v>1</v>
      </c>
      <c r="L20" s="50">
        <v>19.624199999999998</v>
      </c>
      <c r="M20" s="49"/>
      <c r="N20" s="62" t="s">
        <v>65</v>
      </c>
      <c r="O20" s="3">
        <f>+L17*L21*M27*5%</f>
        <v>46319.807058384606</v>
      </c>
      <c r="P20" s="49"/>
    </row>
    <row r="21" spans="2:17" ht="15" x14ac:dyDescent="0.25">
      <c r="B21" s="1">
        <v>1</v>
      </c>
      <c r="C21" s="1" t="s">
        <v>74</v>
      </c>
      <c r="D21" s="7" t="s">
        <v>62</v>
      </c>
      <c r="E21" s="21">
        <v>150000</v>
      </c>
      <c r="F21" s="56">
        <v>98.99</v>
      </c>
      <c r="G21" s="57">
        <f t="shared" ref="G21:G28" si="5">+IF(D21="","",VLOOKUP(D21,$K$8:$N$16,4,FALSE))</f>
        <v>99.046400000000006</v>
      </c>
      <c r="H21" s="37">
        <f>+IF(AND(G21&gt;0,F21&gt;0),IF(C21="V",F21/G21-1,G21/F21-1),"")</f>
        <v>5.6975452065866072E-4</v>
      </c>
      <c r="I21" s="3">
        <f t="shared" ref="I21:I28" si="6">+IFERROR(H21*E21,)</f>
        <v>85.463178098799105</v>
      </c>
      <c r="J21" s="3"/>
      <c r="K21" s="7" t="s">
        <v>0</v>
      </c>
      <c r="L21" s="50">
        <v>19.690000000000001</v>
      </c>
      <c r="N21" s="63" t="s">
        <v>66</v>
      </c>
      <c r="O21" s="64">
        <f>+IF(I29&gt;=0,I29*E16*5%,0)</f>
        <v>83.807329023134884</v>
      </c>
    </row>
    <row r="22" spans="2:17" ht="15" x14ac:dyDescent="0.25">
      <c r="B22" s="1">
        <v>2</v>
      </c>
      <c r="C22" s="1"/>
      <c r="D22" s="7"/>
      <c r="E22" s="21"/>
      <c r="F22" s="7"/>
      <c r="G22" s="17" t="str">
        <f t="shared" si="5"/>
        <v/>
      </c>
      <c r="H22" s="5" t="str">
        <f t="shared" ref="H22:H28" si="7">+IF(AND(G22&gt;0,F22&gt;0),G22/F22-1,"")</f>
        <v/>
      </c>
      <c r="I22" s="3">
        <f t="shared" si="6"/>
        <v>0</v>
      </c>
      <c r="J22" s="3"/>
      <c r="N22" s="62" t="s">
        <v>67</v>
      </c>
      <c r="O22" s="49">
        <f>+SUM(O20:O21)</f>
        <v>46403.614387407739</v>
      </c>
    </row>
    <row r="23" spans="2:17" x14ac:dyDescent="0.2">
      <c r="B23" s="1">
        <v>3</v>
      </c>
      <c r="C23" s="1"/>
      <c r="D23" s="7"/>
      <c r="E23" s="21"/>
      <c r="F23" s="7"/>
      <c r="G23" s="17" t="str">
        <f t="shared" si="5"/>
        <v/>
      </c>
      <c r="H23" s="5" t="str">
        <f t="shared" si="7"/>
        <v/>
      </c>
      <c r="I23" s="3">
        <f t="shared" si="6"/>
        <v>0</v>
      </c>
      <c r="J23" s="3"/>
      <c r="Q23" s="51"/>
    </row>
    <row r="24" spans="2:17" ht="15" x14ac:dyDescent="0.25">
      <c r="B24" s="1">
        <v>4</v>
      </c>
      <c r="C24" s="1"/>
      <c r="D24" s="7"/>
      <c r="E24" s="7"/>
      <c r="F24" s="7"/>
      <c r="G24" s="17" t="str">
        <f t="shared" si="5"/>
        <v/>
      </c>
      <c r="H24" s="5" t="str">
        <f t="shared" si="7"/>
        <v/>
      </c>
      <c r="I24" s="3">
        <f t="shared" si="6"/>
        <v>0</v>
      </c>
      <c r="J24" s="3"/>
      <c r="L24" s="78" t="s">
        <v>68</v>
      </c>
      <c r="M24" s="78"/>
      <c r="N24" s="78"/>
    </row>
    <row r="25" spans="2:17" ht="15" x14ac:dyDescent="0.25">
      <c r="B25" s="1">
        <v>5</v>
      </c>
      <c r="C25" s="1"/>
      <c r="D25" s="7"/>
      <c r="E25" s="7"/>
      <c r="F25" s="7"/>
      <c r="G25" s="17" t="str">
        <f t="shared" si="5"/>
        <v/>
      </c>
      <c r="H25" s="5" t="str">
        <f t="shared" si="7"/>
        <v/>
      </c>
      <c r="I25" s="3">
        <f t="shared" si="6"/>
        <v>0</v>
      </c>
      <c r="J25" s="3"/>
      <c r="L25" s="16" t="s">
        <v>27</v>
      </c>
      <c r="M25" s="76">
        <f>+SUM(L8:L16)+$D$34</f>
        <v>64052548.865800001</v>
      </c>
      <c r="N25" s="76"/>
      <c r="O25" s="49"/>
      <c r="P25" s="49"/>
    </row>
    <row r="26" spans="2:17" x14ac:dyDescent="0.2">
      <c r="B26" s="1">
        <v>6</v>
      </c>
      <c r="C26" s="1"/>
      <c r="D26" s="7"/>
      <c r="E26" s="7"/>
      <c r="F26" s="7"/>
      <c r="G26" s="17" t="str">
        <f t="shared" si="5"/>
        <v/>
      </c>
      <c r="H26" s="5" t="str">
        <f t="shared" si="7"/>
        <v/>
      </c>
      <c r="I26" s="3">
        <f t="shared" si="6"/>
        <v>0</v>
      </c>
      <c r="J26" s="3"/>
      <c r="L26" s="16" t="s">
        <v>46</v>
      </c>
      <c r="M26" s="22">
        <f>+L21/L20-1</f>
        <v>3.3530029249602133E-3</v>
      </c>
      <c r="N26" s="19">
        <f>+M26*M25</f>
        <v>214768.38369818439</v>
      </c>
      <c r="P26" s="34"/>
    </row>
    <row r="27" spans="2:17" x14ac:dyDescent="0.2">
      <c r="B27" s="1">
        <v>7</v>
      </c>
      <c r="C27" s="1"/>
      <c r="D27" s="7"/>
      <c r="E27" s="7"/>
      <c r="F27" s="7"/>
      <c r="G27" s="17" t="str">
        <f t="shared" si="5"/>
        <v/>
      </c>
      <c r="H27" s="5" t="str">
        <f t="shared" si="7"/>
        <v/>
      </c>
      <c r="I27" s="3">
        <f t="shared" si="6"/>
        <v>0</v>
      </c>
      <c r="J27" s="3"/>
      <c r="L27" s="16" t="s">
        <v>47</v>
      </c>
      <c r="M27" s="22">
        <f>+SUMPRODUCT($O$8:$O$16,$P$8:$P$16)</f>
        <v>7.3453856933713979E-4</v>
      </c>
      <c r="N27" s="69">
        <f>+M27*L17</f>
        <v>47049.067606281969</v>
      </c>
      <c r="P27" s="49"/>
    </row>
    <row r="28" spans="2:17" x14ac:dyDescent="0.2">
      <c r="B28" s="1">
        <v>8</v>
      </c>
      <c r="C28" s="1"/>
      <c r="D28" s="7"/>
      <c r="E28" s="7"/>
      <c r="F28" s="7"/>
      <c r="G28" s="17" t="str">
        <f t="shared" si="5"/>
        <v/>
      </c>
      <c r="H28" s="5" t="str">
        <f t="shared" si="7"/>
        <v/>
      </c>
      <c r="I28" s="3">
        <f t="shared" si="6"/>
        <v>0</v>
      </c>
      <c r="J28" s="3"/>
      <c r="K28" s="16"/>
      <c r="L28" s="16" t="s">
        <v>43</v>
      </c>
      <c r="M28" s="70">
        <f>+(1+M26)*(1+M27)-1</f>
        <v>4.0900044042688766E-3</v>
      </c>
      <c r="N28" s="25"/>
    </row>
    <row r="29" spans="2:17" ht="15" x14ac:dyDescent="0.25">
      <c r="B29" s="11" t="s">
        <v>40</v>
      </c>
      <c r="C29" s="11"/>
      <c r="D29" s="14"/>
      <c r="E29" s="12">
        <f>+SUM(E21:E28)</f>
        <v>150000</v>
      </c>
      <c r="F29" s="13"/>
      <c r="G29" s="11"/>
      <c r="H29" s="24">
        <f>+IFERROR(SUMPRODUCT($E$21:$E$28,$H$21:$H$28)/SUMPRODUCT($E$21:$E$28),0)</f>
        <v>5.6975452065866072E-4</v>
      </c>
      <c r="I29" s="12">
        <f>+SUM(I21:I28)</f>
        <v>85.463178098799105</v>
      </c>
      <c r="J29" s="19"/>
      <c r="L29" s="16" t="s">
        <v>44</v>
      </c>
      <c r="M29" s="76">
        <f>+L17*(1+M28)+D34</f>
        <v>64314524.072765768</v>
      </c>
      <c r="N29" s="76"/>
      <c r="O29" s="49"/>
    </row>
    <row r="30" spans="2:17" x14ac:dyDescent="0.2">
      <c r="L30" s="16" t="s">
        <v>45</v>
      </c>
      <c r="M30" s="26">
        <f>+H16+I29</f>
        <v>-3.967219063877323</v>
      </c>
      <c r="N30" s="23"/>
      <c r="P30" s="3"/>
    </row>
    <row r="31" spans="2:17" x14ac:dyDescent="0.2">
      <c r="L31" s="16" t="s">
        <v>48</v>
      </c>
      <c r="M31" s="22">
        <f>+M30/M25</f>
        <v>-6.1936942933984726E-8</v>
      </c>
      <c r="N31" s="16"/>
      <c r="P31" s="49"/>
    </row>
    <row r="32" spans="2:17" ht="15" x14ac:dyDescent="0.25">
      <c r="E32" s="51"/>
      <c r="L32" s="16" t="s">
        <v>69</v>
      </c>
      <c r="M32" s="76">
        <f>+M25+N26+N27+M30</f>
        <v>64314362.349885412</v>
      </c>
      <c r="N32" s="76"/>
      <c r="P32" s="30"/>
    </row>
    <row r="33" spans="4:17" ht="15" x14ac:dyDescent="0.25">
      <c r="E33" s="3"/>
      <c r="F33" s="59"/>
      <c r="G33" s="58"/>
      <c r="L33" s="47" t="s">
        <v>63</v>
      </c>
      <c r="M33" s="76">
        <f>+O22/L20</f>
        <v>2364.6117746154109</v>
      </c>
      <c r="N33" s="76"/>
      <c r="P33" s="31"/>
    </row>
    <row r="34" spans="4:17" ht="15" x14ac:dyDescent="0.25">
      <c r="D34" s="3"/>
      <c r="E34" s="49"/>
      <c r="L34" s="47" t="s">
        <v>64</v>
      </c>
      <c r="M34" s="76">
        <f>+M32-M33</f>
        <v>64311997.738110796</v>
      </c>
      <c r="N34" s="76"/>
    </row>
    <row r="35" spans="4:17" ht="15" x14ac:dyDescent="0.25">
      <c r="E35" s="49"/>
      <c r="G35" s="49"/>
      <c r="L35" s="72" t="s">
        <v>72</v>
      </c>
      <c r="M35" s="73">
        <f>+M32/M25-1</f>
        <v>4.0874795573544453E-3</v>
      </c>
      <c r="N35" s="74">
        <f>+M32-M25</f>
        <v>261813.48408541083</v>
      </c>
    </row>
    <row r="36" spans="4:17" ht="15" x14ac:dyDescent="0.25">
      <c r="E36" s="49"/>
      <c r="G36" s="49"/>
      <c r="L36" s="29" t="s">
        <v>71</v>
      </c>
      <c r="M36" s="27">
        <f>+M34/M25-1</f>
        <v>4.0505628098326252E-3</v>
      </c>
      <c r="N36" s="28">
        <f>+M32-M25</f>
        <v>261813.48408541083</v>
      </c>
    </row>
    <row r="37" spans="4:17" x14ac:dyDescent="0.2">
      <c r="M37" s="67"/>
    </row>
    <row r="38" spans="4:17" x14ac:dyDescent="0.2">
      <c r="M38" s="71"/>
    </row>
    <row r="39" spans="4:17" ht="15" x14ac:dyDescent="0.25">
      <c r="E39" s="65"/>
      <c r="M39" s="34"/>
      <c r="O39" s="52"/>
      <c r="P39" s="52"/>
      <c r="Q39" s="53"/>
    </row>
    <row r="40" spans="4:17" ht="15" x14ac:dyDescent="0.25">
      <c r="E40" s="66"/>
      <c r="M40" s="33"/>
      <c r="O40" s="52"/>
      <c r="P40" s="52"/>
      <c r="Q40" s="53"/>
    </row>
    <row r="41" spans="4:17" x14ac:dyDescent="0.2">
      <c r="M41" s="68"/>
      <c r="O41" s="52"/>
      <c r="P41" s="52"/>
      <c r="Q41" s="52"/>
    </row>
    <row r="42" spans="4:17" ht="15" x14ac:dyDescent="0.25">
      <c r="O42" s="52"/>
      <c r="P42" s="52"/>
      <c r="Q42" s="53"/>
    </row>
    <row r="43" spans="4:17" ht="15" x14ac:dyDescent="0.25">
      <c r="Q43" s="53"/>
    </row>
    <row r="45" spans="4:17" x14ac:dyDescent="0.2">
      <c r="Q45" s="52"/>
    </row>
    <row r="46" spans="4:17" x14ac:dyDescent="0.2">
      <c r="Q46" s="34"/>
    </row>
    <row r="50" spans="16:22" x14ac:dyDescent="0.2">
      <c r="P50" s="52"/>
      <c r="Q50" s="4"/>
      <c r="R50" s="52"/>
      <c r="T50" s="52"/>
      <c r="U50" s="55"/>
      <c r="V50" s="34"/>
    </row>
    <row r="51" spans="16:22" x14ac:dyDescent="0.2">
      <c r="P51" s="52"/>
      <c r="Q51" s="4"/>
      <c r="R51" s="52"/>
      <c r="T51" s="52"/>
      <c r="U51" s="55"/>
      <c r="V51" s="34"/>
    </row>
    <row r="52" spans="16:22" x14ac:dyDescent="0.2">
      <c r="P52" s="52"/>
      <c r="Q52" s="4"/>
      <c r="R52" s="52"/>
      <c r="U52" s="55"/>
    </row>
    <row r="53" spans="16:22" x14ac:dyDescent="0.2">
      <c r="P53" s="52"/>
      <c r="Q53" s="4"/>
      <c r="R53" s="52"/>
      <c r="T53" s="52"/>
      <c r="U53" s="55"/>
      <c r="V53" s="34"/>
    </row>
    <row r="54" spans="16:22" ht="15" x14ac:dyDescent="0.25">
      <c r="P54" s="53"/>
    </row>
    <row r="58" spans="16:22" x14ac:dyDescent="0.2">
      <c r="P58" s="54"/>
    </row>
    <row r="59" spans="16:22" x14ac:dyDescent="0.2">
      <c r="P59" s="54"/>
    </row>
    <row r="60" spans="16:22" x14ac:dyDescent="0.2">
      <c r="P60" s="54"/>
    </row>
    <row r="61" spans="16:22" x14ac:dyDescent="0.2">
      <c r="P61" s="54"/>
    </row>
    <row r="62" spans="16:22" x14ac:dyDescent="0.2">
      <c r="P62" s="54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D21:D28 K8:K16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51</v>
      </c>
      <c r="B1" t="s">
        <v>50</v>
      </c>
      <c r="C1" t="s">
        <v>53</v>
      </c>
      <c r="E1" t="s">
        <v>51</v>
      </c>
      <c r="F1" t="s">
        <v>54</v>
      </c>
      <c r="H1" s="1" t="s">
        <v>51</v>
      </c>
      <c r="I1" s="1" t="s">
        <v>46</v>
      </c>
      <c r="J1" s="1" t="s">
        <v>55</v>
      </c>
      <c r="K1" s="1" t="s">
        <v>56</v>
      </c>
      <c r="L1" s="1" t="s">
        <v>59</v>
      </c>
      <c r="M1" s="1" t="s">
        <v>57</v>
      </c>
      <c r="N1" s="1"/>
    </row>
    <row r="2" spans="1:16" x14ac:dyDescent="0.2">
      <c r="A2" s="32">
        <v>43075</v>
      </c>
      <c r="B2" s="33">
        <v>1000</v>
      </c>
      <c r="C2" t="s">
        <v>52</v>
      </c>
      <c r="E2" s="32">
        <v>43075</v>
      </c>
      <c r="F2" s="33">
        <v>17.286200000000001</v>
      </c>
      <c r="H2" s="35">
        <f>+E2</f>
        <v>43075</v>
      </c>
      <c r="I2" s="1" t="s">
        <v>52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8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8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8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8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8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8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8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8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8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8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8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8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8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8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8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8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8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8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79" t="s">
        <v>60</v>
      </c>
      <c r="O20" s="80"/>
      <c r="P20" s="48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46</v>
      </c>
      <c r="O21" s="44">
        <f>+L17/100-1</f>
        <v>-7.9257704722438538E-2</v>
      </c>
      <c r="P21" s="48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53</v>
      </c>
      <c r="O22" s="45">
        <f>+M17/100-1</f>
        <v>-5.810854235160956E-2</v>
      </c>
      <c r="P22" s="48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61</v>
      </c>
      <c r="O23" s="46">
        <f>28.75%/365*24</f>
        <v>1.8904109589041096E-2</v>
      </c>
      <c r="P23" s="48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58</v>
      </c>
      <c r="O24" s="45">
        <f>+O22-O21-O23</f>
        <v>2.2450527817878818E-3</v>
      </c>
      <c r="P24" s="48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8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8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8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8"/>
    </row>
    <row r="29" spans="1:16" x14ac:dyDescent="0.2">
      <c r="O29" s="47"/>
      <c r="P29" s="48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2018-02-07T22:04:47Z</dcterms:modified>
</cp:coreProperties>
</file>