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o\Retornos\"/>
    </mc:Choice>
  </mc:AlternateContent>
  <bookViews>
    <workbookView xWindow="0" yWindow="0" windowWidth="28800" windowHeight="12210" xr2:uid="{00000000-000D-0000-FFFF-FFFF00000000}"/>
  </bookViews>
  <sheets>
    <sheet name="Calculo rentabilidad" sheetId="4" r:id="rId1"/>
    <sheet name="lista Lebacs" sheetId="2" r:id="rId2"/>
    <sheet name="Retornos" sheetId="5" r:id="rId3"/>
    <sheet name="YTD" sheetId="6" r:id="rId4"/>
  </sheets>
  <definedNames>
    <definedName name="_xlnm._FilterDatabase" localSheetId="2" hidden="1">Retornos!$A$1:$B$1</definedName>
    <definedName name="_xlnm._FilterDatabase" localSheetId="3" hidden="1">YTD!$A$1:$B$1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6" l="1"/>
  <c r="N31" i="6"/>
  <c r="O7" i="6"/>
  <c r="O6" i="6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C55" i="6"/>
  <c r="C54" i="6"/>
  <c r="C53" i="6"/>
  <c r="C52" i="6"/>
  <c r="J31" i="6"/>
  <c r="C51" i="6"/>
  <c r="J30" i="6"/>
  <c r="C50" i="6"/>
  <c r="C49" i="6"/>
  <c r="C48" i="6"/>
  <c r="C47" i="6"/>
  <c r="C46" i="6"/>
  <c r="C45" i="6"/>
  <c r="J26" i="6"/>
  <c r="C44" i="6"/>
  <c r="J25" i="6"/>
  <c r="C43" i="6"/>
  <c r="J24" i="6"/>
  <c r="C42" i="6"/>
  <c r="C41" i="6"/>
  <c r="C40" i="6"/>
  <c r="C39" i="6"/>
  <c r="C38" i="6"/>
  <c r="C37" i="6"/>
  <c r="J20" i="6"/>
  <c r="C36" i="6"/>
  <c r="J19" i="6"/>
  <c r="C35" i="6"/>
  <c r="J18" i="6"/>
  <c r="C34" i="6"/>
  <c r="C33" i="6"/>
  <c r="C32" i="6"/>
  <c r="K31" i="6"/>
  <c r="I31" i="6"/>
  <c r="C31" i="6"/>
  <c r="J16" i="6"/>
  <c r="K30" i="6"/>
  <c r="I30" i="6"/>
  <c r="C30" i="6"/>
  <c r="K29" i="6"/>
  <c r="J29" i="6"/>
  <c r="I29" i="6"/>
  <c r="C29" i="6"/>
  <c r="J14" i="6"/>
  <c r="K28" i="6"/>
  <c r="J28" i="6"/>
  <c r="I28" i="6"/>
  <c r="C28" i="6"/>
  <c r="K27" i="6"/>
  <c r="J27" i="6"/>
  <c r="I27" i="6"/>
  <c r="C27" i="6"/>
  <c r="J12" i="6"/>
  <c r="K26" i="6"/>
  <c r="I26" i="6"/>
  <c r="C26" i="6"/>
  <c r="K25" i="6"/>
  <c r="I25" i="6"/>
  <c r="C25" i="6"/>
  <c r="K24" i="6"/>
  <c r="I24" i="6"/>
  <c r="C24" i="6"/>
  <c r="J11" i="6"/>
  <c r="K23" i="6"/>
  <c r="J23" i="6"/>
  <c r="I23" i="6"/>
  <c r="C23" i="6"/>
  <c r="K22" i="6"/>
  <c r="J22" i="6"/>
  <c r="I22" i="6"/>
  <c r="C22" i="6"/>
  <c r="J9" i="6"/>
  <c r="K21" i="6"/>
  <c r="J21" i="6"/>
  <c r="I21" i="6"/>
  <c r="K20" i="6"/>
  <c r="I20" i="6"/>
  <c r="J7" i="6"/>
  <c r="K19" i="6"/>
  <c r="I19" i="6"/>
  <c r="K18" i="6"/>
  <c r="I18" i="6"/>
  <c r="K17" i="6"/>
  <c r="J17" i="6"/>
  <c r="I17" i="6"/>
  <c r="J6" i="6"/>
  <c r="K16" i="6"/>
  <c r="I16" i="6"/>
  <c r="J5" i="6"/>
  <c r="K15" i="6"/>
  <c r="J15" i="6"/>
  <c r="I15" i="6"/>
  <c r="K14" i="6"/>
  <c r="I14" i="6"/>
  <c r="K13" i="6"/>
  <c r="J13" i="6"/>
  <c r="I13" i="6"/>
  <c r="K12" i="6"/>
  <c r="I12" i="6"/>
  <c r="K11" i="6"/>
  <c r="I11" i="6"/>
  <c r="K10" i="6"/>
  <c r="J10" i="6"/>
  <c r="I10" i="6"/>
  <c r="K9" i="6"/>
  <c r="I9" i="6"/>
  <c r="K8" i="6"/>
  <c r="J8" i="6"/>
  <c r="I8" i="6"/>
  <c r="K7" i="6"/>
  <c r="I7" i="6"/>
  <c r="K6" i="6"/>
  <c r="I6" i="6"/>
  <c r="K5" i="6"/>
  <c r="I5" i="6"/>
  <c r="M3" i="6"/>
  <c r="L3" i="6"/>
  <c r="L4" i="6"/>
  <c r="L5" i="6"/>
  <c r="L6" i="6"/>
  <c r="H2" i="6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30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J18" i="5"/>
  <c r="J19" i="5"/>
  <c r="J20" i="5"/>
  <c r="J21" i="5"/>
  <c r="J22" i="5"/>
  <c r="J23" i="5"/>
  <c r="J24" i="5"/>
  <c r="J25" i="5"/>
  <c r="J26" i="5"/>
  <c r="J27" i="5"/>
  <c r="J28" i="5"/>
  <c r="J29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G21" i="4"/>
  <c r="H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E16" i="4"/>
  <c r="F8" i="4"/>
  <c r="G8" i="4"/>
  <c r="H8" i="4"/>
  <c r="M25" i="4"/>
  <c r="L17" i="4"/>
  <c r="O9" i="4"/>
  <c r="O8" i="4"/>
  <c r="P8" i="4"/>
  <c r="P9" i="4"/>
  <c r="F9" i="4"/>
  <c r="G9" i="4"/>
  <c r="H9" i="4"/>
  <c r="G11" i="4"/>
  <c r="H11" i="4"/>
  <c r="G12" i="4"/>
  <c r="H12" i="4"/>
  <c r="G13" i="4"/>
  <c r="H13" i="4"/>
  <c r="G14" i="4"/>
  <c r="H14" i="4"/>
  <c r="G15" i="4"/>
  <c r="H15" i="4"/>
  <c r="O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O21" i="5"/>
  <c r="K15" i="5"/>
  <c r="K16" i="5"/>
  <c r="K17" i="5"/>
  <c r="J15" i="5"/>
  <c r="J16" i="5"/>
  <c r="J17" i="5"/>
  <c r="J14" i="5"/>
  <c r="M14" i="5"/>
  <c r="M15" i="5"/>
  <c r="I15" i="5"/>
  <c r="I16" i="5"/>
  <c r="I17" i="5"/>
  <c r="H15" i="5"/>
  <c r="H16" i="5"/>
  <c r="H17" i="5"/>
  <c r="C23" i="5"/>
  <c r="C24" i="5"/>
  <c r="C25" i="5"/>
  <c r="C26" i="5"/>
  <c r="C27" i="5"/>
  <c r="C28" i="5"/>
  <c r="K3" i="5"/>
  <c r="K4" i="5"/>
  <c r="K5" i="5"/>
  <c r="K6" i="5"/>
  <c r="K7" i="5"/>
  <c r="K8" i="5"/>
  <c r="K9" i="5"/>
  <c r="K10" i="5"/>
  <c r="K11" i="5"/>
  <c r="K12" i="5"/>
  <c r="K13" i="5"/>
  <c r="K14" i="5"/>
  <c r="K2" i="5"/>
  <c r="H14" i="5"/>
  <c r="H3" i="5"/>
  <c r="H4" i="5"/>
  <c r="H5" i="5"/>
  <c r="H6" i="5"/>
  <c r="H7" i="5"/>
  <c r="H8" i="5"/>
  <c r="H9" i="5"/>
  <c r="H10" i="5"/>
  <c r="H11" i="5"/>
  <c r="H12" i="5"/>
  <c r="H13" i="5"/>
  <c r="H2" i="5"/>
  <c r="I4" i="5"/>
  <c r="I5" i="5"/>
  <c r="I6" i="5"/>
  <c r="I7" i="5"/>
  <c r="I8" i="5"/>
  <c r="I9" i="5"/>
  <c r="I10" i="5"/>
  <c r="I11" i="5"/>
  <c r="I12" i="5"/>
  <c r="I13" i="5"/>
  <c r="I14" i="5"/>
  <c r="I3" i="5"/>
  <c r="C22" i="5"/>
  <c r="J2" i="5"/>
  <c r="C4" i="5"/>
  <c r="C5" i="5"/>
  <c r="C6" i="5"/>
  <c r="C7" i="5"/>
  <c r="J4" i="5"/>
  <c r="C8" i="5"/>
  <c r="J5" i="5"/>
  <c r="C9" i="5"/>
  <c r="J6" i="5"/>
  <c r="C10" i="5"/>
  <c r="J7" i="5"/>
  <c r="C11" i="5"/>
  <c r="J8" i="5"/>
  <c r="C12" i="5"/>
  <c r="C13" i="5"/>
  <c r="C14" i="5"/>
  <c r="J9" i="5"/>
  <c r="C15" i="5"/>
  <c r="J10" i="5"/>
  <c r="C16" i="5"/>
  <c r="J11" i="5"/>
  <c r="C17" i="5"/>
  <c r="J12" i="5"/>
  <c r="C18" i="5"/>
  <c r="J13" i="5"/>
  <c r="C19" i="5"/>
  <c r="C20" i="5"/>
  <c r="C21" i="5"/>
  <c r="C3" i="5"/>
  <c r="J3" i="5"/>
  <c r="M3" i="5"/>
  <c r="M4" i="5"/>
  <c r="M5" i="5"/>
  <c r="M6" i="5"/>
  <c r="M7" i="5"/>
  <c r="M8" i="5"/>
  <c r="M9" i="5"/>
  <c r="M10" i="5"/>
  <c r="M11" i="5"/>
  <c r="M12" i="5"/>
  <c r="M13" i="5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F10" i="4"/>
  <c r="G10" i="4"/>
  <c r="H10" i="4"/>
  <c r="F11" i="4"/>
  <c r="F12" i="4"/>
  <c r="F13" i="4"/>
  <c r="F14" i="4"/>
  <c r="F15" i="4"/>
  <c r="F16" i="4"/>
  <c r="D16" i="4"/>
  <c r="M26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E29" i="4"/>
  <c r="O22" i="5"/>
  <c r="O24" i="5"/>
  <c r="M27" i="4"/>
  <c r="M28" i="4"/>
  <c r="M29" i="4"/>
  <c r="N26" i="4"/>
  <c r="H16" i="4"/>
  <c r="G16" i="4"/>
  <c r="I21" i="4"/>
  <c r="I29" i="4"/>
  <c r="H29" i="4"/>
  <c r="N27" i="4"/>
  <c r="O20" i="4"/>
  <c r="M30" i="4"/>
  <c r="M31" i="4"/>
  <c r="O21" i="4"/>
  <c r="O22" i="4"/>
  <c r="M33" i="4"/>
  <c r="M32" i="4"/>
  <c r="N36" i="4"/>
  <c r="M34" i="4"/>
  <c r="M36" i="4"/>
  <c r="M35" i="4"/>
  <c r="N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G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</t>
        </r>
      </text>
    </comment>
  </commentList>
</comments>
</file>

<file path=xl/sharedStrings.xml><?xml version="1.0" encoding="utf-8"?>
<sst xmlns="http://schemas.openxmlformats.org/spreadsheetml/2006/main" count="418" uniqueCount="80">
  <si>
    <t>FX inicio dia</t>
  </si>
  <si>
    <t>FX fin dia</t>
  </si>
  <si>
    <t>Trade n°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</si>
  <si>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</si>
  <si>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</si>
  <si>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</si>
  <si>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</si>
  <si>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</si>
  <si>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</si>
  <si>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</si>
  <si>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</si>
  <si>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</si>
  <si>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</si>
  <si>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</si>
  <si>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</si>
  <si>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</si>
  <si>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</si>
  <si>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</si>
  <si>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</si>
  <si>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</si>
  <si>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</si>
  <si>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</si>
  <si>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</si>
  <si>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</si>
  <si>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</si>
  <si>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</si>
  <si>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</si>
  <si>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</si>
  <si>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</si>
  <si>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</si>
  <si>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</si>
  <si>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</si>
  <si>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</si>
  <si>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</si>
  <si>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</si>
  <si>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</si>
  <si>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</si>
  <si>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</si>
  <si>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</si>
  <si>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</si>
  <si>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</si>
  <si>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</si>
  <si>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</si>
  <si>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</si>
  <si>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</si>
  <si>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</si>
  <si>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</si>
  <si>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</si>
  <si>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trading</t>
  </si>
  <si>
    <t>Instrumentos en cartera o ReInversión de nominales vencidos</t>
  </si>
  <si>
    <t>Serie U</t>
  </si>
  <si>
    <t>Fecha</t>
  </si>
  <si>
    <t>-</t>
  </si>
  <si>
    <t>Retorno Fondo</t>
  </si>
  <si>
    <t>ARS BCRA</t>
  </si>
  <si>
    <t>retorno Fondo</t>
  </si>
  <si>
    <t>comisión</t>
  </si>
  <si>
    <t>Fondo Argentina Liquidez</t>
  </si>
  <si>
    <t>trading</t>
  </si>
  <si>
    <t>FX ARS</t>
  </si>
  <si>
    <t>Rentabilidades al 26/12</t>
  </si>
  <si>
    <t>Retorno Lebacs</t>
  </si>
  <si>
    <t>LEBAC 21-02-2018</t>
  </si>
  <si>
    <t>Provisión impuestos 5%</t>
  </si>
  <si>
    <t>Total Fondo</t>
  </si>
  <si>
    <t>Provisión Cartera Vigente</t>
  </si>
  <si>
    <t>Provisión compras</t>
  </si>
  <si>
    <t>Total Provisión</t>
  </si>
  <si>
    <t>Outputs (Valores en USD)</t>
  </si>
  <si>
    <t>Total Cartera fondo</t>
  </si>
  <si>
    <t>Provisión impuestos (Valores en ARS)</t>
  </si>
  <si>
    <t xml:space="preserve">Retorno Cartera </t>
  </si>
  <si>
    <t>Retorno Cartera Ex impuestos</t>
  </si>
  <si>
    <t>Op</t>
  </si>
  <si>
    <t>C</t>
  </si>
  <si>
    <t xml:space="preserve">ARGENTIN  </t>
  </si>
  <si>
    <t xml:space="preserve">U  </t>
  </si>
  <si>
    <t>a.</t>
  </si>
  <si>
    <t>m.</t>
  </si>
  <si>
    <t>YTD al 09-02-2018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</si>
</sst>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0.0"/>
    <numFmt numFmtId="171" formatCode="#,##0.0000"/>
    <numFmt numFmtId="172" formatCode="_-&quot;$&quot;\ * #,##0.000_-;\-&quot;$&quot;\ * #,##0.000_-;_-&quot;$&quot;\ * &quot;-&quot;??_-;_-@_-"/>
    <numFmt numFmtId="173" formatCode="0.00000%"/>
    <numFmt numFmtId="174" formatCode="0.000000%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"/>
      <family val="2"/>
      <scheme val="minor"/>
    </font>
    <font>
      <b/>
      <sz val="11"/>
      <color theme="3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0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44" fontId="0" fillId="0" borderId="0" xfId="0" applyNumberFormat="1"/>
    <xf numFmtId="14" fontId="0" fillId="0" borderId="0" xfId="0" applyNumberFormat="1"/>
    <xf numFmtId="0" fontId="0" fillId="0" borderId="0" xfId="0" applyNumberFormat="1"/>
    <xf numFmtId="167" fontId="0" fillId="0" borderId="0" xfId="2" applyNumberFormat="1" applyFont="1"/>
    <xf numFmtId="14" fontId="0" fillId="0" borderId="0" xfId="0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2" applyNumberFormat="1" applyFont="1"/>
    <xf numFmtId="0" fontId="0" fillId="0" borderId="4" xfId="0" applyBorder="1"/>
    <xf numFmtId="0" fontId="1" fillId="5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0" fontId="1" fillId="5" borderId="6" xfId="2" applyNumberFormat="1" applyFont="1" applyFill="1" applyBorder="1" applyAlignment="1">
      <alignment horizontal="center"/>
    </xf>
    <xf numFmtId="10" fontId="1" fillId="4" borderId="8" xfId="2" applyNumberFormat="1" applyFont="1" applyFill="1" applyBorder="1" applyAlignment="1">
      <alignment horizontal="center"/>
    </xf>
    <xf numFmtId="10" fontId="1" fillId="5" borderId="8" xfId="2" applyNumberFormat="1" applyFont="1" applyFill="1" applyBorder="1" applyAlignment="1">
      <alignment horizontal="center"/>
    </xf>
    <xf numFmtId="0" fontId="0" fillId="0" borderId="0" xfId="0" applyFill="1" applyBorder="1"/>
    <xf numFmtId="22" fontId="0" fillId="0" borderId="0" xfId="0" applyNumberFormat="1"/>
    <xf numFmtId="165" fontId="0" fillId="0" borderId="0" xfId="0" applyNumberFormat="1"/>
    <xf numFmtId="171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1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4" fontId="0" fillId="0" borderId="0" xfId="1" applyFont="1"/>
    <xf numFmtId="164" fontId="0" fillId="0" borderId="0" xfId="1" applyNumberFormat="1" applyFont="1"/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9" xfId="0" applyFont="1" applyBorder="1"/>
    <xf numFmtId="165" fontId="0" fillId="0" borderId="9" xfId="1" applyNumberFormat="1" applyFont="1" applyBorder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4" fontId="0" fillId="0" borderId="0" xfId="2" applyNumberFormat="1" applyFont="1"/>
    <xf numFmtId="44" fontId="0" fillId="0" borderId="0" xfId="1" applyNumberFormat="1" applyFont="1" applyBorder="1" applyAlignment="1">
      <alignment horizontal="center"/>
    </xf>
    <xf numFmtId="169" fontId="0" fillId="0" borderId="0" xfId="2" applyNumberFormat="1" applyFont="1" applyBorder="1" applyAlignment="1">
      <alignment horizontal="right"/>
    </xf>
    <xf numFmtId="167" fontId="0" fillId="0" borderId="0" xfId="0" applyNumberFormat="1"/>
    <xf numFmtId="0" fontId="6" fillId="0" borderId="0" xfId="0" applyFont="1" applyFill="1" applyBorder="1"/>
    <xf numFmtId="167" fontId="6" fillId="0" borderId="0" xfId="2" applyNumberFormat="1" applyFont="1"/>
    <xf numFmtId="165" fontId="6" fillId="0" borderId="0" xfId="0" applyNumberFormat="1" applyFont="1"/>
    <xf numFmtId="21" fontId="0" fillId="0" borderId="0" xfId="0" applyNumberFormat="1"/>
    <xf numFmtId="0" fontId="2" fillId="3" borderId="0" xfId="0" applyFont="1" applyFill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9" fontId="2" fillId="3" borderId="0" xfId="2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Argentina Liquidez v/s FX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383145577296914E-2"/>
          <c:y val="9.4864603212382451E-2"/>
          <c:w val="0.93006017978871869"/>
          <c:h val="0.72876647980115428"/>
        </c:manualLayout>
      </c:layout>
      <c:lineChart>
        <c:grouping val="standard"/>
        <c:varyColors val="0"/>
        <c:ser>
          <c:idx val="0"/>
          <c:order val="0"/>
          <c:tx>
            <c:strRef>
              <c:f>Retornos!$L$1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D39-45B0-8AEE-06D3F9214A5C}"/>
                </c:ext>
              </c:extLst>
            </c:dLbl>
            <c:dLbl>
              <c:idx val="1"/>
              <c:layout>
                <c:manualLayout>
                  <c:x val="-2.6736310455804463E-2"/>
                  <c:y val="3.1938945676991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39-45B0-8AEE-06D3F9214A5C}"/>
                </c:ext>
              </c:extLst>
            </c:dLbl>
            <c:dLbl>
              <c:idx val="2"/>
              <c:layout>
                <c:manualLayout>
                  <c:x val="-2.8936480118277135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39-45B0-8AEE-06D3F9214A5C}"/>
                </c:ext>
              </c:extLst>
            </c:dLbl>
            <c:dLbl>
              <c:idx val="4"/>
              <c:layout>
                <c:manualLayout>
                  <c:x val="-2.6736310455804449E-2"/>
                  <c:y val="1.2019868886990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39-45B0-8AEE-06D3F9214A5C}"/>
                </c:ext>
              </c:extLst>
            </c:dLbl>
            <c:dLbl>
              <c:idx val="6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39-45B0-8AEE-06D3F9214A5C}"/>
                </c:ext>
              </c:extLst>
            </c:dLbl>
            <c:dLbl>
              <c:idx val="7"/>
              <c:layout>
                <c:manualLayout>
                  <c:x val="-2.5271913688685161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D39-45B0-8AEE-06D3F9214A5C}"/>
                </c:ext>
              </c:extLst>
            </c:dLbl>
            <c:dLbl>
              <c:idx val="9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D39-45B0-8AEE-06D3F9214A5C}"/>
                </c:ext>
              </c:extLst>
            </c:dLbl>
            <c:dLbl>
              <c:idx val="11"/>
              <c:layout>
                <c:manualLayout>
                  <c:x val="-3.112950075716242E-2"/>
                  <c:y val="1.9489522683240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D39-45B0-8AEE-06D3F9214A5C}"/>
                </c:ext>
              </c:extLst>
            </c:dLbl>
            <c:dLbl>
              <c:idx val="12"/>
              <c:layout>
                <c:manualLayout>
                  <c:x val="-3.8451484592758864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39-45B0-8AEE-06D3F9214A5C}"/>
                </c:ext>
              </c:extLst>
            </c:dLbl>
            <c:dLbl>
              <c:idx val="13"/>
              <c:layout>
                <c:manualLayout>
                  <c:x val="-4.4309071661236016E-2"/>
                  <c:y val="2.1979407281990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39-45B0-8AEE-06D3F9214A5C}"/>
                </c:ext>
              </c:extLst>
            </c:dLbl>
            <c:dLbl>
              <c:idx val="14"/>
              <c:layout>
                <c:manualLayout>
                  <c:x val="-2.8200707222923845E-2"/>
                  <c:y val="1.9489522683240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D39-45B0-8AEE-06D3F9214A5C}"/>
                </c:ext>
              </c:extLst>
            </c:dLbl>
            <c:dLbl>
              <c:idx val="15"/>
              <c:layout>
                <c:manualLayout>
                  <c:x val="-1.5338230107006108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Retornos!$E$2:$E$46</c:f>
              <c:numCache>
                <c:formatCode>m/d/yyyy</c:formatCode>
                <c:ptCount val="45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  <c:pt idx="16">
                  <c:v>43102</c:v>
                </c:pt>
                <c:pt idx="17">
                  <c:v>43103</c:v>
                </c:pt>
                <c:pt idx="18">
                  <c:v>43104</c:v>
                </c:pt>
                <c:pt idx="19">
                  <c:v>43105</c:v>
                </c:pt>
                <c:pt idx="20">
                  <c:v>43108</c:v>
                </c:pt>
                <c:pt idx="21">
                  <c:v>43109</c:v>
                </c:pt>
                <c:pt idx="22">
                  <c:v>43110</c:v>
                </c:pt>
                <c:pt idx="23">
                  <c:v>43111</c:v>
                </c:pt>
                <c:pt idx="24">
                  <c:v>43112</c:v>
                </c:pt>
                <c:pt idx="25">
                  <c:v>43115</c:v>
                </c:pt>
                <c:pt idx="26">
                  <c:v>43116</c:v>
                </c:pt>
                <c:pt idx="27">
                  <c:v>43117</c:v>
                </c:pt>
                <c:pt idx="28" formatCode="General">
                  <c:v>43118</c:v>
                </c:pt>
                <c:pt idx="29">
                  <c:v>43119</c:v>
                </c:pt>
                <c:pt idx="30">
                  <c:v>43122</c:v>
                </c:pt>
                <c:pt idx="31">
                  <c:v>43123</c:v>
                </c:pt>
                <c:pt idx="32">
                  <c:v>43124</c:v>
                </c:pt>
                <c:pt idx="33">
                  <c:v>43125</c:v>
                </c:pt>
                <c:pt idx="34">
                  <c:v>43126</c:v>
                </c:pt>
                <c:pt idx="35">
                  <c:v>43129</c:v>
                </c:pt>
                <c:pt idx="36">
                  <c:v>43130</c:v>
                </c:pt>
                <c:pt idx="37">
                  <c:v>43131</c:v>
                </c:pt>
                <c:pt idx="38">
                  <c:v>43132</c:v>
                </c:pt>
                <c:pt idx="39">
                  <c:v>43133</c:v>
                </c:pt>
                <c:pt idx="40">
                  <c:v>43136</c:v>
                </c:pt>
                <c:pt idx="41">
                  <c:v>43137</c:v>
                </c:pt>
                <c:pt idx="42">
                  <c:v>43138</c:v>
                </c:pt>
                <c:pt idx="43">
                  <c:v>43139</c:v>
                </c:pt>
                <c:pt idx="44">
                  <c:v>43140</c:v>
                </c:pt>
              </c:numCache>
            </c:numRef>
          </c:cat>
          <c:val>
            <c:numRef>
              <c:f>Retornos!$L$2:$L$17</c:f>
              <c:numCache>
                <c:formatCode>0.0</c:formatCode>
                <c:ptCount val="16"/>
                <c:pt idx="0">
                  <c:v>100</c:v>
                </c:pt>
                <c:pt idx="1">
                  <c:v>99.886743172809105</c:v>
                </c:pt>
                <c:pt idx="2">
                  <c:v>100.09554306096805</c:v>
                </c:pt>
                <c:pt idx="3">
                  <c:v>100.13149129666638</c:v>
                </c:pt>
                <c:pt idx="4">
                  <c:v>99.833670228125911</c:v>
                </c:pt>
                <c:pt idx="5">
                  <c:v>99.59381679697178</c:v>
                </c:pt>
                <c:pt idx="6">
                  <c:v>98.487326014004339</c:v>
                </c:pt>
                <c:pt idx="7">
                  <c:v>98.417235057674134</c:v>
                </c:pt>
                <c:pt idx="8">
                  <c:v>98.408270616766671</c:v>
                </c:pt>
                <c:pt idx="9">
                  <c:v>97.21834788086025</c:v>
                </c:pt>
                <c:pt idx="10">
                  <c:v>96.733072188024607</c:v>
                </c:pt>
                <c:pt idx="11">
                  <c:v>95.97685832944677</c:v>
                </c:pt>
                <c:pt idx="12">
                  <c:v>94.721499219156669</c:v>
                </c:pt>
                <c:pt idx="13">
                  <c:v>93.768375372931914</c:v>
                </c:pt>
                <c:pt idx="14">
                  <c:v>91.801380775358467</c:v>
                </c:pt>
                <c:pt idx="15">
                  <c:v>92.074229527756145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9-45B0-8AEE-06D3F9214A5C}"/>
            </c:ext>
          </c:extLst>
        </c:ser>
        <c:ser>
          <c:idx val="1"/>
          <c:order val="1"/>
          <c:tx>
            <c:strRef>
              <c:f>Retornos!$M$1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D39-45B0-8AEE-06D3F9214A5C}"/>
                </c:ext>
              </c:extLst>
            </c:dLbl>
            <c:dLbl>
              <c:idx val="14"/>
              <c:layout>
                <c:manualLayout>
                  <c:x val="-2.0878723387327401E-2"/>
                  <c:y val="-4.2757592285514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Retornos!$E$2:$E$46</c:f>
              <c:numCache>
                <c:formatCode>m/d/yyyy</c:formatCode>
                <c:ptCount val="45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  <c:pt idx="16">
                  <c:v>43102</c:v>
                </c:pt>
                <c:pt idx="17">
                  <c:v>43103</c:v>
                </c:pt>
                <c:pt idx="18">
                  <c:v>43104</c:v>
                </c:pt>
                <c:pt idx="19">
                  <c:v>43105</c:v>
                </c:pt>
                <c:pt idx="20">
                  <c:v>43108</c:v>
                </c:pt>
                <c:pt idx="21">
                  <c:v>43109</c:v>
                </c:pt>
                <c:pt idx="22">
                  <c:v>43110</c:v>
                </c:pt>
                <c:pt idx="23">
                  <c:v>43111</c:v>
                </c:pt>
                <c:pt idx="24">
                  <c:v>43112</c:v>
                </c:pt>
                <c:pt idx="25">
                  <c:v>43115</c:v>
                </c:pt>
                <c:pt idx="26">
                  <c:v>43116</c:v>
                </c:pt>
                <c:pt idx="27">
                  <c:v>43117</c:v>
                </c:pt>
                <c:pt idx="28" formatCode="General">
                  <c:v>43118</c:v>
                </c:pt>
                <c:pt idx="29">
                  <c:v>43119</c:v>
                </c:pt>
                <c:pt idx="30">
                  <c:v>43122</c:v>
                </c:pt>
                <c:pt idx="31">
                  <c:v>43123</c:v>
                </c:pt>
                <c:pt idx="32">
                  <c:v>43124</c:v>
                </c:pt>
                <c:pt idx="33">
                  <c:v>43125</c:v>
                </c:pt>
                <c:pt idx="34">
                  <c:v>43126</c:v>
                </c:pt>
                <c:pt idx="35">
                  <c:v>43129</c:v>
                </c:pt>
                <c:pt idx="36">
                  <c:v>43130</c:v>
                </c:pt>
                <c:pt idx="37">
                  <c:v>43131</c:v>
                </c:pt>
                <c:pt idx="38">
                  <c:v>43132</c:v>
                </c:pt>
                <c:pt idx="39">
                  <c:v>43133</c:v>
                </c:pt>
                <c:pt idx="40">
                  <c:v>43136</c:v>
                </c:pt>
                <c:pt idx="41">
                  <c:v>43137</c:v>
                </c:pt>
                <c:pt idx="42">
                  <c:v>43138</c:v>
                </c:pt>
                <c:pt idx="43">
                  <c:v>43139</c:v>
                </c:pt>
                <c:pt idx="44">
                  <c:v>43140</c:v>
                </c:pt>
              </c:numCache>
            </c:numRef>
          </c:cat>
          <c:val>
            <c:numRef>
              <c:f>Retornos!$M$2:$M$17</c:f>
              <c:numCache>
                <c:formatCode>0.0</c:formatCode>
                <c:ptCount val="16"/>
                <c:pt idx="0">
                  <c:v>100</c:v>
                </c:pt>
                <c:pt idx="1">
                  <c:v>100.25136371043837</c:v>
                </c:pt>
                <c:pt idx="2">
                  <c:v>100.58337467303772</c:v>
                </c:pt>
                <c:pt idx="3">
                  <c:v>100.68497026376967</c:v>
                </c:pt>
                <c:pt idx="4">
                  <c:v>100.4421954546235</c:v>
                </c:pt>
                <c:pt idx="5">
                  <c:v>100.29909295332757</c:v>
                </c:pt>
                <c:pt idx="6">
                  <c:v>99.464156725534494</c:v>
                </c:pt>
                <c:pt idx="7">
                  <c:v>99.562416285854965</c:v>
                </c:pt>
                <c:pt idx="8">
                  <c:v>99.554143979973091</c:v>
                </c:pt>
                <c:pt idx="9">
                  <c:v>98.41527051237756</c:v>
                </c:pt>
                <c:pt idx="10">
                  <c:v>98.030197641005245</c:v>
                </c:pt>
                <c:pt idx="11">
                  <c:v>97.580525698389039</c:v>
                </c:pt>
                <c:pt idx="12">
                  <c:v>96.427952647353692</c:v>
                </c:pt>
                <c:pt idx="13">
                  <c:v>95.532560643433214</c:v>
                </c:pt>
                <c:pt idx="14">
                  <c:v>93.621264890918098</c:v>
                </c:pt>
                <c:pt idx="15">
                  <c:v>94.18914576483904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9-45B0-8AEE-06D3F9214A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1242079"/>
        <c:axId val="1558101375"/>
      </c:lineChart>
      <c:dateAx>
        <c:axId val="1531242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101375"/>
        <c:crosses val="autoZero"/>
        <c:auto val="1"/>
        <c:lblOffset val="100"/>
        <c:baseTimeUnit val="days"/>
        <c:majorUnit val="2"/>
        <c:majorTimeUnit val="days"/>
      </c:dateAx>
      <c:valAx>
        <c:axId val="155810137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2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Argentina Liquidez v/s FX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383145577296914E-2"/>
          <c:y val="9.4864603212382451E-2"/>
          <c:w val="0.93006017978871869"/>
          <c:h val="0.72876647980115428"/>
        </c:manualLayout>
      </c:layout>
      <c:lineChart>
        <c:grouping val="standard"/>
        <c:varyColors val="0"/>
        <c:ser>
          <c:idx val="0"/>
          <c:order val="0"/>
          <c:tx>
            <c:strRef>
              <c:f>YTD!$L$1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YTD!$H$2:$H$31</c:f>
              <c:numCache>
                <c:formatCode>m/d/yyyy</c:formatCode>
                <c:ptCount val="30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</c:numCache>
            </c:numRef>
          </c:cat>
          <c:val>
            <c:numRef>
              <c:f>YTD!$L$2:$L$31</c:f>
              <c:numCache>
                <c:formatCode>0.0</c:formatCode>
                <c:ptCount val="30"/>
                <c:pt idx="0">
                  <c:v>100</c:v>
                </c:pt>
                <c:pt idx="1">
                  <c:v>101.20862533692723</c:v>
                </c:pt>
                <c:pt idx="2">
                  <c:v>101.94615493217781</c:v>
                </c:pt>
                <c:pt idx="3">
                  <c:v>100.90943294813222</c:v>
                </c:pt>
                <c:pt idx="4">
                  <c:v>99.540846623685098</c:v>
                </c:pt>
                <c:pt idx="5">
                  <c:v>98.435968016778077</c:v>
                </c:pt>
                <c:pt idx="6">
                  <c:v>98.573963813544196</c:v>
                </c:pt>
                <c:pt idx="7">
                  <c:v>100.28042325216194</c:v>
                </c:pt>
                <c:pt idx="8">
                  <c:v>100.65677659409062</c:v>
                </c:pt>
                <c:pt idx="9">
                  <c:v>100.31632380443496</c:v>
                </c:pt>
                <c:pt idx="10">
                  <c:v>100.28524422033247</c:v>
                </c:pt>
                <c:pt idx="11">
                  <c:v>99.725908062339983</c:v>
                </c:pt>
                <c:pt idx="12">
                  <c:v>99.378033739684625</c:v>
                </c:pt>
                <c:pt idx="13">
                  <c:v>99.584670468107689</c:v>
                </c:pt>
                <c:pt idx="14">
                  <c:v>99.00698747528017</c:v>
                </c:pt>
                <c:pt idx="15">
                  <c:v>98.448872574724703</c:v>
                </c:pt>
                <c:pt idx="16">
                  <c:v>97.191549281191925</c:v>
                </c:pt>
                <c:pt idx="17">
                  <c:v>96.150733900787685</c:v>
                </c:pt>
                <c:pt idx="18">
                  <c:v>96.311040203557127</c:v>
                </c:pt>
                <c:pt idx="19">
                  <c:v>96.170927736826215</c:v>
                </c:pt>
                <c:pt idx="20">
                  <c:v>95.925238993035876</c:v>
                </c:pt>
                <c:pt idx="21">
                  <c:v>95.808731596540028</c:v>
                </c:pt>
                <c:pt idx="22">
                  <c:v>95.530848492558221</c:v>
                </c:pt>
                <c:pt idx="23">
                  <c:v>96.426296866974852</c:v>
                </c:pt>
                <c:pt idx="24">
                  <c:v>96.277948717948732</c:v>
                </c:pt>
                <c:pt idx="25">
                  <c:v>96.112831801776451</c:v>
                </c:pt>
                <c:pt idx="26">
                  <c:v>95.34890807516507</c:v>
                </c:pt>
                <c:pt idx="27">
                  <c:v>95.668613242832862</c:v>
                </c:pt>
                <c:pt idx="28">
                  <c:v>94.624208701262063</c:v>
                </c:pt>
                <c:pt idx="29">
                  <c:v>93.284242117083565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4F-4F8F-9297-8CF4F11081EF}"/>
            </c:ext>
          </c:extLst>
        </c:ser>
        <c:ser>
          <c:idx val="1"/>
          <c:order val="1"/>
          <c:tx>
            <c:strRef>
              <c:f>YTD!$M$1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YTD!$H$2:$H$31</c:f>
              <c:numCache>
                <c:formatCode>m/d/yyyy</c:formatCode>
                <c:ptCount val="30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</c:numCache>
            </c:numRef>
          </c:cat>
          <c:val>
            <c:numRef>
              <c:f>YTD!$M$2:$M$31</c:f>
              <c:numCache>
                <c:formatCode>0.0</c:formatCode>
                <c:ptCount val="30"/>
                <c:pt idx="0">
                  <c:v>100</c:v>
                </c:pt>
                <c:pt idx="1">
                  <c:v>101.36810620918124</c:v>
                </c:pt>
                <c:pt idx="2">
                  <c:v>102.19197367872692</c:v>
                </c:pt>
                <c:pt idx="3">
                  <c:v>101.21838051560803</c:v>
                </c:pt>
                <c:pt idx="4">
                  <c:v>100.0802573089</c:v>
                </c:pt>
                <c:pt idx="5">
                  <c:v>99.042003332052019</c:v>
                </c:pt>
                <c:pt idx="6">
                  <c:v>99.272601598552455</c:v>
                </c:pt>
                <c:pt idx="7">
                  <c:v>101.06854424057154</c:v>
                </c:pt>
                <c:pt idx="8">
                  <c:v>101.51248198585019</c:v>
                </c:pt>
                <c:pt idx="9">
                  <c:v>101.40349366056911</c:v>
                </c:pt>
                <c:pt idx="10">
                  <c:v>101.52129022831743</c:v>
                </c:pt>
                <c:pt idx="11">
                  <c:v>101.52128531037154</c:v>
                </c:pt>
                <c:pt idx="12">
                  <c:v>100.6765573740346</c:v>
                </c:pt>
                <c:pt idx="13">
                  <c:v>100.96097436324246</c:v>
                </c:pt>
                <c:pt idx="14">
                  <c:v>100.63945844186598</c:v>
                </c:pt>
                <c:pt idx="15">
                  <c:v>100.14186395151205</c:v>
                </c:pt>
                <c:pt idx="16">
                  <c:v>98.925408515085991</c:v>
                </c:pt>
                <c:pt idx="17">
                  <c:v>97.949420208584996</c:v>
                </c:pt>
                <c:pt idx="18">
                  <c:v>98.184635724199453</c:v>
                </c:pt>
                <c:pt idx="19">
                  <c:v>98.258029302528186</c:v>
                </c:pt>
                <c:pt idx="20">
                  <c:v>98.078479302792005</c:v>
                </c:pt>
                <c:pt idx="21">
                  <c:v>98.03063206179695</c:v>
                </c:pt>
                <c:pt idx="22">
                  <c:v>97.809602108299458</c:v>
                </c:pt>
                <c:pt idx="23">
                  <c:v>98.801362094538803</c:v>
                </c:pt>
                <c:pt idx="24">
                  <c:v>98.880111610813188</c:v>
                </c:pt>
                <c:pt idx="25">
                  <c:v>98.780871412454999</c:v>
                </c:pt>
                <c:pt idx="26">
                  <c:v>98.067836054911979</c:v>
                </c:pt>
                <c:pt idx="27">
                  <c:v>98.468270493606056</c:v>
                </c:pt>
                <c:pt idx="28">
                  <c:v>97.466926575853776</c:v>
                </c:pt>
                <c:pt idx="29">
                  <c:v>96.432773778556992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14F-4F8F-9297-8CF4F1108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242079"/>
        <c:axId val="1558101375"/>
      </c:lineChart>
      <c:dateAx>
        <c:axId val="1531242079"/>
        <c:scaling>
          <c:orientation val="minMax"/>
          <c:max val="43140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101375"/>
        <c:crosses val="autoZero"/>
        <c:auto val="1"/>
        <c:lblOffset val="100"/>
        <c:baseTimeUnit val="days"/>
        <c:majorUnit val="2"/>
        <c:majorTimeUnit val="days"/>
      </c:dateAx>
      <c:valAx>
        <c:axId val="155810137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2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690561</xdr:colOff>
      <xdr:row>47</xdr:row>
      <xdr:rowOff>80962</xdr:rowOff>
    </xdr:from>
    <xdr:to>
      <xdr:col>13</xdr:col>
      <xdr:colOff>285749</xdr:colOff>
      <xdr:row>75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2A259B-91F2-4037-8D99-2C841A92D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23811</xdr:colOff>
      <xdr:row>32</xdr:row>
      <xdr:rowOff>14287</xdr:rowOff>
    </xdr:from>
    <xdr:to>
      <xdr:col>13</xdr:col>
      <xdr:colOff>457199</xdr:colOff>
      <xdr:row>60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A8EB67-F596-405E-8C4E-A7ED1C6BE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V62"/>
  <sheetViews>
    <sheetView showGridLines="0" tabSelected="1" zoomScale="90" zoomScaleNormal="90" workbookViewId="0">
      <selection activeCell="M12" sqref="M12"/>
    </sheetView>
  </sheetViews>
  <sheetFormatPr baseColWidth="10" defaultRowHeight="14.25" x14ac:dyDescent="0.2"/>
  <cols>
    <col min="1" max="1" width="4" customWidth="1"/>
    <col min="2" max="2" width="9.75" bestFit="1" customWidth="1"/>
    <col min="3" max="3" width="5.375" customWidth="1"/>
    <col min="4" max="4" width="16.125" customWidth="1"/>
    <col min="5" max="5" width="20.25" bestFit="1" customWidth="1"/>
    <col min="6" max="6" width="14.125" bestFit="1" customWidth="1"/>
    <col min="7" max="7" width="14" bestFit="1" customWidth="1"/>
    <col min="8" max="8" width="10.75" bestFit="1" customWidth="1"/>
    <col min="9" max="9" width="11.375" bestFit="1" customWidth="1"/>
    <col min="10" max="10" width="11.375" customWidth="1"/>
    <col min="11" max="11" width="16.75" bestFit="1" customWidth="1"/>
    <col min="12" max="12" width="28.375" bestFit="1" customWidth="1"/>
    <col min="13" max="13" width="22.875" bestFit="1" customWidth="1"/>
    <col min="14" max="14" width="24" bestFit="1" customWidth="1"/>
    <col min="15" max="15" width="23.125" bestFit="1" customWidth="1"/>
    <col min="16" max="16" width="9.25" bestFit="1" customWidth="1"/>
    <col min="17" max="17" width="9.5" bestFit="1" customWidth="1"/>
    <col min="18" max="18" width="6.625" bestFit="1" customWidth="1"/>
    <col min="19" max="19" width="12.625" bestFit="1" customWidth="1"/>
    <col min="20" max="20" width="12.375" bestFit="1" customWidth="1"/>
  </cols>
  <sheetData>
    <row r="6" spans="2:16" ht="15" x14ac:dyDescent="0.25">
      <c r="B6" s="77" t="s">
        <v>30</v>
      </c>
      <c r="C6" s="77"/>
      <c r="D6" s="77"/>
      <c r="E6" s="77"/>
      <c r="F6" s="77"/>
      <c r="G6" s="77"/>
      <c r="H6" s="77"/>
      <c r="J6" s="75" t="s">
        <v>49</v>
      </c>
      <c r="K6" s="75"/>
      <c r="L6" s="75"/>
      <c r="M6" s="75"/>
      <c r="N6" s="75"/>
      <c r="O6" s="75"/>
      <c r="P6" s="75"/>
    </row>
    <row r="7" spans="2:16" x14ac:dyDescent="0.2">
      <c r="B7" s="8" t="s">
        <v>2</v>
      </c>
      <c r="C7" s="8" t="s">
        <v>73</v>
      </c>
      <c r="D7" s="8" t="s">
        <v>31</v>
      </c>
      <c r="E7" s="8" t="s">
        <v>28</v>
      </c>
      <c r="F7" s="8" t="s">
        <v>1</v>
      </c>
      <c r="G7" s="8" t="s">
        <v>32</v>
      </c>
      <c r="H7" s="8" t="s">
        <v>29</v>
      </c>
      <c r="J7" s="8" t="s">
        <v>37</v>
      </c>
      <c r="K7" s="8" t="s">
        <v>3</v>
      </c>
      <c r="L7" s="8" t="s">
        <v>17</v>
      </c>
      <c r="M7" s="8" t="s">
        <v>38</v>
      </c>
      <c r="N7" s="8" t="s">
        <v>35</v>
      </c>
      <c r="O7" s="8" t="s">
        <v>36</v>
      </c>
      <c r="P7" s="8" t="s">
        <v>39</v>
      </c>
    </row>
    <row r="8" spans="2:16" x14ac:dyDescent="0.2">
      <c r="B8" s="1">
        <v>1</v>
      </c>
      <c r="C8" s="1" t="s">
        <v>74</v>
      </c>
      <c r="D8" s="9"/>
      <c r="E8" s="10"/>
      <c r="F8" s="1" t="str">
        <f t="shared" ref="F8:F15" si="0">IF(AND(D8&gt;0,E8&gt;0),$L$20,"")</f>
        <v/>
      </c>
      <c r="G8" s="37" t="str">
        <f>+IF(E8&gt;0,IF(C8="V",F8/E8-1,E8/F8-1),"")</f>
        <v/>
      </c>
      <c r="H8" s="2">
        <f t="shared" ref="H8:H15" si="1">+IFERROR(G8*D8,)</f>
        <v>0</v>
      </c>
      <c r="J8" s="1">
        <v>1</v>
      </c>
      <c r="K8" t="s">
        <v>62</v>
      </c>
      <c r="L8" s="21">
        <v>63281831.589400001</v>
      </c>
      <c r="M8" s="55">
        <v>99.478800000000007</v>
      </c>
      <c r="N8" s="55">
        <v>99.556399999999996</v>
      </c>
      <c r="O8" s="4">
        <f t="shared" ref="O8:O16" si="2">+IF(AND(L8&gt;0,M8&gt;0,N8&gt;0),N8/M8-1,"")</f>
        <v>7.8006570244104623E-4</v>
      </c>
      <c r="P8" s="6">
        <f t="shared" ref="P8:P15" si="3">+IF(L8&gt;0,L8/SUM($L$8:$L$16),"")</f>
        <v>1</v>
      </c>
    </row>
    <row r="9" spans="2:16" x14ac:dyDescent="0.2">
      <c r="B9" s="1">
        <v>2</v>
      </c>
      <c r="C9" s="1" t="s">
        <v>74</v>
      </c>
      <c r="D9" s="9"/>
      <c r="E9" s="10"/>
      <c r="F9" s="1" t="str">
        <f t="shared" si="0"/>
        <v/>
      </c>
      <c r="G9" s="5" t="str">
        <f t="shared" ref="G9:G15" si="4">+IF(E9&gt;0,E9/F9-1,"")</f>
        <v/>
      </c>
      <c r="H9" s="2">
        <f t="shared" si="1"/>
        <v>0</v>
      </c>
      <c r="J9" s="1">
        <v>2</v>
      </c>
      <c r="L9" s="21"/>
      <c r="M9" s="7"/>
      <c r="N9" s="55"/>
      <c r="O9" s="4" t="str">
        <f t="shared" si="2"/>
        <v/>
      </c>
      <c r="P9" s="6" t="str">
        <f t="shared" si="3"/>
        <v/>
      </c>
    </row>
    <row r="10" spans="2:16" x14ac:dyDescent="0.2">
      <c r="B10" s="1">
        <v>3</v>
      </c>
      <c r="C10" s="1"/>
      <c r="D10" s="9"/>
      <c r="E10" s="10"/>
      <c r="F10" s="1" t="str">
        <f t="shared" si="0"/>
        <v/>
      </c>
      <c r="G10" s="5" t="str">
        <f t="shared" si="4"/>
        <v/>
      </c>
      <c r="H10" s="2">
        <f t="shared" si="1"/>
        <v>0</v>
      </c>
      <c r="J10" s="1">
        <v>3</v>
      </c>
      <c r="L10" s="21"/>
      <c r="M10" s="7"/>
      <c r="N10" s="7"/>
      <c r="O10" s="6" t="str">
        <f t="shared" si="2"/>
        <v/>
      </c>
      <c r="P10" s="6" t="str">
        <f t="shared" si="3"/>
        <v/>
      </c>
    </row>
    <row r="11" spans="2:16" x14ac:dyDescent="0.2">
      <c r="B11" s="1">
        <v>4</v>
      </c>
      <c r="C11" s="1"/>
      <c r="D11" s="9"/>
      <c r="E11" s="10"/>
      <c r="F11" s="1" t="str">
        <f t="shared" si="0"/>
        <v/>
      </c>
      <c r="G11" s="5" t="str">
        <f t="shared" si="4"/>
        <v/>
      </c>
      <c r="H11" s="2">
        <f t="shared" si="1"/>
        <v>0</v>
      </c>
      <c r="J11" s="1">
        <v>4</v>
      </c>
      <c r="L11" s="21"/>
      <c r="M11" s="7"/>
      <c r="N11" s="7"/>
      <c r="O11" s="6" t="str">
        <f t="shared" si="2"/>
        <v/>
      </c>
      <c r="P11" s="6" t="str">
        <f t="shared" si="3"/>
        <v/>
      </c>
    </row>
    <row r="12" spans="2:16" x14ac:dyDescent="0.2">
      <c r="B12" s="1">
        <v>5</v>
      </c>
      <c r="C12" s="1"/>
      <c r="D12" s="9"/>
      <c r="E12" s="10"/>
      <c r="F12" s="1" t="str">
        <f t="shared" si="0"/>
        <v/>
      </c>
      <c r="G12" s="5" t="str">
        <f t="shared" si="4"/>
        <v/>
      </c>
      <c r="H12" s="2">
        <f t="shared" si="1"/>
        <v>0</v>
      </c>
      <c r="J12" s="1">
        <v>5</v>
      </c>
      <c r="L12" s="21"/>
      <c r="M12" s="7"/>
      <c r="N12" s="7"/>
      <c r="O12" s="6" t="str">
        <f t="shared" si="2"/>
        <v/>
      </c>
      <c r="P12" s="6" t="str">
        <f t="shared" si="3"/>
        <v/>
      </c>
    </row>
    <row r="13" spans="2:16" x14ac:dyDescent="0.2">
      <c r="B13" s="1">
        <v>6</v>
      </c>
      <c r="C13" s="1"/>
      <c r="D13" s="9"/>
      <c r="E13" s="10"/>
      <c r="F13" s="1" t="str">
        <f t="shared" si="0"/>
        <v/>
      </c>
      <c r="G13" s="5" t="str">
        <f t="shared" si="4"/>
        <v/>
      </c>
      <c r="H13" s="2">
        <f t="shared" si="1"/>
        <v>0</v>
      </c>
      <c r="J13" s="1">
        <v>6</v>
      </c>
      <c r="L13" s="21"/>
      <c r="M13" s="7"/>
      <c r="N13" s="7"/>
      <c r="O13" s="6" t="str">
        <f t="shared" si="2"/>
        <v/>
      </c>
      <c r="P13" s="6" t="str">
        <f t="shared" si="3"/>
        <v/>
      </c>
    </row>
    <row r="14" spans="2:16" x14ac:dyDescent="0.2">
      <c r="B14" s="1">
        <v>7</v>
      </c>
      <c r="C14" s="1"/>
      <c r="D14" s="9"/>
      <c r="E14" s="10"/>
      <c r="F14" s="1" t="str">
        <f t="shared" si="0"/>
        <v/>
      </c>
      <c r="G14" s="5" t="str">
        <f t="shared" si="4"/>
        <v/>
      </c>
      <c r="H14" s="2">
        <f t="shared" si="1"/>
        <v>0</v>
      </c>
      <c r="J14" s="1">
        <v>7</v>
      </c>
      <c r="L14" s="21"/>
      <c r="M14" s="7"/>
      <c r="N14" s="7"/>
      <c r="O14" s="6" t="str">
        <f t="shared" si="2"/>
        <v/>
      </c>
      <c r="P14" s="6" t="str">
        <f t="shared" si="3"/>
        <v/>
      </c>
    </row>
    <row r="15" spans="2:16" x14ac:dyDescent="0.2">
      <c r="B15" s="1">
        <v>8</v>
      </c>
      <c r="C15" s="1"/>
      <c r="D15" s="9"/>
      <c r="E15" s="10"/>
      <c r="F15" s="1" t="str">
        <f t="shared" si="0"/>
        <v/>
      </c>
      <c r="G15" s="5" t="str">
        <f t="shared" si="4"/>
        <v/>
      </c>
      <c r="H15" s="2">
        <f t="shared" si="1"/>
        <v>0</v>
      </c>
      <c r="J15" s="1">
        <v>8</v>
      </c>
      <c r="L15" s="21"/>
      <c r="M15" s="7"/>
      <c r="N15" s="7"/>
      <c r="O15" s="6" t="str">
        <f t="shared" si="2"/>
        <v/>
      </c>
      <c r="P15" s="6" t="str">
        <f t="shared" si="3"/>
        <v/>
      </c>
    </row>
    <row r="16" spans="2:16" x14ac:dyDescent="0.2">
      <c r="B16" s="11" t="s">
        <v>40</v>
      </c>
      <c r="C16" s="11"/>
      <c r="D16" s="12">
        <f>+SUM(D8:D15)</f>
        <v>0</v>
      </c>
      <c r="E16" s="13">
        <f>+IFERROR(SUMPRODUCT($D$8:$D$15,$E$8:$E$15)/SUM(D8:D15),0)</f>
        <v>0</v>
      </c>
      <c r="F16" s="11">
        <f>+$L$20</f>
        <v>20.024999999999999</v>
      </c>
      <c r="G16" s="24" t="e">
        <f>+SUMPRODUCT($D$8:$D$15,$G$8:$G$15)/SUMPRODUCT($D$8:$D$15)</f>
        <v>#DIV/0!</v>
      </c>
      <c r="H16" s="12">
        <f>+SUM(H8:H15)</f>
        <v>0</v>
      </c>
      <c r="J16" s="1">
        <v>9</v>
      </c>
      <c r="L16" s="21"/>
      <c r="M16" s="7"/>
      <c r="N16" s="7"/>
      <c r="O16" s="6" t="str">
        <f t="shared" si="2"/>
        <v/>
      </c>
      <c r="P16" s="6"/>
    </row>
    <row r="17" spans="2:17" x14ac:dyDescent="0.2">
      <c r="B17" s="18"/>
      <c r="C17" s="18"/>
      <c r="D17" s="19"/>
      <c r="E17" s="20"/>
      <c r="F17" s="18"/>
      <c r="G17" s="18"/>
      <c r="H17" s="19"/>
      <c r="L17" s="48">
        <f>+SUM(L8:L9)</f>
        <v>63281831.589400001</v>
      </c>
    </row>
    <row r="19" spans="2:17" ht="15" x14ac:dyDescent="0.25">
      <c r="B19" s="77" t="s">
        <v>33</v>
      </c>
      <c r="C19" s="77"/>
      <c r="D19" s="77"/>
      <c r="E19" s="77"/>
      <c r="F19" s="77"/>
      <c r="G19" s="77"/>
      <c r="H19" s="77"/>
      <c r="I19" s="77"/>
      <c r="J19" s="60"/>
      <c r="K19" s="77" t="s">
        <v>42</v>
      </c>
      <c r="L19" s="77"/>
      <c r="N19" s="75" t="s">
        <v>70</v>
      </c>
      <c r="O19" s="75"/>
      <c r="P19" s="48"/>
    </row>
    <row r="20" spans="2:17" ht="15" x14ac:dyDescent="0.25">
      <c r="B20" s="15" t="s">
        <v>2</v>
      </c>
      <c r="C20" s="15" t="s">
        <v>73</v>
      </c>
      <c r="D20" s="15" t="s">
        <v>3</v>
      </c>
      <c r="E20" s="15" t="s">
        <v>31</v>
      </c>
      <c r="F20" s="15" t="s">
        <v>34</v>
      </c>
      <c r="G20" s="15" t="s">
        <v>35</v>
      </c>
      <c r="H20" s="15" t="s">
        <v>36</v>
      </c>
      <c r="I20" s="15" t="s">
        <v>41</v>
      </c>
      <c r="J20" s="59"/>
      <c r="K20" s="7" t="s">
        <v>1</v>
      </c>
      <c r="L20" s="49">
        <v>20.024999999999999</v>
      </c>
      <c r="M20" s="48"/>
      <c r="N20" s="61" t="s">
        <v>65</v>
      </c>
      <c r="O20" s="3">
        <f>+L17*L21*M27*5%</f>
        <v>49674.485885063616</v>
      </c>
      <c r="P20" s="48"/>
    </row>
    <row r="21" spans="2:17" ht="15" x14ac:dyDescent="0.25">
      <c r="B21" s="1">
        <v>1</v>
      </c>
      <c r="C21" s="1" t="s">
        <v>74</v>
      </c>
      <c r="D21" s="7"/>
      <c r="E21" s="21"/>
      <c r="F21" s="55"/>
      <c r="G21" s="56" t="str">
        <f t="shared" ref="G21:G28" si="5">+IF(D21="","",VLOOKUP(D21,$K$8:$N$16,4,FALSE))</f>
        <v/>
      </c>
      <c r="H21" s="37" t="str">
        <f>+IF(AND(G21&gt;0,F21&gt;0),IF(C21="V",F21/G21-1,G21/F21-1),"")</f>
        <v/>
      </c>
      <c r="I21" s="3">
        <f t="shared" ref="I21:I28" si="6">+IFERROR(H21*E21,)</f>
        <v>0</v>
      </c>
      <c r="J21" s="3"/>
      <c r="K21" s="7" t="s">
        <v>0</v>
      </c>
      <c r="L21" s="49">
        <v>20.125800000000002</v>
      </c>
      <c r="N21" s="62" t="s">
        <v>66</v>
      </c>
      <c r="O21" s="63">
        <f>+IF(I29&gt;=0,I29*E16*5%,0)</f>
        <v>0</v>
      </c>
    </row>
    <row r="22" spans="2:17" ht="15" x14ac:dyDescent="0.25">
      <c r="B22" s="1">
        <v>2</v>
      </c>
      <c r="C22" s="1"/>
      <c r="D22" s="7"/>
      <c r="E22" s="21"/>
      <c r="F22" s="7"/>
      <c r="G22" s="17" t="str">
        <f t="shared" si="5"/>
        <v/>
      </c>
      <c r="H22" s="5" t="str">
        <f t="shared" ref="H22:H28" si="7">+IF(AND(G22&gt;0,F22&gt;0),G22/F22-1,"")</f>
        <v/>
      </c>
      <c r="I22" s="3">
        <f t="shared" si="6"/>
        <v>0</v>
      </c>
      <c r="J22" s="3"/>
      <c r="N22" s="61" t="s">
        <v>67</v>
      </c>
      <c r="O22" s="48">
        <f>+SUM(O20:O21)</f>
        <v>49674.485885063616</v>
      </c>
    </row>
    <row r="23" spans="2:17" x14ac:dyDescent="0.2">
      <c r="B23" s="1">
        <v>3</v>
      </c>
      <c r="C23" s="1"/>
      <c r="D23" s="7"/>
      <c r="E23" s="21"/>
      <c r="F23" s="7"/>
      <c r="G23" s="17" t="str">
        <f t="shared" si="5"/>
        <v/>
      </c>
      <c r="H23" s="5" t="str">
        <f t="shared" si="7"/>
        <v/>
      </c>
      <c r="I23" s="3">
        <f t="shared" si="6"/>
        <v>0</v>
      </c>
      <c r="J23" s="3"/>
      <c r="Q23" s="50"/>
    </row>
    <row r="24" spans="2:17" ht="15" x14ac:dyDescent="0.25">
      <c r="B24" s="1">
        <v>4</v>
      </c>
      <c r="C24" s="1"/>
      <c r="D24" s="7"/>
      <c r="E24" s="7"/>
      <c r="F24" s="7"/>
      <c r="G24" s="17" t="str">
        <f t="shared" si="5"/>
        <v/>
      </c>
      <c r="H24" s="5" t="str">
        <f t="shared" si="7"/>
        <v/>
      </c>
      <c r="I24" s="3">
        <f t="shared" si="6"/>
        <v>0</v>
      </c>
      <c r="J24" s="3"/>
      <c r="L24" s="78" t="s">
        <v>68</v>
      </c>
      <c r="M24" s="78"/>
      <c r="N24" s="78"/>
    </row>
    <row r="25" spans="2:17" ht="15" x14ac:dyDescent="0.25">
      <c r="B25" s="1">
        <v>5</v>
      </c>
      <c r="C25" s="1"/>
      <c r="D25" s="7"/>
      <c r="E25" s="7"/>
      <c r="F25" s="7"/>
      <c r="G25" s="17" t="str">
        <f t="shared" si="5"/>
        <v/>
      </c>
      <c r="H25" s="5" t="str">
        <f t="shared" si="7"/>
        <v/>
      </c>
      <c r="I25" s="3">
        <f t="shared" si="6"/>
        <v>0</v>
      </c>
      <c r="J25" s="3"/>
      <c r="L25" s="16" t="s">
        <v>27</v>
      </c>
      <c r="M25" s="76">
        <f>+SUM(L8:L16)+$D$34</f>
        <v>63281831.589400001</v>
      </c>
      <c r="N25" s="76"/>
      <c r="O25" s="48"/>
      <c r="P25" s="48"/>
    </row>
    <row r="26" spans="2:17" x14ac:dyDescent="0.2">
      <c r="B26" s="1">
        <v>6</v>
      </c>
      <c r="C26" s="1"/>
      <c r="D26" s="7"/>
      <c r="E26" s="7"/>
      <c r="F26" s="7"/>
      <c r="G26" s="17" t="str">
        <f t="shared" si="5"/>
        <v/>
      </c>
      <c r="H26" s="5" t="str">
        <f t="shared" si="7"/>
        <v/>
      </c>
      <c r="I26" s="3">
        <f t="shared" si="6"/>
        <v>0</v>
      </c>
      <c r="J26" s="3"/>
      <c r="L26" s="16" t="s">
        <v>46</v>
      </c>
      <c r="M26" s="22">
        <f>+L21/L20-1</f>
        <v>5.0337078651687683E-3</v>
      </c>
      <c r="N26" s="19">
        <f>+M26*M25</f>
        <v>318542.25339384819</v>
      </c>
      <c r="P26" s="34"/>
    </row>
    <row r="27" spans="2:17" x14ac:dyDescent="0.2">
      <c r="B27" s="1">
        <v>7</v>
      </c>
      <c r="C27" s="1"/>
      <c r="D27" s="7"/>
      <c r="E27" s="7"/>
      <c r="F27" s="7"/>
      <c r="G27" s="17" t="str">
        <f t="shared" si="5"/>
        <v/>
      </c>
      <c r="H27" s="5" t="str">
        <f t="shared" si="7"/>
        <v/>
      </c>
      <c r="I27" s="3">
        <f t="shared" si="6"/>
        <v>0</v>
      </c>
      <c r="J27" s="3"/>
      <c r="L27" s="16" t="s">
        <v>47</v>
      </c>
      <c r="M27" s="22">
        <f>+SUMPRODUCT($O$8:$O$16,$P$8:$P$16)</f>
        <v>7.8006570244104623E-4</v>
      </c>
      <c r="N27" s="68">
        <f>+M27*L17</f>
        <v>49363.9864105413</v>
      </c>
      <c r="P27" s="48"/>
    </row>
    <row r="28" spans="2:17" x14ac:dyDescent="0.2">
      <c r="B28" s="1">
        <v>8</v>
      </c>
      <c r="C28" s="1"/>
      <c r="D28" s="7"/>
      <c r="E28" s="7"/>
      <c r="F28" s="7"/>
      <c r="G28" s="17" t="str">
        <f t="shared" si="5"/>
        <v/>
      </c>
      <c r="H28" s="5" t="str">
        <f t="shared" si="7"/>
        <v/>
      </c>
      <c r="I28" s="3">
        <f t="shared" si="6"/>
        <v>0</v>
      </c>
      <c r="J28" s="3"/>
      <c r="K28" s="16"/>
      <c r="L28" s="16" t="s">
        <v>43</v>
      </c>
      <c r="M28" s="69">
        <f>+(1+M26)*(1+M27)-1</f>
        <v>5.8177001904715642E-3</v>
      </c>
      <c r="N28" s="25"/>
    </row>
    <row r="29" spans="2:17" ht="15" x14ac:dyDescent="0.25">
      <c r="B29" s="11" t="s">
        <v>40</v>
      </c>
      <c r="C29" s="11"/>
      <c r="D29" s="14"/>
      <c r="E29" s="12">
        <f>+SUM(E21:E28)</f>
        <v>0</v>
      </c>
      <c r="F29" s="13"/>
      <c r="G29" s="11"/>
      <c r="H29" s="24">
        <f>+IFERROR(SUMPRODUCT($E$21:$E$28,$H$21:$H$28)/SUMPRODUCT($E$21:$E$28),0)</f>
        <v>0</v>
      </c>
      <c r="I29" s="12">
        <f>+SUM(I21:I28)</f>
        <v>0</v>
      </c>
      <c r="J29" s="19"/>
      <c r="L29" s="16" t="s">
        <v>44</v>
      </c>
      <c r="M29" s="76">
        <f>+L17*(1+M28)+D34</f>
        <v>63649986.31309104</v>
      </c>
      <c r="N29" s="76"/>
      <c r="O29" s="48"/>
    </row>
    <row r="30" spans="2:17" x14ac:dyDescent="0.2">
      <c r="L30" s="16" t="s">
        <v>45</v>
      </c>
      <c r="M30" s="26">
        <f>+H16+I29</f>
        <v>0</v>
      </c>
      <c r="N30" s="23"/>
      <c r="P30" s="3"/>
    </row>
    <row r="31" spans="2:17" x14ac:dyDescent="0.2">
      <c r="L31" s="16" t="s">
        <v>48</v>
      </c>
      <c r="M31" s="22">
        <f>+M30/M25</f>
        <v>0</v>
      </c>
      <c r="N31" s="16"/>
      <c r="P31" s="48"/>
    </row>
    <row r="32" spans="2:17" ht="15" x14ac:dyDescent="0.25">
      <c r="E32" s="50"/>
      <c r="L32" s="16" t="s">
        <v>69</v>
      </c>
      <c r="M32" s="76">
        <f>+M25+N26+N27+M30</f>
        <v>63649737.829204395</v>
      </c>
      <c r="N32" s="76"/>
      <c r="P32" s="30"/>
    </row>
    <row r="33" spans="4:17" ht="15" x14ac:dyDescent="0.25">
      <c r="E33" s="3"/>
      <c r="F33" s="58"/>
      <c r="G33" s="57"/>
      <c r="L33" s="46" t="s">
        <v>63</v>
      </c>
      <c r="M33" s="76">
        <f>+O22/L20</f>
        <v>2480.6235148596065</v>
      </c>
      <c r="N33" s="76"/>
      <c r="P33" s="31"/>
    </row>
    <row r="34" spans="4:17" ht="15" x14ac:dyDescent="0.25">
      <c r="D34" s="3"/>
      <c r="E34" s="48"/>
      <c r="L34" s="46" t="s">
        <v>64</v>
      </c>
      <c r="M34" s="76">
        <f>+M32-M33</f>
        <v>63647257.205689535</v>
      </c>
      <c r="N34" s="76"/>
    </row>
    <row r="35" spans="4:17" ht="15" x14ac:dyDescent="0.25">
      <c r="E35" s="48"/>
      <c r="G35" s="48"/>
      <c r="L35" s="71" t="s">
        <v>72</v>
      </c>
      <c r="M35" s="72">
        <f>+M32/M25-1</f>
        <v>5.8137735676098146E-3</v>
      </c>
      <c r="N35" s="73">
        <f>+M32-M25</f>
        <v>367906.23980439454</v>
      </c>
    </row>
    <row r="36" spans="4:17" ht="15" x14ac:dyDescent="0.25">
      <c r="E36" s="48"/>
      <c r="G36" s="48"/>
      <c r="L36" s="29" t="s">
        <v>71</v>
      </c>
      <c r="M36" s="27">
        <f>+M34/M25-1</f>
        <v>5.7745739513448413E-3</v>
      </c>
      <c r="N36" s="28">
        <f>+M32-M25</f>
        <v>367906.23980439454</v>
      </c>
    </row>
    <row r="37" spans="4:17" x14ac:dyDescent="0.2">
      <c r="M37" s="66"/>
    </row>
    <row r="38" spans="4:17" x14ac:dyDescent="0.2">
      <c r="M38" s="70"/>
    </row>
    <row r="39" spans="4:17" ht="15" x14ac:dyDescent="0.25">
      <c r="E39" s="64"/>
      <c r="M39" s="34"/>
      <c r="O39" s="51"/>
      <c r="P39" s="51"/>
      <c r="Q39" s="52"/>
    </row>
    <row r="40" spans="4:17" ht="15" x14ac:dyDescent="0.25">
      <c r="E40" s="65"/>
      <c r="M40" s="33"/>
      <c r="O40" s="51"/>
      <c r="P40" s="51"/>
      <c r="Q40" s="52"/>
    </row>
    <row r="41" spans="4:17" x14ac:dyDescent="0.2">
      <c r="M41" s="67"/>
      <c r="O41" s="51"/>
      <c r="P41" s="51"/>
      <c r="Q41" s="51"/>
    </row>
    <row r="42" spans="4:17" ht="15" x14ac:dyDescent="0.25">
      <c r="O42" s="51"/>
      <c r="P42" s="51"/>
      <c r="Q42" s="52"/>
    </row>
    <row r="43" spans="4:17" ht="15" x14ac:dyDescent="0.25">
      <c r="Q43" s="52"/>
    </row>
    <row r="45" spans="4:17" x14ac:dyDescent="0.2">
      <c r="Q45" s="51"/>
    </row>
    <row r="46" spans="4:17" x14ac:dyDescent="0.2">
      <c r="Q46" s="34"/>
    </row>
    <row r="50" spans="16:22" x14ac:dyDescent="0.2">
      <c r="P50" s="51"/>
      <c r="Q50" s="4"/>
      <c r="R50" s="51"/>
      <c r="T50" s="51"/>
      <c r="U50" s="54"/>
      <c r="V50" s="34"/>
    </row>
    <row r="51" spans="16:22" x14ac:dyDescent="0.2">
      <c r="P51" s="51"/>
      <c r="Q51" s="4"/>
      <c r="R51" s="51"/>
      <c r="T51" s="51"/>
      <c r="U51" s="54"/>
      <c r="V51" s="34"/>
    </row>
    <row r="52" spans="16:22" x14ac:dyDescent="0.2">
      <c r="P52" s="51"/>
      <c r="Q52" s="4"/>
      <c r="R52" s="51"/>
      <c r="U52" s="54"/>
    </row>
    <row r="53" spans="16:22" x14ac:dyDescent="0.2">
      <c r="P53" s="51"/>
      <c r="Q53" s="4"/>
      <c r="R53" s="51"/>
      <c r="T53" s="51"/>
      <c r="U53" s="54"/>
      <c r="V53" s="34"/>
    </row>
    <row r="54" spans="16:22" ht="15" x14ac:dyDescent="0.25">
      <c r="P54" s="52"/>
    </row>
    <row r="58" spans="16:22" x14ac:dyDescent="0.2">
      <c r="P58" s="53"/>
    </row>
    <row r="59" spans="16:22" x14ac:dyDescent="0.2">
      <c r="P59" s="53"/>
    </row>
    <row r="60" spans="16:22" x14ac:dyDescent="0.2">
      <c r="P60" s="53"/>
    </row>
    <row r="61" spans="16:22" x14ac:dyDescent="0.2">
      <c r="P61" s="53"/>
    </row>
    <row r="62" spans="16:22" x14ac:dyDescent="0.2">
      <c r="P62" s="53"/>
    </row>
  </sheetData>
  <mergeCells count="11">
    <mergeCell ref="J6:P6"/>
    <mergeCell ref="M33:N33"/>
    <mergeCell ref="M34:N34"/>
    <mergeCell ref="N19:O19"/>
    <mergeCell ref="B6:H6"/>
    <mergeCell ref="M32:N32"/>
    <mergeCell ref="M29:N29"/>
    <mergeCell ref="L24:N24"/>
    <mergeCell ref="M25:N25"/>
    <mergeCell ref="B19:I19"/>
    <mergeCell ref="K19:L19"/>
  </mergeCells>
  <conditionalFormatting sqref="H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M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M36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M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M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M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N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N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M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G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N36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H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I29:J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92D07F7-5792-48B1-A782-7A4DA50EBF53}">
          <x14:formula1>
            <xm:f>'lista Lebacs'!$B$2:$B$10</xm:f>
          </x14:formula1>
          <xm:sqref>D21:D28 K8:K16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8</v>
      </c>
      <c r="B2" t="str">
        <f>+ "LEBAC "&amp;C2</f>
        <v>LEBAC 20-12-2017</v>
      </c>
      <c r="C2" t="s">
        <v>18</v>
      </c>
      <c r="D2" t="str">
        <f ca="1">IF(TODAY()&gt;=C2,"Vencida","Vigente")</f>
        <v>Vigente</v>
      </c>
    </row>
    <row r="3" spans="1:4" x14ac:dyDescent="0.2">
      <c r="A3" t="s">
        <v>9</v>
      </c>
      <c r="B3" t="str">
        <f t="shared" ref="B3:B10" si="0">+ "LEBAC "&amp;C3</f>
        <v>LEBAC 17-01-2018</v>
      </c>
      <c r="C3" t="s">
        <v>19</v>
      </c>
      <c r="D3" t="str">
        <f t="shared" ref="D3:D10" ca="1" si="1">IF(TODAY()&gt;=C3,"Vencida","Vigente")</f>
        <v>Vigente</v>
      </c>
    </row>
    <row r="4" spans="1:4" x14ac:dyDescent="0.2">
      <c r="A4" t="s">
        <v>10</v>
      </c>
      <c r="B4" t="str">
        <f t="shared" si="0"/>
        <v>LEBAC 21-02-2018</v>
      </c>
      <c r="C4" t="s">
        <v>20</v>
      </c>
      <c r="D4" t="str">
        <f t="shared" ca="1" si="1"/>
        <v>Vigente</v>
      </c>
    </row>
    <row r="5" spans="1:4" x14ac:dyDescent="0.2">
      <c r="A5" t="s">
        <v>11</v>
      </c>
      <c r="B5" t="str">
        <f t="shared" si="0"/>
        <v>LEBAC 21-03-2018</v>
      </c>
      <c r="C5" t="s">
        <v>21</v>
      </c>
      <c r="D5" t="str">
        <f t="shared" ca="1" si="1"/>
        <v>Vigente</v>
      </c>
    </row>
    <row r="6" spans="1:4" x14ac:dyDescent="0.2">
      <c r="A6" t="s">
        <v>12</v>
      </c>
      <c r="B6" t="str">
        <f t="shared" si="0"/>
        <v>LEBAC 18-04-2018</v>
      </c>
      <c r="C6" t="s">
        <v>22</v>
      </c>
      <c r="D6" t="str">
        <f t="shared" ca="1" si="1"/>
        <v>Vigente</v>
      </c>
    </row>
    <row r="7" spans="1:4" x14ac:dyDescent="0.2">
      <c r="A7" t="s">
        <v>13</v>
      </c>
      <c r="B7" t="str">
        <f t="shared" si="0"/>
        <v>LEBAC 16-05-2018</v>
      </c>
      <c r="C7" t="s">
        <v>23</v>
      </c>
      <c r="D7" t="str">
        <f t="shared" ca="1" si="1"/>
        <v>Vigente</v>
      </c>
    </row>
    <row r="8" spans="1:4" x14ac:dyDescent="0.2">
      <c r="A8" t="s">
        <v>14</v>
      </c>
      <c r="B8" t="str">
        <f t="shared" si="0"/>
        <v>LEBAC 21-06-2018</v>
      </c>
      <c r="C8" t="s">
        <v>24</v>
      </c>
      <c r="D8" t="str">
        <f t="shared" ca="1" si="1"/>
        <v>Vigente</v>
      </c>
    </row>
    <row r="9" spans="1:4" x14ac:dyDescent="0.2">
      <c r="A9" t="s">
        <v>15</v>
      </c>
      <c r="B9" t="str">
        <f t="shared" si="0"/>
        <v>LEBAC 18-07-2018</v>
      </c>
      <c r="C9" t="s">
        <v>25</v>
      </c>
      <c r="D9" t="str">
        <f t="shared" ca="1" si="1"/>
        <v>Vigente</v>
      </c>
    </row>
    <row r="10" spans="1:4" x14ac:dyDescent="0.2">
      <c r="A10" t="s">
        <v>16</v>
      </c>
      <c r="B10" t="str">
        <f t="shared" si="0"/>
        <v>LEBAC 15-08-2018</v>
      </c>
      <c r="C10" t="s">
        <v>26</v>
      </c>
      <c r="D10" t="str">
        <f t="shared" ca="1" si="1"/>
        <v>Vigente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B1D5-2E05-4A00-AEE4-BE34B9DE4B9A}">
  <sheetPr codeName="Hoja1"/>
  <dimension ref="A1:AB70"/>
  <sheetViews>
    <sheetView workbookViewId="0">
      <selection activeCell="L15" sqref="L15:L46"/>
    </sheetView>
  </sheetViews>
  <sheetFormatPr baseColWidth="10" defaultRowHeight="14.25" x14ac:dyDescent="0.2"/>
  <cols>
    <col min="1" max="1" width="14.875" bestFit="1" customWidth="1"/>
    <col min="3" max="3" width="13" bestFit="1" customWidth="1"/>
    <col min="9" max="9" width="10.125" bestFit="1" customWidth="1"/>
    <col min="10" max="10" width="12.25" bestFit="1" customWidth="1"/>
    <col min="11" max="11" width="8.25" bestFit="1" customWidth="1"/>
    <col min="12" max="12" width="11.875" bestFit="1" customWidth="1"/>
    <col min="13" max="13" width="21.625" bestFit="1" customWidth="1"/>
    <col min="14" max="14" width="22.375" bestFit="1" customWidth="1"/>
    <col min="16" max="17" width="14.875" bestFit="1" customWidth="1"/>
  </cols>
  <sheetData>
    <row r="1" spans="1:28" x14ac:dyDescent="0.2">
      <c r="A1" t="s">
        <v>51</v>
      </c>
      <c r="B1" t="s">
        <v>50</v>
      </c>
      <c r="C1" t="s">
        <v>53</v>
      </c>
      <c r="E1" t="s">
        <v>51</v>
      </c>
      <c r="F1" t="s">
        <v>54</v>
      </c>
      <c r="H1" s="1" t="s">
        <v>51</v>
      </c>
      <c r="I1" s="1" t="s">
        <v>46</v>
      </c>
      <c r="J1" s="1" t="s">
        <v>55</v>
      </c>
      <c r="K1" s="1" t="s">
        <v>56</v>
      </c>
      <c r="L1" s="1" t="s">
        <v>59</v>
      </c>
      <c r="M1" s="1" t="s">
        <v>57</v>
      </c>
      <c r="N1" s="1"/>
    </row>
    <row r="2" spans="1:28" x14ac:dyDescent="0.2">
      <c r="A2" s="32">
        <v>43075</v>
      </c>
      <c r="B2" s="33">
        <v>1000</v>
      </c>
      <c r="C2" t="s">
        <v>52</v>
      </c>
      <c r="E2" s="32">
        <v>43075</v>
      </c>
      <c r="F2" s="33">
        <v>17.286200000000001</v>
      </c>
      <c r="H2" s="35">
        <f>+E2</f>
        <v>43075</v>
      </c>
      <c r="I2" s="1" t="s">
        <v>52</v>
      </c>
      <c r="J2" s="1" t="str">
        <f t="shared" ref="J2:J13" si="0">+VLOOKUP(E2,$A$2:$C$22,3,FALSE)</f>
        <v>-</v>
      </c>
      <c r="K2" s="36">
        <f>+(1+0.4%)^(1/365)-1</f>
        <v>1.0937104383712537E-5</v>
      </c>
      <c r="L2" s="38">
        <v>100</v>
      </c>
      <c r="M2" s="38">
        <v>100</v>
      </c>
      <c r="P2" s="47"/>
    </row>
    <row r="3" spans="1:28" x14ac:dyDescent="0.2">
      <c r="A3" s="32">
        <v>43076</v>
      </c>
      <c r="B3" s="33">
        <v>1002.5027</v>
      </c>
      <c r="C3" s="4">
        <f>+B3/B2-1</f>
        <v>2.5026999999999688E-3</v>
      </c>
      <c r="E3" s="32">
        <v>43076</v>
      </c>
      <c r="F3" s="33">
        <v>17.305800000000001</v>
      </c>
      <c r="H3" s="35">
        <f t="shared" ref="H3:H13" si="1">+E3</f>
        <v>43076</v>
      </c>
      <c r="I3" s="37">
        <f>+F2/F3-1</f>
        <v>-1.1325682719088848E-3</v>
      </c>
      <c r="J3" s="37">
        <f t="shared" si="0"/>
        <v>2.5026999999999688E-3</v>
      </c>
      <c r="K3" s="36">
        <f t="shared" ref="K3:K46" si="2">+(1+0.4%)^(1/365)-1</f>
        <v>1.0937104383712537E-5</v>
      </c>
      <c r="L3" s="38">
        <f>+L2*(1+I3)</f>
        <v>99.886743172809105</v>
      </c>
      <c r="M3" s="38">
        <f>+M2*(1+J3+K3)</f>
        <v>100.25136371043837</v>
      </c>
      <c r="P3" s="47"/>
    </row>
    <row r="4" spans="1:28" x14ac:dyDescent="0.2">
      <c r="A4" s="32">
        <v>43077</v>
      </c>
      <c r="B4" s="33">
        <v>1002.4917</v>
      </c>
      <c r="C4" s="4">
        <f t="shared" ref="C4:C67" si="3">+B4/B3-1</f>
        <v>-1.0972539026599115E-5</v>
      </c>
      <c r="E4" s="32">
        <v>43080</v>
      </c>
      <c r="F4" s="33">
        <v>17.2697</v>
      </c>
      <c r="H4" s="35">
        <f t="shared" si="1"/>
        <v>43080</v>
      </c>
      <c r="I4" s="37">
        <f t="shared" ref="I4:I46" si="4">+F3/F4-1</f>
        <v>2.0903663642102277E-3</v>
      </c>
      <c r="J4" s="37">
        <f t="shared" si="0"/>
        <v>3.3008478959513088E-3</v>
      </c>
      <c r="K4" s="36">
        <f t="shared" si="2"/>
        <v>1.0937104383712537E-5</v>
      </c>
      <c r="L4" s="38">
        <f t="shared" ref="L4:L46" si="5">+L3*(1+I4)</f>
        <v>100.09554306096805</v>
      </c>
      <c r="M4" s="38">
        <f t="shared" ref="M4:M46" si="6">+M3*(1+J4+K4)</f>
        <v>100.58337467303772</v>
      </c>
      <c r="N4" s="4"/>
      <c r="P4" s="47"/>
    </row>
    <row r="5" spans="1:28" x14ac:dyDescent="0.2">
      <c r="A5" s="32">
        <v>43078</v>
      </c>
      <c r="B5" s="33">
        <v>1002.4807</v>
      </c>
      <c r="C5" s="4">
        <f t="shared" si="3"/>
        <v>-1.0972659424623998E-5</v>
      </c>
      <c r="E5" s="32">
        <v>43081</v>
      </c>
      <c r="F5" s="33">
        <v>17.263500000000001</v>
      </c>
      <c r="H5" s="35">
        <f t="shared" si="1"/>
        <v>43081</v>
      </c>
      <c r="I5" s="37">
        <f t="shared" si="4"/>
        <v>3.591392243751379E-4</v>
      </c>
      <c r="J5" s="37">
        <f t="shared" si="0"/>
        <v>9.9912634856957894E-4</v>
      </c>
      <c r="K5" s="36">
        <f t="shared" si="2"/>
        <v>1.0937104383712537E-5</v>
      </c>
      <c r="L5" s="38">
        <f t="shared" si="5"/>
        <v>100.13149129666638</v>
      </c>
      <c r="M5" s="38">
        <f t="shared" si="6"/>
        <v>100.68497026376967</v>
      </c>
      <c r="N5" s="4"/>
      <c r="P5" s="47"/>
    </row>
    <row r="6" spans="1:28" x14ac:dyDescent="0.2">
      <c r="A6" s="32">
        <v>43079</v>
      </c>
      <c r="B6" s="33">
        <v>1002.4697</v>
      </c>
      <c r="C6" s="4">
        <f t="shared" si="3"/>
        <v>-1.0972779825091372E-5</v>
      </c>
      <c r="E6" s="32">
        <v>43082</v>
      </c>
      <c r="F6" s="33">
        <v>17.315000000000001</v>
      </c>
      <c r="H6" s="35">
        <f t="shared" si="1"/>
        <v>43082</v>
      </c>
      <c r="I6" s="37">
        <f t="shared" si="4"/>
        <v>-2.9742997401097648E-3</v>
      </c>
      <c r="J6" s="37">
        <f t="shared" si="0"/>
        <v>-2.4221689745442809E-3</v>
      </c>
      <c r="K6" s="36">
        <f t="shared" si="2"/>
        <v>1.0937104383712537E-5</v>
      </c>
      <c r="L6" s="38">
        <f t="shared" si="5"/>
        <v>99.833670228125911</v>
      </c>
      <c r="M6" s="38">
        <f t="shared" si="6"/>
        <v>100.4421954546235</v>
      </c>
      <c r="N6" s="4"/>
      <c r="P6" s="47"/>
    </row>
    <row r="7" spans="1:28" x14ac:dyDescent="0.2">
      <c r="A7" s="32">
        <v>43080</v>
      </c>
      <c r="B7" s="33">
        <v>1005.7787</v>
      </c>
      <c r="C7" s="4">
        <f t="shared" si="3"/>
        <v>3.3008478959513088E-3</v>
      </c>
      <c r="E7" s="32">
        <v>43083</v>
      </c>
      <c r="F7" s="33">
        <v>17.3567</v>
      </c>
      <c r="H7" s="35">
        <f t="shared" si="1"/>
        <v>43083</v>
      </c>
      <c r="I7" s="37">
        <f t="shared" si="4"/>
        <v>-2.4025304349328813E-3</v>
      </c>
      <c r="J7" s="37">
        <f t="shared" si="0"/>
        <v>-1.4356620483997329E-3</v>
      </c>
      <c r="K7" s="36">
        <f t="shared" si="2"/>
        <v>1.0937104383712537E-5</v>
      </c>
      <c r="L7" s="38">
        <f t="shared" si="5"/>
        <v>99.59381679697178</v>
      </c>
      <c r="M7" s="38">
        <f t="shared" si="6"/>
        <v>100.29909295332757</v>
      </c>
      <c r="N7" s="39"/>
      <c r="P7" s="47"/>
    </row>
    <row r="8" spans="1:28" x14ac:dyDescent="0.2">
      <c r="A8" s="32">
        <v>43081</v>
      </c>
      <c r="B8" s="33">
        <v>1006.7836</v>
      </c>
      <c r="C8" s="4">
        <f t="shared" si="3"/>
        <v>9.9912634856957894E-4</v>
      </c>
      <c r="E8" s="32">
        <v>43084</v>
      </c>
      <c r="F8" s="33">
        <v>17.5517</v>
      </c>
      <c r="H8" s="35">
        <f t="shared" si="1"/>
        <v>43084</v>
      </c>
      <c r="I8" s="37">
        <f t="shared" si="4"/>
        <v>-1.1110034925391865E-2</v>
      </c>
      <c r="J8" s="37">
        <f t="shared" si="0"/>
        <v>-8.3354014959171607E-3</v>
      </c>
      <c r="K8" s="36">
        <f t="shared" si="2"/>
        <v>1.0937104383712537E-5</v>
      </c>
      <c r="L8" s="38">
        <f t="shared" si="5"/>
        <v>98.487326014004339</v>
      </c>
      <c r="M8" s="38">
        <f t="shared" si="6"/>
        <v>99.464156725534494</v>
      </c>
      <c r="N8" s="4"/>
      <c r="P8" s="47"/>
    </row>
    <row r="9" spans="1:28" x14ac:dyDescent="0.2">
      <c r="A9" s="32">
        <v>43082</v>
      </c>
      <c r="B9" s="33">
        <v>1004.345</v>
      </c>
      <c r="C9" s="4">
        <f t="shared" si="3"/>
        <v>-2.4221689745442809E-3</v>
      </c>
      <c r="E9" s="32">
        <v>43087</v>
      </c>
      <c r="F9" s="33">
        <v>17.5642</v>
      </c>
      <c r="H9" s="35">
        <f t="shared" si="1"/>
        <v>43087</v>
      </c>
      <c r="I9" s="37">
        <f t="shared" si="4"/>
        <v>-7.1167488413925728E-4</v>
      </c>
      <c r="J9" s="37">
        <f t="shared" si="0"/>
        <v>9.7695203634073913E-4</v>
      </c>
      <c r="K9" s="36">
        <f t="shared" si="2"/>
        <v>1.0937104383712537E-5</v>
      </c>
      <c r="L9" s="38">
        <f t="shared" si="5"/>
        <v>98.417235057674134</v>
      </c>
      <c r="M9" s="38">
        <f t="shared" si="6"/>
        <v>99.562416285854965</v>
      </c>
      <c r="N9" s="4"/>
      <c r="P9" s="47"/>
    </row>
    <row r="10" spans="1:28" x14ac:dyDescent="0.2">
      <c r="A10" s="32">
        <v>43083</v>
      </c>
      <c r="B10" s="33">
        <v>1002.9031</v>
      </c>
      <c r="C10" s="4">
        <f t="shared" si="3"/>
        <v>-1.4356620483997329E-3</v>
      </c>
      <c r="E10" s="32">
        <v>43088</v>
      </c>
      <c r="F10" s="33">
        <v>17.565799999999999</v>
      </c>
      <c r="H10" s="35">
        <f t="shared" si="1"/>
        <v>43088</v>
      </c>
      <c r="I10" s="37">
        <f t="shared" si="4"/>
        <v>-9.1086087738667665E-5</v>
      </c>
      <c r="J10" s="37">
        <f t="shared" si="0"/>
        <v>-9.4023736774473399E-5</v>
      </c>
      <c r="K10" s="36">
        <f t="shared" si="2"/>
        <v>1.0937104383712537E-5</v>
      </c>
      <c r="L10" s="38">
        <f t="shared" si="5"/>
        <v>98.408270616766671</v>
      </c>
      <c r="M10" s="38">
        <f t="shared" si="6"/>
        <v>99.554143979973091</v>
      </c>
      <c r="N10" s="4"/>
      <c r="P10" s="47"/>
    </row>
    <row r="11" spans="1:28" x14ac:dyDescent="0.2">
      <c r="A11" s="32">
        <v>43084</v>
      </c>
      <c r="B11" s="33">
        <v>994.54349999999999</v>
      </c>
      <c r="C11" s="4">
        <f t="shared" si="3"/>
        <v>-8.3354014959171607E-3</v>
      </c>
      <c r="E11" s="32">
        <v>43089</v>
      </c>
      <c r="F11" s="33">
        <v>17.780799999999999</v>
      </c>
      <c r="H11" s="35">
        <f t="shared" si="1"/>
        <v>43089</v>
      </c>
      <c r="I11" s="37">
        <f t="shared" si="4"/>
        <v>-1.2091694411950016E-2</v>
      </c>
      <c r="J11" s="37">
        <f t="shared" si="0"/>
        <v>-1.1450676547320682E-2</v>
      </c>
      <c r="K11" s="36">
        <f t="shared" si="2"/>
        <v>1.0937104383712537E-5</v>
      </c>
      <c r="L11" s="38">
        <f t="shared" si="5"/>
        <v>97.21834788086025</v>
      </c>
      <c r="M11" s="38">
        <f t="shared" si="6"/>
        <v>98.41527051237756</v>
      </c>
      <c r="N11" s="4"/>
      <c r="P11" s="47"/>
      <c r="Q11" s="47">
        <v>43102</v>
      </c>
      <c r="R11" t="s">
        <v>75</v>
      </c>
      <c r="S11" t="s">
        <v>76</v>
      </c>
      <c r="T11">
        <v>954.49480000000005</v>
      </c>
      <c r="U11">
        <v>29236062.9637</v>
      </c>
      <c r="W11" s="47">
        <v>43102</v>
      </c>
      <c r="X11" s="32">
        <v>43102</v>
      </c>
      <c r="Z11" s="74">
        <v>0.5</v>
      </c>
      <c r="AA11" t="s">
        <v>77</v>
      </c>
      <c r="AB11" t="s">
        <v>78</v>
      </c>
    </row>
    <row r="12" spans="1:28" x14ac:dyDescent="0.2">
      <c r="A12" s="32">
        <v>43085</v>
      </c>
      <c r="B12" s="33">
        <v>994.5326</v>
      </c>
      <c r="C12" s="4">
        <f t="shared" si="3"/>
        <v>-1.0959802160481757E-5</v>
      </c>
      <c r="E12" s="32">
        <v>43090</v>
      </c>
      <c r="F12" s="33">
        <v>17.87</v>
      </c>
      <c r="H12" s="35">
        <f t="shared" si="1"/>
        <v>43090</v>
      </c>
      <c r="I12" s="37">
        <f t="shared" si="4"/>
        <v>-4.9916060436486775E-3</v>
      </c>
      <c r="J12" s="37">
        <f t="shared" si="0"/>
        <v>-3.9236720830868599E-3</v>
      </c>
      <c r="K12" s="36">
        <f t="shared" si="2"/>
        <v>1.0937104383712537E-5</v>
      </c>
      <c r="L12" s="38">
        <f t="shared" si="5"/>
        <v>96.733072188024607</v>
      </c>
      <c r="M12" s="38">
        <f t="shared" si="6"/>
        <v>98.030197641005245</v>
      </c>
      <c r="N12" s="4"/>
      <c r="P12" s="47"/>
      <c r="Q12" s="47">
        <v>43103</v>
      </c>
      <c r="R12" t="s">
        <v>75</v>
      </c>
      <c r="S12" t="s">
        <v>76</v>
      </c>
      <c r="T12">
        <v>962.24199999999996</v>
      </c>
      <c r="U12">
        <v>29473357.584899999</v>
      </c>
      <c r="W12" s="47">
        <v>43103</v>
      </c>
      <c r="X12" s="32">
        <v>43103</v>
      </c>
      <c r="Z12" s="74">
        <v>0.5</v>
      </c>
      <c r="AA12" t="s">
        <v>77</v>
      </c>
      <c r="AB12" t="s">
        <v>78</v>
      </c>
    </row>
    <row r="13" spans="1:28" x14ac:dyDescent="0.2">
      <c r="A13" s="32">
        <v>43086</v>
      </c>
      <c r="B13" s="33">
        <v>994.52170000000001</v>
      </c>
      <c r="C13" s="4">
        <f t="shared" si="3"/>
        <v>-1.0959922279063505E-5</v>
      </c>
      <c r="E13" s="32">
        <v>43091</v>
      </c>
      <c r="F13" s="33">
        <v>18.0108</v>
      </c>
      <c r="H13" s="35">
        <f t="shared" si="1"/>
        <v>43091</v>
      </c>
      <c r="I13" s="37">
        <f t="shared" si="4"/>
        <v>-7.817531703200209E-3</v>
      </c>
      <c r="J13" s="37">
        <f t="shared" si="0"/>
        <v>-4.5980128569282908E-3</v>
      </c>
      <c r="K13" s="36">
        <f t="shared" si="2"/>
        <v>1.0937104383712537E-5</v>
      </c>
      <c r="L13" s="38">
        <f t="shared" si="5"/>
        <v>95.97685832944677</v>
      </c>
      <c r="M13" s="38">
        <f t="shared" si="6"/>
        <v>97.580525698389039</v>
      </c>
      <c r="N13" s="4"/>
      <c r="P13" s="47"/>
      <c r="Q13" s="47">
        <v>43104</v>
      </c>
      <c r="R13" t="s">
        <v>75</v>
      </c>
      <c r="S13" t="s">
        <v>76</v>
      </c>
      <c r="T13">
        <v>953.06410000000005</v>
      </c>
      <c r="U13">
        <v>29192240.9553</v>
      </c>
      <c r="W13" s="47">
        <v>43104</v>
      </c>
      <c r="X13" s="32">
        <v>43104</v>
      </c>
      <c r="Z13" s="74">
        <v>0.5</v>
      </c>
      <c r="AA13" t="s">
        <v>77</v>
      </c>
      <c r="AB13" t="s">
        <v>78</v>
      </c>
    </row>
    <row r="14" spans="1:28" x14ac:dyDescent="0.2">
      <c r="A14" s="32">
        <v>43087</v>
      </c>
      <c r="B14" s="33">
        <v>995.49329999999998</v>
      </c>
      <c r="C14" s="4">
        <f t="shared" si="3"/>
        <v>9.7695203634073913E-4</v>
      </c>
      <c r="E14" s="32">
        <v>43095</v>
      </c>
      <c r="F14" s="33">
        <v>18.249500000000001</v>
      </c>
      <c r="H14" s="35">
        <f>+E14</f>
        <v>43095</v>
      </c>
      <c r="I14" s="37">
        <f t="shared" si="4"/>
        <v>-1.3079810405764669E-2</v>
      </c>
      <c r="J14" s="37">
        <f>+VLOOKUP(E14,$A$2:$C$44,3,FALSE)</f>
        <v>-1.1822443988429687E-2</v>
      </c>
      <c r="K14" s="36">
        <f t="shared" si="2"/>
        <v>1.0937104383712537E-5</v>
      </c>
      <c r="L14" s="38">
        <f t="shared" si="5"/>
        <v>94.721499219156669</v>
      </c>
      <c r="M14" s="38">
        <f t="shared" si="6"/>
        <v>96.427952647353692</v>
      </c>
      <c r="N14" s="34"/>
      <c r="P14" s="47"/>
      <c r="Q14" s="47">
        <v>43105</v>
      </c>
      <c r="R14" t="s">
        <v>75</v>
      </c>
      <c r="S14" t="s">
        <v>76</v>
      </c>
      <c r="T14">
        <v>942.33720000000005</v>
      </c>
      <c r="U14">
        <v>28863675.909499999</v>
      </c>
      <c r="W14" s="47">
        <v>43105</v>
      </c>
      <c r="X14" s="32">
        <v>43105</v>
      </c>
      <c r="Z14" s="74">
        <v>0.5</v>
      </c>
      <c r="AA14" t="s">
        <v>77</v>
      </c>
      <c r="AB14" t="s">
        <v>78</v>
      </c>
    </row>
    <row r="15" spans="1:28" x14ac:dyDescent="0.2">
      <c r="A15" s="32">
        <v>43088</v>
      </c>
      <c r="B15" s="33">
        <v>995.39970000000005</v>
      </c>
      <c r="C15" s="4">
        <f t="shared" si="3"/>
        <v>-9.4023736774473399E-5</v>
      </c>
      <c r="E15" s="32">
        <v>43096</v>
      </c>
      <c r="F15" s="33">
        <v>18.434999999999999</v>
      </c>
      <c r="H15" s="35">
        <f t="shared" ref="H15:H17" si="7">+E15</f>
        <v>43096</v>
      </c>
      <c r="I15" s="37">
        <f t="shared" si="4"/>
        <v>-1.0062381339842608E-2</v>
      </c>
      <c r="J15" s="37">
        <f t="shared" ref="J15:J29" si="8">+VLOOKUP(E15,$A$2:$C$44,3,FALSE)</f>
        <v>-9.2965433973536404E-3</v>
      </c>
      <c r="K15" s="36">
        <f t="shared" si="2"/>
        <v>1.0937104383712537E-5</v>
      </c>
      <c r="L15" s="38">
        <f t="shared" si="5"/>
        <v>93.768375372931914</v>
      </c>
      <c r="M15" s="38">
        <f t="shared" si="6"/>
        <v>95.532560643433214</v>
      </c>
      <c r="P15" s="47"/>
      <c r="Q15" s="47">
        <v>43106</v>
      </c>
      <c r="R15" t="s">
        <v>75</v>
      </c>
      <c r="S15" t="s">
        <v>76</v>
      </c>
      <c r="T15">
        <v>942.32690000000002</v>
      </c>
      <c r="U15">
        <v>28863360.422600001</v>
      </c>
      <c r="W15" s="47">
        <v>43106</v>
      </c>
      <c r="X15" s="32">
        <v>43106</v>
      </c>
      <c r="Z15" s="74">
        <v>0.5</v>
      </c>
      <c r="AA15" t="s">
        <v>77</v>
      </c>
      <c r="AB15" t="s">
        <v>78</v>
      </c>
    </row>
    <row r="16" spans="1:28" x14ac:dyDescent="0.2">
      <c r="A16" s="32">
        <v>43089</v>
      </c>
      <c r="B16" s="33">
        <v>984.00170000000003</v>
      </c>
      <c r="C16" s="4">
        <f t="shared" si="3"/>
        <v>-1.1450676547320682E-2</v>
      </c>
      <c r="E16" s="32">
        <v>43097</v>
      </c>
      <c r="F16" s="33">
        <v>18.829999999999998</v>
      </c>
      <c r="H16" s="35">
        <f t="shared" si="7"/>
        <v>43097</v>
      </c>
      <c r="I16" s="37">
        <f t="shared" si="4"/>
        <v>-2.0977164099840628E-2</v>
      </c>
      <c r="J16" s="37">
        <f t="shared" si="8"/>
        <v>-2.0017683910311557E-2</v>
      </c>
      <c r="K16" s="36">
        <f t="shared" si="2"/>
        <v>1.0937104383712537E-5</v>
      </c>
      <c r="L16" s="38">
        <f t="shared" si="5"/>
        <v>91.801380775358467</v>
      </c>
      <c r="M16" s="38">
        <f t="shared" si="6"/>
        <v>93.621264890918098</v>
      </c>
      <c r="P16" s="47"/>
      <c r="Q16" s="47">
        <v>43107</v>
      </c>
      <c r="R16" t="s">
        <v>75</v>
      </c>
      <c r="S16" t="s">
        <v>76</v>
      </c>
      <c r="T16">
        <v>942.31659999999999</v>
      </c>
      <c r="U16">
        <v>28863044.947000001</v>
      </c>
      <c r="W16" s="47">
        <v>43107</v>
      </c>
      <c r="X16" s="32">
        <v>43107</v>
      </c>
      <c r="Z16" s="74">
        <v>0.5</v>
      </c>
      <c r="AA16" t="s">
        <v>77</v>
      </c>
      <c r="AB16" t="s">
        <v>78</v>
      </c>
    </row>
    <row r="17" spans="1:28" x14ac:dyDescent="0.2">
      <c r="A17" s="32">
        <v>43090</v>
      </c>
      <c r="B17" s="33">
        <v>980.14080000000001</v>
      </c>
      <c r="C17" s="4">
        <f t="shared" si="3"/>
        <v>-3.9236720830868599E-3</v>
      </c>
      <c r="E17" s="32">
        <v>43098</v>
      </c>
      <c r="F17" s="33">
        <v>18.7742</v>
      </c>
      <c r="H17" s="35">
        <f t="shared" si="7"/>
        <v>43098</v>
      </c>
      <c r="I17" s="37">
        <f t="shared" si="4"/>
        <v>2.9721639270912092E-3</v>
      </c>
      <c r="J17" s="37">
        <f t="shared" si="8"/>
        <v>6.0547881833765693E-3</v>
      </c>
      <c r="K17" s="36">
        <f t="shared" si="2"/>
        <v>1.0937104383712537E-5</v>
      </c>
      <c r="L17" s="38">
        <f t="shared" si="5"/>
        <v>92.074229527756145</v>
      </c>
      <c r="M17" s="38">
        <f t="shared" si="6"/>
        <v>94.18914576483904</v>
      </c>
      <c r="P17" s="47"/>
      <c r="Q17" s="47">
        <v>43108</v>
      </c>
      <c r="R17" t="s">
        <v>75</v>
      </c>
      <c r="S17" t="s">
        <v>76</v>
      </c>
      <c r="T17">
        <v>932.53049999999996</v>
      </c>
      <c r="U17">
        <v>28563298.002500001</v>
      </c>
      <c r="W17" s="47">
        <v>43108</v>
      </c>
      <c r="X17" s="32">
        <v>43108</v>
      </c>
      <c r="Z17" s="74">
        <v>0.5</v>
      </c>
      <c r="AA17" t="s">
        <v>77</v>
      </c>
      <c r="AB17" t="s">
        <v>78</v>
      </c>
    </row>
    <row r="18" spans="1:28" x14ac:dyDescent="0.2">
      <c r="A18" s="32">
        <v>43091</v>
      </c>
      <c r="B18" s="33">
        <v>975.63409999999999</v>
      </c>
      <c r="C18" s="4">
        <f t="shared" si="3"/>
        <v>-4.5980128569282908E-3</v>
      </c>
      <c r="E18" s="32">
        <v>43102</v>
      </c>
      <c r="F18">
        <v>18.55</v>
      </c>
      <c r="H18" s="35">
        <v>43102</v>
      </c>
      <c r="I18" s="37">
        <f t="shared" si="4"/>
        <v>1.2086253369272271E-2</v>
      </c>
      <c r="J18" s="37">
        <f t="shared" si="8"/>
        <v>1.36701249874287E-2</v>
      </c>
      <c r="K18" s="36">
        <f t="shared" si="2"/>
        <v>1.0937104383712537E-5</v>
      </c>
      <c r="L18" s="38">
        <f t="shared" si="5"/>
        <v>93.187061994609138</v>
      </c>
      <c r="M18" s="38">
        <f t="shared" si="6"/>
        <v>95.477753316422579</v>
      </c>
      <c r="P18" s="47"/>
      <c r="Q18" s="47">
        <v>43109</v>
      </c>
      <c r="R18" t="s">
        <v>75</v>
      </c>
      <c r="S18" t="s">
        <v>76</v>
      </c>
      <c r="T18">
        <v>934.69150000000002</v>
      </c>
      <c r="U18">
        <v>37629489.158</v>
      </c>
      <c r="W18" s="47">
        <v>43109</v>
      </c>
      <c r="X18" s="32">
        <v>43109</v>
      </c>
      <c r="Z18" s="74">
        <v>0.5</v>
      </c>
      <c r="AA18" t="s">
        <v>77</v>
      </c>
      <c r="AB18" t="s">
        <v>78</v>
      </c>
    </row>
    <row r="19" spans="1:28" x14ac:dyDescent="0.2">
      <c r="A19" s="32">
        <v>43092</v>
      </c>
      <c r="B19" s="33">
        <v>975.62339999999995</v>
      </c>
      <c r="C19" s="4">
        <f t="shared" si="3"/>
        <v>-1.0967226340308223E-5</v>
      </c>
      <c r="E19" s="32">
        <v>43103</v>
      </c>
      <c r="F19">
        <v>18.415800000000001</v>
      </c>
      <c r="H19" s="35">
        <v>43103</v>
      </c>
      <c r="I19" s="37">
        <f t="shared" si="4"/>
        <v>7.2872207560898961E-3</v>
      </c>
      <c r="J19" s="37">
        <f t="shared" si="8"/>
        <v>8.1165450037024023E-3</v>
      </c>
      <c r="K19" s="36">
        <f t="shared" si="2"/>
        <v>1.0937104383712537E-5</v>
      </c>
      <c r="L19" s="38">
        <f t="shared" si="5"/>
        <v>93.866136686975295</v>
      </c>
      <c r="M19" s="38">
        <f t="shared" si="6"/>
        <v>96.253747048222067</v>
      </c>
      <c r="N19" s="40"/>
      <c r="O19" s="40"/>
      <c r="P19" s="47"/>
      <c r="Q19" s="47">
        <v>43110</v>
      </c>
      <c r="R19" t="s">
        <v>75</v>
      </c>
      <c r="S19" t="s">
        <v>76</v>
      </c>
      <c r="T19">
        <v>951.59079999999994</v>
      </c>
      <c r="U19">
        <v>38309833.355999999</v>
      </c>
      <c r="W19" s="47">
        <v>43110</v>
      </c>
      <c r="X19" s="32">
        <v>43110</v>
      </c>
      <c r="Z19" s="74">
        <v>0.5</v>
      </c>
      <c r="AA19" t="s">
        <v>77</v>
      </c>
      <c r="AB19" t="s">
        <v>78</v>
      </c>
    </row>
    <row r="20" spans="1:28" ht="15" x14ac:dyDescent="0.25">
      <c r="A20" s="32">
        <v>43093</v>
      </c>
      <c r="B20" s="33">
        <v>975.61270000000002</v>
      </c>
      <c r="C20" s="4">
        <f t="shared" si="3"/>
        <v>-1.0967346621537644E-5</v>
      </c>
      <c r="E20" s="32">
        <v>43104</v>
      </c>
      <c r="F20">
        <v>18.605</v>
      </c>
      <c r="H20" s="35">
        <v>43104</v>
      </c>
      <c r="I20" s="37">
        <f t="shared" si="4"/>
        <v>-1.0169309325450127E-2</v>
      </c>
      <c r="J20" s="37">
        <f t="shared" si="8"/>
        <v>-9.5380372089348686E-3</v>
      </c>
      <c r="K20" s="36">
        <f t="shared" si="2"/>
        <v>1.0937104383712537E-5</v>
      </c>
      <c r="L20" s="38">
        <f t="shared" si="5"/>
        <v>92.91158290782046</v>
      </c>
      <c r="M20" s="38">
        <f t="shared" si="6"/>
        <v>95.336727964655509</v>
      </c>
      <c r="N20" s="79" t="s">
        <v>60</v>
      </c>
      <c r="O20" s="80"/>
      <c r="P20" s="47"/>
      <c r="Q20" s="47">
        <v>43111</v>
      </c>
      <c r="R20" t="s">
        <v>75</v>
      </c>
      <c r="S20" t="s">
        <v>76</v>
      </c>
      <c r="T20">
        <v>955.76020000000005</v>
      </c>
      <c r="U20">
        <v>38477688.166599996</v>
      </c>
      <c r="W20" s="47">
        <v>43111</v>
      </c>
      <c r="X20" s="32">
        <v>43111</v>
      </c>
      <c r="Z20" s="74">
        <v>0.5</v>
      </c>
      <c r="AA20" t="s">
        <v>77</v>
      </c>
      <c r="AB20" t="s">
        <v>78</v>
      </c>
    </row>
    <row r="21" spans="1:28" x14ac:dyDescent="0.2">
      <c r="A21" s="32">
        <v>43094</v>
      </c>
      <c r="B21" s="33">
        <v>975.60199999999998</v>
      </c>
      <c r="C21" s="4">
        <f t="shared" si="3"/>
        <v>-1.0967466905764667E-5</v>
      </c>
      <c r="E21" s="32">
        <v>43105</v>
      </c>
      <c r="F21">
        <v>18.860800000000001</v>
      </c>
      <c r="H21" s="35">
        <v>43105</v>
      </c>
      <c r="I21" s="37">
        <f t="shared" si="4"/>
        <v>-1.356252120800816E-2</v>
      </c>
      <c r="J21" s="37">
        <f t="shared" si="8"/>
        <v>-1.1255171609128922E-2</v>
      </c>
      <c r="K21" s="36">
        <f t="shared" si="2"/>
        <v>1.0937104383712537E-5</v>
      </c>
      <c r="L21" s="38">
        <f t="shared" si="5"/>
        <v>91.651467594163535</v>
      </c>
      <c r="M21" s="38">
        <f t="shared" si="6"/>
        <v>94.264739438505828</v>
      </c>
      <c r="N21" s="41" t="s">
        <v>46</v>
      </c>
      <c r="O21" s="43">
        <f>+L17/100-1</f>
        <v>-7.9257704722438538E-2</v>
      </c>
      <c r="P21" s="47"/>
      <c r="Q21" s="47">
        <v>43112</v>
      </c>
      <c r="R21" t="s">
        <v>75</v>
      </c>
      <c r="S21" t="s">
        <v>76</v>
      </c>
      <c r="T21">
        <v>954.72360000000003</v>
      </c>
      <c r="U21">
        <v>38435958.157099999</v>
      </c>
      <c r="W21" s="47">
        <v>43112</v>
      </c>
      <c r="X21" s="32">
        <v>43112</v>
      </c>
      <c r="Z21" s="74">
        <v>0.5</v>
      </c>
      <c r="AA21" t="s">
        <v>77</v>
      </c>
      <c r="AB21" t="s">
        <v>78</v>
      </c>
    </row>
    <row r="22" spans="1:28" x14ac:dyDescent="0.2">
      <c r="A22" s="32">
        <v>43095</v>
      </c>
      <c r="B22" s="33">
        <v>964.06799999999998</v>
      </c>
      <c r="C22" s="4">
        <f t="shared" si="3"/>
        <v>-1.1822443988429687E-2</v>
      </c>
      <c r="E22" s="32">
        <v>43108</v>
      </c>
      <c r="F22">
        <v>19.072500000000002</v>
      </c>
      <c r="H22" s="35">
        <v>43108</v>
      </c>
      <c r="I22" s="37">
        <f t="shared" si="4"/>
        <v>-1.1099750950321119E-2</v>
      </c>
      <c r="J22" s="37">
        <f t="shared" si="8"/>
        <v>-1.038515080812541E-2</v>
      </c>
      <c r="K22" s="36">
        <f t="shared" si="2"/>
        <v>1.0937104383712537E-5</v>
      </c>
      <c r="L22" s="38">
        <f t="shared" si="5"/>
        <v>90.634159129636899</v>
      </c>
      <c r="M22" s="38">
        <f t="shared" si="6"/>
        <v>93.286816886843241</v>
      </c>
      <c r="N22" s="42" t="s">
        <v>53</v>
      </c>
      <c r="O22" s="44">
        <f>+M17/100-1</f>
        <v>-5.810854235160956E-2</v>
      </c>
      <c r="P22" s="47"/>
      <c r="Q22" s="47">
        <v>43113</v>
      </c>
      <c r="R22" t="s">
        <v>75</v>
      </c>
      <c r="S22" t="s">
        <v>76</v>
      </c>
      <c r="T22">
        <v>954.71320000000003</v>
      </c>
      <c r="U22">
        <v>38435536.9256</v>
      </c>
      <c r="W22" s="47">
        <v>43113</v>
      </c>
      <c r="X22" s="32">
        <v>43113</v>
      </c>
      <c r="Z22" s="74">
        <v>0.5</v>
      </c>
      <c r="AA22" t="s">
        <v>77</v>
      </c>
      <c r="AB22" t="s">
        <v>78</v>
      </c>
    </row>
    <row r="23" spans="1:28" x14ac:dyDescent="0.2">
      <c r="A23" s="32">
        <v>43096</v>
      </c>
      <c r="B23" s="33">
        <v>955.10550000000001</v>
      </c>
      <c r="C23" s="4">
        <f t="shared" si="3"/>
        <v>-9.2965433973536404E-3</v>
      </c>
      <c r="E23" s="32">
        <v>43109</v>
      </c>
      <c r="F23">
        <v>19.0458</v>
      </c>
      <c r="H23" s="35">
        <v>43109</v>
      </c>
      <c r="I23" s="37">
        <f t="shared" si="4"/>
        <v>1.4018838799105815E-3</v>
      </c>
      <c r="J23" s="37">
        <f t="shared" si="8"/>
        <v>2.317350478080904E-3</v>
      </c>
      <c r="K23" s="36">
        <f t="shared" si="2"/>
        <v>1.0937104383712537E-5</v>
      </c>
      <c r="L23" s="38">
        <f t="shared" si="5"/>
        <v>90.761217696289989</v>
      </c>
      <c r="M23" s="38">
        <f t="shared" si="6"/>
        <v>93.504015424208532</v>
      </c>
      <c r="N23" s="41" t="s">
        <v>61</v>
      </c>
      <c r="O23" s="45">
        <f>28.75%/365*24</f>
        <v>1.8904109589041096E-2</v>
      </c>
      <c r="P23" s="47"/>
      <c r="Q23" s="47">
        <v>43114</v>
      </c>
      <c r="R23" t="s">
        <v>75</v>
      </c>
      <c r="S23" t="s">
        <v>76</v>
      </c>
      <c r="T23">
        <v>954.70270000000005</v>
      </c>
      <c r="U23">
        <v>38435115.7029</v>
      </c>
      <c r="W23" s="47">
        <v>43114</v>
      </c>
      <c r="X23" s="32">
        <v>43114</v>
      </c>
      <c r="Z23" s="74">
        <v>0.5</v>
      </c>
      <c r="AA23" t="s">
        <v>77</v>
      </c>
      <c r="AB23" t="s">
        <v>78</v>
      </c>
    </row>
    <row r="24" spans="1:28" x14ac:dyDescent="0.2">
      <c r="A24" s="32">
        <v>43097</v>
      </c>
      <c r="B24" s="33">
        <v>935.98649999999998</v>
      </c>
      <c r="C24" s="4">
        <f t="shared" si="3"/>
        <v>-2.0017683910311557E-2</v>
      </c>
      <c r="E24" s="32">
        <v>43110</v>
      </c>
      <c r="F24">
        <v>18.721699999999998</v>
      </c>
      <c r="H24" s="35">
        <v>43110</v>
      </c>
      <c r="I24" s="37">
        <f t="shared" si="4"/>
        <v>1.7311462100129793E-2</v>
      </c>
      <c r="J24" s="37">
        <f t="shared" si="8"/>
        <v>1.808008310763487E-2</v>
      </c>
      <c r="K24" s="36">
        <f t="shared" si="2"/>
        <v>1.0937104383712537E-5</v>
      </c>
      <c r="L24" s="38">
        <f t="shared" si="5"/>
        <v>92.332427076600936</v>
      </c>
      <c r="M24" s="38">
        <f t="shared" si="6"/>
        <v>95.195598457152784</v>
      </c>
      <c r="N24" s="42" t="s">
        <v>58</v>
      </c>
      <c r="O24" s="44">
        <f>+O22-O21-O23</f>
        <v>2.2450527817878818E-3</v>
      </c>
      <c r="P24" s="47"/>
      <c r="Q24" s="47">
        <v>43115</v>
      </c>
      <c r="R24" t="s">
        <v>75</v>
      </c>
      <c r="S24" t="s">
        <v>76</v>
      </c>
      <c r="T24">
        <v>955.80129999999997</v>
      </c>
      <c r="U24">
        <v>38479343.957400002</v>
      </c>
      <c r="W24" s="47">
        <v>43115</v>
      </c>
      <c r="X24" s="32">
        <v>43115</v>
      </c>
      <c r="Z24" s="74">
        <v>0.5</v>
      </c>
      <c r="AA24" t="s">
        <v>77</v>
      </c>
      <c r="AB24" t="s">
        <v>78</v>
      </c>
    </row>
    <row r="25" spans="1:28" x14ac:dyDescent="0.2">
      <c r="A25" s="32">
        <v>43098</v>
      </c>
      <c r="B25" s="33">
        <v>941.65369999999996</v>
      </c>
      <c r="C25" s="4">
        <f t="shared" si="3"/>
        <v>6.0547881833765693E-3</v>
      </c>
      <c r="E25" s="32">
        <v>43111</v>
      </c>
      <c r="F25">
        <v>18.651700000000002</v>
      </c>
      <c r="H25" s="35">
        <v>43111</v>
      </c>
      <c r="I25" s="37">
        <f t="shared" si="4"/>
        <v>3.753009109089156E-3</v>
      </c>
      <c r="J25" s="37">
        <f t="shared" si="8"/>
        <v>4.3815051595708088E-3</v>
      </c>
      <c r="K25" s="36">
        <f t="shared" si="2"/>
        <v>1.0937104383712537E-5</v>
      </c>
      <c r="L25" s="38">
        <f t="shared" si="5"/>
        <v>92.678951516483735</v>
      </c>
      <c r="M25" s="38">
        <f t="shared" si="6"/>
        <v>95.613739627158424</v>
      </c>
      <c r="P25" s="47"/>
      <c r="Q25" s="47">
        <v>43116</v>
      </c>
      <c r="R25" t="s">
        <v>75</v>
      </c>
      <c r="S25" t="s">
        <v>76</v>
      </c>
      <c r="T25">
        <v>955.79079999999999</v>
      </c>
      <c r="U25">
        <v>38478922.037500001</v>
      </c>
      <c r="W25" s="47">
        <v>43116</v>
      </c>
      <c r="X25" s="32">
        <v>43116</v>
      </c>
      <c r="Z25" s="74">
        <v>0.5</v>
      </c>
      <c r="AA25" t="s">
        <v>77</v>
      </c>
      <c r="AB25" t="s">
        <v>78</v>
      </c>
    </row>
    <row r="26" spans="1:28" x14ac:dyDescent="0.2">
      <c r="A26" s="32">
        <v>43099</v>
      </c>
      <c r="B26" s="33">
        <v>941.64340000000004</v>
      </c>
      <c r="C26" s="4">
        <f t="shared" si="3"/>
        <v>-1.0938203715338268E-5</v>
      </c>
      <c r="E26" s="32">
        <v>43112</v>
      </c>
      <c r="F26">
        <v>18.715</v>
      </c>
      <c r="H26" s="35">
        <v>43112</v>
      </c>
      <c r="I26" s="37">
        <f t="shared" si="4"/>
        <v>-3.3823136521505814E-3</v>
      </c>
      <c r="J26" s="37">
        <f t="shared" si="8"/>
        <v>-1.0845816764498695E-3</v>
      </c>
      <c r="K26" s="36">
        <f t="shared" si="2"/>
        <v>1.0937104383712537E-5</v>
      </c>
      <c r="L26" s="38">
        <f t="shared" si="5"/>
        <v>92.365482233502533</v>
      </c>
      <c r="M26" s="38">
        <f t="shared" si="6"/>
        <v>95.511084454592776</v>
      </c>
      <c r="P26" s="47"/>
      <c r="Q26" s="47">
        <v>43117</v>
      </c>
      <c r="R26" t="s">
        <v>75</v>
      </c>
      <c r="S26" t="s">
        <v>76</v>
      </c>
      <c r="T26">
        <v>947.82749999999999</v>
      </c>
      <c r="U26">
        <v>38158326.738499999</v>
      </c>
      <c r="W26" s="47">
        <v>43117</v>
      </c>
      <c r="X26" s="32">
        <v>43117</v>
      </c>
      <c r="Z26" s="74">
        <v>0.5</v>
      </c>
      <c r="AA26" t="s">
        <v>77</v>
      </c>
      <c r="AB26" t="s">
        <v>78</v>
      </c>
    </row>
    <row r="27" spans="1:28" x14ac:dyDescent="0.2">
      <c r="A27" s="32">
        <v>43100</v>
      </c>
      <c r="B27" s="33">
        <v>941.63300000000004</v>
      </c>
      <c r="C27" s="4">
        <f t="shared" si="3"/>
        <v>-1.1044520675240754E-5</v>
      </c>
      <c r="E27" s="32">
        <v>43115</v>
      </c>
      <c r="F27">
        <v>18.720800000000001</v>
      </c>
      <c r="H27" s="35">
        <v>43115</v>
      </c>
      <c r="I27" s="37">
        <f t="shared" si="4"/>
        <v>-3.0981581983680062E-4</v>
      </c>
      <c r="J27" s="37">
        <f t="shared" si="8"/>
        <v>1.1507247229949336E-3</v>
      </c>
      <c r="K27" s="36">
        <f t="shared" si="2"/>
        <v>1.0937104383712537E-5</v>
      </c>
      <c r="L27" s="38">
        <f t="shared" si="5"/>
        <v>92.336865945899746</v>
      </c>
      <c r="M27" s="38">
        <f t="shared" si="6"/>
        <v>95.622036035495213</v>
      </c>
      <c r="P27" s="47"/>
      <c r="Q27" s="47">
        <v>43118</v>
      </c>
      <c r="R27" t="s">
        <v>75</v>
      </c>
      <c r="S27" t="s">
        <v>76</v>
      </c>
      <c r="T27">
        <v>950.49480000000005</v>
      </c>
      <c r="U27">
        <v>38265711.078900002</v>
      </c>
      <c r="W27" s="47">
        <v>43118</v>
      </c>
      <c r="X27" s="32">
        <v>43118</v>
      </c>
      <c r="Z27" s="74">
        <v>0.5</v>
      </c>
      <c r="AA27" t="s">
        <v>77</v>
      </c>
      <c r="AB27" t="s">
        <v>78</v>
      </c>
    </row>
    <row r="28" spans="1:28" x14ac:dyDescent="0.2">
      <c r="A28" s="32">
        <v>43101</v>
      </c>
      <c r="B28" s="33">
        <v>941.62270000000001</v>
      </c>
      <c r="C28" s="4">
        <f t="shared" si="3"/>
        <v>-1.0938444170993655E-5</v>
      </c>
      <c r="E28" s="32">
        <v>43116</v>
      </c>
      <c r="F28">
        <v>18.825800000000001</v>
      </c>
      <c r="H28" s="35">
        <v>43116</v>
      </c>
      <c r="I28" s="37">
        <f t="shared" si="4"/>
        <v>-5.5774522198259735E-3</v>
      </c>
      <c r="J28" s="37">
        <f t="shared" si="8"/>
        <v>-1.0985546891384423E-5</v>
      </c>
      <c r="K28" s="36">
        <f t="shared" si="2"/>
        <v>1.0937104383712537E-5</v>
      </c>
      <c r="L28" s="38">
        <f t="shared" si="5"/>
        <v>91.821861487958017</v>
      </c>
      <c r="M28" s="38">
        <f t="shared" si="6"/>
        <v>95.622031403324002</v>
      </c>
      <c r="P28" s="47"/>
      <c r="Q28" s="47">
        <v>43119</v>
      </c>
      <c r="R28" t="s">
        <v>75</v>
      </c>
      <c r="S28" t="s">
        <v>76</v>
      </c>
      <c r="T28">
        <v>947.45749999999998</v>
      </c>
      <c r="U28">
        <v>44143433.313100003</v>
      </c>
      <c r="W28" s="47">
        <v>43119</v>
      </c>
      <c r="X28" s="32">
        <v>43119</v>
      </c>
      <c r="Z28" s="74">
        <v>0.5</v>
      </c>
      <c r="AA28" t="s">
        <v>77</v>
      </c>
      <c r="AB28" t="s">
        <v>78</v>
      </c>
    </row>
    <row r="29" spans="1:28" x14ac:dyDescent="0.2">
      <c r="A29" s="32">
        <v>43102</v>
      </c>
      <c r="B29">
        <v>954.49480000000005</v>
      </c>
      <c r="C29" s="4">
        <f t="shared" si="3"/>
        <v>1.36701249874287E-2</v>
      </c>
      <c r="E29" s="32">
        <v>43117</v>
      </c>
      <c r="F29">
        <v>18.8917</v>
      </c>
      <c r="H29" s="35">
        <v>43117</v>
      </c>
      <c r="I29" s="37">
        <f t="shared" si="4"/>
        <v>-3.488304387641139E-3</v>
      </c>
      <c r="J29" s="37">
        <f t="shared" si="8"/>
        <v>-8.3316349142511514E-3</v>
      </c>
      <c r="K29" s="36">
        <f t="shared" si="2"/>
        <v>1.0937104383712537E-5</v>
      </c>
      <c r="L29" s="38">
        <f t="shared" si="5"/>
        <v>91.501558885648194</v>
      </c>
      <c r="M29" s="38">
        <f t="shared" si="6"/>
        <v>94.826389376051281</v>
      </c>
      <c r="O29" s="46"/>
      <c r="P29" s="47"/>
      <c r="Q29" s="47">
        <v>43120</v>
      </c>
      <c r="R29" t="s">
        <v>75</v>
      </c>
      <c r="S29" t="s">
        <v>76</v>
      </c>
      <c r="T29">
        <v>947.44709999999998</v>
      </c>
      <c r="U29">
        <v>44142949.529799998</v>
      </c>
      <c r="W29" s="47">
        <v>43120</v>
      </c>
      <c r="X29" s="32">
        <v>43120</v>
      </c>
      <c r="Z29" s="74">
        <v>0.5</v>
      </c>
      <c r="AA29" t="s">
        <v>77</v>
      </c>
      <c r="AB29" t="s">
        <v>78</v>
      </c>
    </row>
    <row r="30" spans="1:28" x14ac:dyDescent="0.2">
      <c r="A30" s="32">
        <v>43103</v>
      </c>
      <c r="B30">
        <v>962.24199999999996</v>
      </c>
      <c r="C30" s="4">
        <f t="shared" si="3"/>
        <v>8.1165450037024023E-3</v>
      </c>
      <c r="E30" s="33">
        <v>43118</v>
      </c>
      <c r="F30">
        <v>18.852499999999999</v>
      </c>
      <c r="H30" s="35">
        <v>43118</v>
      </c>
      <c r="I30" s="37">
        <f t="shared" si="4"/>
        <v>2.0792998276091268E-3</v>
      </c>
      <c r="J30" s="37">
        <f>+VLOOKUP(E30,$A$2:$C$185,3,FALSE)</f>
        <v>2.8141196578492789E-3</v>
      </c>
      <c r="K30" s="36">
        <f t="shared" si="2"/>
        <v>1.0937104383712537E-5</v>
      </c>
      <c r="L30" s="38">
        <f t="shared" si="5"/>
        <v>91.691818061265096</v>
      </c>
      <c r="M30" s="38">
        <f t="shared" si="6"/>
        <v>95.094279308596228</v>
      </c>
      <c r="O30" s="16"/>
      <c r="Q30" s="47">
        <v>43121</v>
      </c>
      <c r="R30" t="s">
        <v>75</v>
      </c>
      <c r="S30" t="s">
        <v>76</v>
      </c>
      <c r="T30">
        <v>947.43669999999997</v>
      </c>
      <c r="U30">
        <v>44142464.912699997</v>
      </c>
      <c r="W30" s="47">
        <v>43121</v>
      </c>
      <c r="X30" s="32">
        <v>43121</v>
      </c>
      <c r="Z30" s="74">
        <v>0.5</v>
      </c>
      <c r="AA30" t="s">
        <v>77</v>
      </c>
      <c r="AB30" t="s">
        <v>78</v>
      </c>
    </row>
    <row r="31" spans="1:28" x14ac:dyDescent="0.2">
      <c r="A31" s="32">
        <v>43104</v>
      </c>
      <c r="B31">
        <v>953.06410000000005</v>
      </c>
      <c r="C31" s="4">
        <f t="shared" si="3"/>
        <v>-9.5380372089348686E-3</v>
      </c>
      <c r="E31" s="32">
        <v>43119</v>
      </c>
      <c r="F31">
        <v>18.962499999999999</v>
      </c>
      <c r="H31" s="35">
        <v>43119</v>
      </c>
      <c r="I31" s="37">
        <f t="shared" si="4"/>
        <v>-5.800922874093617E-3</v>
      </c>
      <c r="J31" s="37">
        <f t="shared" ref="J31:J46" si="9">+VLOOKUP(E31,$A$2:$C$185,3,FALSE)</f>
        <v>-3.1954935471504298E-3</v>
      </c>
      <c r="K31" s="36">
        <f t="shared" si="2"/>
        <v>1.0937104383712537E-5</v>
      </c>
      <c r="L31" s="38">
        <f t="shared" si="5"/>
        <v>91.159920896506279</v>
      </c>
      <c r="M31" s="38">
        <f t="shared" si="6"/>
        <v>94.791446208753783</v>
      </c>
      <c r="Q31" s="47">
        <v>43122</v>
      </c>
      <c r="R31" t="s">
        <v>75</v>
      </c>
      <c r="S31" t="s">
        <v>76</v>
      </c>
      <c r="T31">
        <v>942.74189999999999</v>
      </c>
      <c r="U31">
        <v>43923724.300999999</v>
      </c>
      <c r="W31" s="47">
        <v>43122</v>
      </c>
      <c r="X31" s="32">
        <v>43122</v>
      </c>
      <c r="Z31" s="74">
        <v>0.5</v>
      </c>
      <c r="AA31" t="s">
        <v>77</v>
      </c>
      <c r="AB31" t="s">
        <v>78</v>
      </c>
    </row>
    <row r="32" spans="1:28" x14ac:dyDescent="0.2">
      <c r="A32" s="32">
        <v>43105</v>
      </c>
      <c r="B32">
        <v>942.33720000000005</v>
      </c>
      <c r="C32" s="4">
        <f t="shared" si="3"/>
        <v>-1.1255171609128922E-2</v>
      </c>
      <c r="E32" s="32">
        <v>43122</v>
      </c>
      <c r="F32">
        <v>19.07</v>
      </c>
      <c r="H32" s="35">
        <v>43122</v>
      </c>
      <c r="I32" s="37">
        <f t="shared" si="4"/>
        <v>-5.6371263765077062E-3</v>
      </c>
      <c r="J32" s="37">
        <f t="shared" si="9"/>
        <v>-4.9552650852557889E-3</v>
      </c>
      <c r="K32" s="36">
        <f t="shared" si="2"/>
        <v>1.0937104383712537E-5</v>
      </c>
      <c r="L32" s="38">
        <f t="shared" si="5"/>
        <v>90.646040901940225</v>
      </c>
      <c r="M32" s="38">
        <f t="shared" si="6"/>
        <v>94.322766208916505</v>
      </c>
      <c r="Q32" s="47">
        <v>43123</v>
      </c>
      <c r="R32" t="s">
        <v>75</v>
      </c>
      <c r="S32" t="s">
        <v>76</v>
      </c>
      <c r="T32">
        <v>931.27980000000002</v>
      </c>
      <c r="U32">
        <v>43389689.149499997</v>
      </c>
      <c r="W32" s="47">
        <v>43123</v>
      </c>
      <c r="X32" s="32">
        <v>43123</v>
      </c>
      <c r="Z32" s="74">
        <v>0.5</v>
      </c>
      <c r="AA32" t="s">
        <v>77</v>
      </c>
      <c r="AB32" t="s">
        <v>78</v>
      </c>
    </row>
    <row r="33" spans="1:28" x14ac:dyDescent="0.2">
      <c r="A33" s="32">
        <v>43106</v>
      </c>
      <c r="B33">
        <v>942.32690000000002</v>
      </c>
      <c r="C33" s="4">
        <f t="shared" si="3"/>
        <v>-1.0930269971343165E-5</v>
      </c>
      <c r="E33" s="32">
        <v>43123</v>
      </c>
      <c r="F33">
        <v>19.316700000000001</v>
      </c>
      <c r="H33" s="35">
        <v>43123</v>
      </c>
      <c r="I33" s="37">
        <f t="shared" si="4"/>
        <v>-1.277133257751073E-2</v>
      </c>
      <c r="J33" s="37">
        <f t="shared" si="9"/>
        <v>-1.2158258798086741E-2</v>
      </c>
      <c r="K33" s="36">
        <f t="shared" si="2"/>
        <v>1.0937104383712537E-5</v>
      </c>
      <c r="L33" s="38">
        <f t="shared" si="5"/>
        <v>89.488370166746904</v>
      </c>
      <c r="M33" s="38">
        <f t="shared" si="6"/>
        <v>93.176997224736851</v>
      </c>
      <c r="Q33" s="47">
        <v>43124</v>
      </c>
      <c r="R33" t="s">
        <v>75</v>
      </c>
      <c r="S33" t="s">
        <v>76</v>
      </c>
      <c r="T33">
        <v>922.08169999999996</v>
      </c>
      <c r="U33">
        <v>42961136.045299999</v>
      </c>
      <c r="W33" s="47">
        <v>43124</v>
      </c>
      <c r="X33" s="32">
        <v>43124</v>
      </c>
      <c r="Z33" s="74">
        <v>0.5</v>
      </c>
      <c r="AA33" t="s">
        <v>77</v>
      </c>
      <c r="AB33" t="s">
        <v>78</v>
      </c>
    </row>
    <row r="34" spans="1:28" x14ac:dyDescent="0.2">
      <c r="A34" s="32">
        <v>43107</v>
      </c>
      <c r="B34">
        <v>942.31659999999999</v>
      </c>
      <c r="C34" s="4">
        <f t="shared" si="3"/>
        <v>-1.0930389443442046E-5</v>
      </c>
      <c r="E34" s="32">
        <v>43124</v>
      </c>
      <c r="F34">
        <v>19.5258</v>
      </c>
      <c r="H34" s="35">
        <v>43124</v>
      </c>
      <c r="I34" s="37">
        <f t="shared" si="4"/>
        <v>-1.0708908213747925E-2</v>
      </c>
      <c r="J34" s="37">
        <f t="shared" si="9"/>
        <v>-9.8768383035904295E-3</v>
      </c>
      <c r="K34" s="36">
        <f t="shared" si="2"/>
        <v>1.0937104383712537E-5</v>
      </c>
      <c r="L34" s="38">
        <f t="shared" si="5"/>
        <v>88.53004742443332</v>
      </c>
      <c r="M34" s="38">
        <f t="shared" si="6"/>
        <v>92.257722176078843</v>
      </c>
      <c r="Q34" s="47">
        <v>43125</v>
      </c>
      <c r="R34" t="s">
        <v>75</v>
      </c>
      <c r="S34" t="s">
        <v>76</v>
      </c>
      <c r="T34">
        <v>924.28589999999997</v>
      </c>
      <c r="U34">
        <v>43063834.263800003</v>
      </c>
      <c r="W34" s="47">
        <v>43125</v>
      </c>
      <c r="X34" s="32">
        <v>43125</v>
      </c>
      <c r="Z34" s="74">
        <v>0.5</v>
      </c>
      <c r="AA34" t="s">
        <v>77</v>
      </c>
      <c r="AB34" t="s">
        <v>78</v>
      </c>
    </row>
    <row r="35" spans="1:28" x14ac:dyDescent="0.2">
      <c r="A35" s="32">
        <v>43108</v>
      </c>
      <c r="B35">
        <v>932.53049999999996</v>
      </c>
      <c r="C35" s="4">
        <f t="shared" si="3"/>
        <v>-1.038515080812541E-2</v>
      </c>
      <c r="E35" s="32">
        <v>43125</v>
      </c>
      <c r="F35">
        <v>19.493300000000001</v>
      </c>
      <c r="H35" s="35">
        <v>43125</v>
      </c>
      <c r="I35" s="37">
        <f t="shared" si="4"/>
        <v>1.6672395130634676E-3</v>
      </c>
      <c r="J35" s="37">
        <f t="shared" si="9"/>
        <v>2.3904606283804419E-3</v>
      </c>
      <c r="K35" s="36">
        <f t="shared" si="2"/>
        <v>1.0937104383712537E-5</v>
      </c>
      <c r="L35" s="38">
        <f t="shared" si="5"/>
        <v>88.677648217592719</v>
      </c>
      <c r="M35" s="38">
        <f t="shared" si="6"/>
        <v>92.479269660942464</v>
      </c>
      <c r="Q35" s="47">
        <v>43126</v>
      </c>
      <c r="R35" t="s">
        <v>75</v>
      </c>
      <c r="S35" t="s">
        <v>76</v>
      </c>
      <c r="T35">
        <v>924.96669999999995</v>
      </c>
      <c r="U35">
        <v>43095552.160099998</v>
      </c>
      <c r="W35" s="47">
        <v>43126</v>
      </c>
      <c r="X35" s="32">
        <v>43126</v>
      </c>
      <c r="Z35" s="74">
        <v>0.5</v>
      </c>
      <c r="AA35" t="s">
        <v>77</v>
      </c>
      <c r="AB35" t="s">
        <v>78</v>
      </c>
    </row>
    <row r="36" spans="1:28" x14ac:dyDescent="0.2">
      <c r="A36" s="32">
        <v>43109</v>
      </c>
      <c r="B36">
        <v>934.69150000000002</v>
      </c>
      <c r="C36" s="4">
        <f t="shared" si="3"/>
        <v>2.317350478080904E-3</v>
      </c>
      <c r="E36" s="32">
        <v>43126</v>
      </c>
      <c r="F36">
        <v>19.521699999999999</v>
      </c>
      <c r="H36" s="35">
        <v>43126</v>
      </c>
      <c r="I36" s="37">
        <f t="shared" si="4"/>
        <v>-1.4547913347708885E-3</v>
      </c>
      <c r="J36" s="37">
        <f t="shared" si="9"/>
        <v>7.365686309830366E-4</v>
      </c>
      <c r="K36" s="36">
        <f t="shared" si="2"/>
        <v>1.0937104383712537E-5</v>
      </c>
      <c r="L36" s="38">
        <f t="shared" si="5"/>
        <v>88.548640743377902</v>
      </c>
      <c r="M36" s="38">
        <f t="shared" si="6"/>
        <v>92.548398445416552</v>
      </c>
      <c r="Q36" s="47">
        <v>43127</v>
      </c>
      <c r="R36" t="s">
        <v>75</v>
      </c>
      <c r="S36" t="s">
        <v>76</v>
      </c>
      <c r="T36">
        <v>924.95650000000001</v>
      </c>
      <c r="U36">
        <v>43095079.496799998</v>
      </c>
      <c r="W36" s="47">
        <v>43127</v>
      </c>
      <c r="X36" s="32">
        <v>43127</v>
      </c>
      <c r="Z36" s="74">
        <v>0.5</v>
      </c>
      <c r="AA36" t="s">
        <v>77</v>
      </c>
      <c r="AB36" t="s">
        <v>78</v>
      </c>
    </row>
    <row r="37" spans="1:28" x14ac:dyDescent="0.2">
      <c r="A37" s="32">
        <v>43110</v>
      </c>
      <c r="B37">
        <v>951.59079999999994</v>
      </c>
      <c r="C37" s="4">
        <f t="shared" si="3"/>
        <v>1.808008310763487E-2</v>
      </c>
      <c r="E37" s="32">
        <v>43129</v>
      </c>
      <c r="F37">
        <v>19.5717</v>
      </c>
      <c r="H37" s="35">
        <v>43129</v>
      </c>
      <c r="I37" s="37">
        <f t="shared" si="4"/>
        <v>-2.5547090952753315E-3</v>
      </c>
      <c r="J37" s="37">
        <f t="shared" si="9"/>
        <v>-1.8382686823799066E-3</v>
      </c>
      <c r="K37" s="36">
        <f t="shared" si="2"/>
        <v>1.0937104383712537E-5</v>
      </c>
      <c r="L37" s="38">
        <f t="shared" si="5"/>
        <v>88.322424725496532</v>
      </c>
      <c r="M37" s="38">
        <f t="shared" si="6"/>
        <v>92.379281834444271</v>
      </c>
      <c r="Q37" s="47">
        <v>43128</v>
      </c>
      <c r="R37" t="s">
        <v>75</v>
      </c>
      <c r="S37" t="s">
        <v>76</v>
      </c>
      <c r="T37">
        <v>924.94640000000004</v>
      </c>
      <c r="U37">
        <v>43094606.850100003</v>
      </c>
      <c r="W37" s="47">
        <v>43128</v>
      </c>
      <c r="X37" s="32">
        <v>43128</v>
      </c>
      <c r="Z37" s="74">
        <v>0.5</v>
      </c>
      <c r="AA37" t="s">
        <v>77</v>
      </c>
      <c r="AB37" t="s">
        <v>78</v>
      </c>
    </row>
    <row r="38" spans="1:28" x14ac:dyDescent="0.2">
      <c r="A38" s="32">
        <v>43111</v>
      </c>
      <c r="B38">
        <v>955.76020000000005</v>
      </c>
      <c r="C38" s="4">
        <f t="shared" si="3"/>
        <v>4.3815051595708088E-3</v>
      </c>
      <c r="E38" s="32">
        <v>43130</v>
      </c>
      <c r="F38">
        <v>19.595500000000001</v>
      </c>
      <c r="H38" s="35">
        <v>43130</v>
      </c>
      <c r="I38" s="37">
        <f t="shared" si="4"/>
        <v>-1.2145645683958595E-3</v>
      </c>
      <c r="J38" s="37">
        <f t="shared" si="9"/>
        <v>-4.9878358543831158E-4</v>
      </c>
      <c r="K38" s="36">
        <f t="shared" si="2"/>
        <v>1.0937104383712537E-5</v>
      </c>
      <c r="L38" s="38">
        <f t="shared" si="5"/>
        <v>88.21515143783013</v>
      </c>
      <c r="M38" s="38">
        <f t="shared" si="6"/>
        <v>92.334214926878985</v>
      </c>
      <c r="Q38" s="47">
        <v>43129</v>
      </c>
      <c r="R38" t="s">
        <v>75</v>
      </c>
      <c r="S38" t="s">
        <v>76</v>
      </c>
      <c r="T38">
        <v>923.24609999999996</v>
      </c>
      <c r="U38">
        <v>43015388.667999998</v>
      </c>
      <c r="W38" s="47">
        <v>43129</v>
      </c>
      <c r="X38" s="32">
        <v>43129</v>
      </c>
      <c r="Z38" s="74">
        <v>0.5</v>
      </c>
      <c r="AA38" t="s">
        <v>77</v>
      </c>
      <c r="AB38" t="s">
        <v>78</v>
      </c>
    </row>
    <row r="39" spans="1:28" x14ac:dyDescent="0.2">
      <c r="A39" s="32">
        <v>43112</v>
      </c>
      <c r="B39">
        <v>954.72360000000003</v>
      </c>
      <c r="C39" s="4">
        <f t="shared" si="3"/>
        <v>-1.0845816764498695E-3</v>
      </c>
      <c r="E39" s="32">
        <v>43131</v>
      </c>
      <c r="F39">
        <v>19.6525</v>
      </c>
      <c r="H39" s="35">
        <v>43131</v>
      </c>
      <c r="I39" s="37">
        <f t="shared" si="4"/>
        <v>-2.9003943518635111E-3</v>
      </c>
      <c r="J39" s="37">
        <f t="shared" si="9"/>
        <v>-2.2656400359954976E-3</v>
      </c>
      <c r="K39" s="36">
        <f t="shared" si="2"/>
        <v>1.0937104383712537E-5</v>
      </c>
      <c r="L39" s="38">
        <f t="shared" si="5"/>
        <v>87.959292710851059</v>
      </c>
      <c r="M39" s="38">
        <f t="shared" si="6"/>
        <v>92.126028701795278</v>
      </c>
      <c r="Q39" s="47">
        <v>43130</v>
      </c>
      <c r="R39" t="s">
        <v>75</v>
      </c>
      <c r="S39" t="s">
        <v>76</v>
      </c>
      <c r="T39">
        <v>922.78560000000004</v>
      </c>
      <c r="U39">
        <v>42993933.988200001</v>
      </c>
      <c r="W39" s="47">
        <v>43130</v>
      </c>
      <c r="X39" s="32">
        <v>43130</v>
      </c>
      <c r="Z39" s="74">
        <v>0.5</v>
      </c>
      <c r="AA39" t="s">
        <v>77</v>
      </c>
      <c r="AB39" t="s">
        <v>78</v>
      </c>
    </row>
    <row r="40" spans="1:28" x14ac:dyDescent="0.2">
      <c r="A40" s="32">
        <v>43113</v>
      </c>
      <c r="B40">
        <v>954.71320000000003</v>
      </c>
      <c r="C40" s="4">
        <f t="shared" si="3"/>
        <v>-1.0893205111939253E-5</v>
      </c>
      <c r="E40" s="32">
        <v>43132</v>
      </c>
      <c r="F40">
        <v>19.47</v>
      </c>
      <c r="H40" s="35">
        <v>43132</v>
      </c>
      <c r="I40" s="37">
        <f t="shared" si="4"/>
        <v>9.3733949666152672E-3</v>
      </c>
      <c r="J40" s="37">
        <f t="shared" si="9"/>
        <v>1.0128762524914681E-2</v>
      </c>
      <c r="K40" s="36">
        <f t="shared" si="2"/>
        <v>1.0937104383712537E-5</v>
      </c>
      <c r="L40" s="38">
        <f t="shared" si="5"/>
        <v>88.783769902413994</v>
      </c>
      <c r="M40" s="38">
        <f t="shared" si="6"/>
        <v>93.060158960871604</v>
      </c>
      <c r="Q40" s="47">
        <v>43131</v>
      </c>
      <c r="R40" t="s">
        <v>75</v>
      </c>
      <c r="S40" t="s">
        <v>76</v>
      </c>
      <c r="T40">
        <v>920.69489999999996</v>
      </c>
      <c r="U40">
        <v>42896525.226400003</v>
      </c>
      <c r="W40" s="47">
        <v>43131</v>
      </c>
      <c r="X40" s="32">
        <v>43131</v>
      </c>
      <c r="Z40" s="74">
        <v>0.5</v>
      </c>
      <c r="AA40" t="s">
        <v>77</v>
      </c>
      <c r="AB40" t="s">
        <v>78</v>
      </c>
    </row>
    <row r="41" spans="1:28" x14ac:dyDescent="0.2">
      <c r="A41" s="32">
        <v>43114</v>
      </c>
      <c r="B41">
        <v>954.70270000000005</v>
      </c>
      <c r="C41" s="4">
        <f t="shared" si="3"/>
        <v>-1.0998067273004786E-5</v>
      </c>
      <c r="E41" s="32">
        <v>43133</v>
      </c>
      <c r="F41">
        <v>19.5</v>
      </c>
      <c r="H41" s="35">
        <v>43133</v>
      </c>
      <c r="I41" s="37">
        <f t="shared" si="4"/>
        <v>-1.5384615384615996E-3</v>
      </c>
      <c r="J41" s="37">
        <f t="shared" si="9"/>
        <v>7.8611178851550889E-4</v>
      </c>
      <c r="K41" s="36">
        <f t="shared" si="2"/>
        <v>1.0937104383712537E-5</v>
      </c>
      <c r="L41" s="38">
        <f t="shared" si="5"/>
        <v>88.6471794871795</v>
      </c>
      <c r="M41" s="38">
        <f t="shared" si="6"/>
        <v>93.134332457544389</v>
      </c>
      <c r="Q41" s="47">
        <v>43132</v>
      </c>
      <c r="R41" t="s">
        <v>75</v>
      </c>
      <c r="S41" t="s">
        <v>76</v>
      </c>
      <c r="T41">
        <v>930.0204</v>
      </c>
      <c r="U41">
        <v>43331013.174000002</v>
      </c>
      <c r="W41" s="47">
        <v>43132</v>
      </c>
      <c r="X41" s="32">
        <v>43132</v>
      </c>
      <c r="Z41" s="74">
        <v>0.5</v>
      </c>
      <c r="AA41" t="s">
        <v>77</v>
      </c>
      <c r="AB41" t="s">
        <v>78</v>
      </c>
    </row>
    <row r="42" spans="1:28" x14ac:dyDescent="0.2">
      <c r="A42" s="32">
        <v>43115</v>
      </c>
      <c r="B42">
        <v>955.80129999999997</v>
      </c>
      <c r="C42" s="4">
        <f t="shared" si="3"/>
        <v>1.1507247229949336E-3</v>
      </c>
      <c r="E42" s="32">
        <v>43136</v>
      </c>
      <c r="F42">
        <v>19.5335</v>
      </c>
      <c r="H42" s="35">
        <v>43136</v>
      </c>
      <c r="I42" s="37">
        <f t="shared" si="4"/>
        <v>-1.7150024317198476E-3</v>
      </c>
      <c r="J42" s="37">
        <f t="shared" si="9"/>
        <v>-1.0145787542717999E-3</v>
      </c>
      <c r="K42" s="36">
        <f t="shared" si="2"/>
        <v>1.0937104383712537E-5</v>
      </c>
      <c r="L42" s="38">
        <f t="shared" si="5"/>
        <v>88.495149358793881</v>
      </c>
      <c r="M42" s="38">
        <f t="shared" si="6"/>
        <v>93.040858962455474</v>
      </c>
      <c r="Q42" s="47">
        <v>43133</v>
      </c>
      <c r="R42" t="s">
        <v>75</v>
      </c>
      <c r="S42" t="s">
        <v>76</v>
      </c>
      <c r="T42">
        <v>930.75149999999996</v>
      </c>
      <c r="U42">
        <v>50365077.006800003</v>
      </c>
      <c r="W42" s="47">
        <v>43133</v>
      </c>
      <c r="X42" s="32">
        <v>43133</v>
      </c>
      <c r="Z42" s="74">
        <v>0.5</v>
      </c>
      <c r="AA42" t="s">
        <v>77</v>
      </c>
      <c r="AB42" t="s">
        <v>78</v>
      </c>
    </row>
    <row r="43" spans="1:28" x14ac:dyDescent="0.2">
      <c r="A43" s="32">
        <v>43116</v>
      </c>
      <c r="B43">
        <v>955.79079999999999</v>
      </c>
      <c r="C43" s="4">
        <f t="shared" si="3"/>
        <v>-1.0985546891384423E-5</v>
      </c>
      <c r="E43" s="32">
        <v>43137</v>
      </c>
      <c r="F43">
        <v>19.690000000000001</v>
      </c>
      <c r="H43" s="35">
        <v>43137</v>
      </c>
      <c r="I43" s="37">
        <f t="shared" si="4"/>
        <v>-7.9481970543423541E-3</v>
      </c>
      <c r="J43" s="37">
        <f t="shared" si="9"/>
        <v>-7.2292917042917626E-3</v>
      </c>
      <c r="K43" s="36">
        <f t="shared" si="2"/>
        <v>1.0937104383712537E-5</v>
      </c>
      <c r="L43" s="38">
        <f t="shared" si="5"/>
        <v>87.791772473336735</v>
      </c>
      <c r="M43" s="38">
        <f t="shared" si="6"/>
        <v>92.36925705018443</v>
      </c>
      <c r="Q43" s="47">
        <v>43134</v>
      </c>
      <c r="R43" t="s">
        <v>75</v>
      </c>
      <c r="S43" t="s">
        <v>76</v>
      </c>
      <c r="T43">
        <v>930.74130000000002</v>
      </c>
      <c r="U43">
        <v>50364524.707900003</v>
      </c>
      <c r="W43" s="47">
        <v>43134</v>
      </c>
      <c r="X43" s="32">
        <v>43134</v>
      </c>
      <c r="Z43" s="74">
        <v>0.5</v>
      </c>
      <c r="AA43" t="s">
        <v>77</v>
      </c>
      <c r="AB43" t="s">
        <v>78</v>
      </c>
    </row>
    <row r="44" spans="1:28" x14ac:dyDescent="0.2">
      <c r="A44" s="32">
        <v>43117</v>
      </c>
      <c r="B44">
        <v>947.82749999999999</v>
      </c>
      <c r="C44" s="4">
        <f t="shared" si="3"/>
        <v>-8.3316349142511514E-3</v>
      </c>
      <c r="E44" s="32">
        <v>43138</v>
      </c>
      <c r="F44">
        <v>19.624199999999998</v>
      </c>
      <c r="H44" s="35">
        <v>43138</v>
      </c>
      <c r="I44" s="37">
        <f t="shared" si="4"/>
        <v>3.3530029249602133E-3</v>
      </c>
      <c r="J44" s="37">
        <f t="shared" si="9"/>
        <v>4.0723021594035735E-3</v>
      </c>
      <c r="K44" s="36">
        <f t="shared" si="2"/>
        <v>1.0937104383712537E-5</v>
      </c>
      <c r="L44" s="38">
        <f t="shared" si="5"/>
        <v>88.086138543227278</v>
      </c>
      <c r="M44" s="38">
        <f t="shared" si="6"/>
        <v>92.746422827338606</v>
      </c>
      <c r="Q44" s="47">
        <v>43135</v>
      </c>
      <c r="R44" t="s">
        <v>75</v>
      </c>
      <c r="S44" t="s">
        <v>76</v>
      </c>
      <c r="T44">
        <v>930.73109999999997</v>
      </c>
      <c r="U44">
        <v>50363972.4234</v>
      </c>
      <c r="W44" s="47">
        <v>43135</v>
      </c>
      <c r="X44" s="32">
        <v>43135</v>
      </c>
      <c r="Z44" s="74">
        <v>0.5</v>
      </c>
      <c r="AA44" t="s">
        <v>77</v>
      </c>
      <c r="AB44" t="s">
        <v>78</v>
      </c>
    </row>
    <row r="45" spans="1:28" x14ac:dyDescent="0.2">
      <c r="A45" s="33">
        <v>43118</v>
      </c>
      <c r="B45">
        <v>950.49480000000005</v>
      </c>
      <c r="C45" s="4">
        <f t="shared" si="3"/>
        <v>2.8141196578492789E-3</v>
      </c>
      <c r="E45" s="32">
        <v>43139</v>
      </c>
      <c r="F45">
        <v>19.840800000000002</v>
      </c>
      <c r="H45" s="35">
        <v>43139</v>
      </c>
      <c r="I45" s="37">
        <f t="shared" si="4"/>
        <v>-1.0916898512156936E-2</v>
      </c>
      <c r="J45" s="37">
        <f t="shared" si="9"/>
        <v>-1.0180140978207186E-2</v>
      </c>
      <c r="K45" s="36">
        <f t="shared" si="2"/>
        <v>1.0937104383712537E-5</v>
      </c>
      <c r="L45" s="38">
        <f t="shared" si="5"/>
        <v>87.124511108423064</v>
      </c>
      <c r="M45" s="38">
        <f t="shared" si="6"/>
        <v>91.803265545039565</v>
      </c>
      <c r="Q45" s="47">
        <v>43136</v>
      </c>
      <c r="R45" t="s">
        <v>75</v>
      </c>
      <c r="S45" t="s">
        <v>76</v>
      </c>
      <c r="T45">
        <v>929.78679999999997</v>
      </c>
      <c r="U45">
        <v>50312873.786700003</v>
      </c>
      <c r="W45" s="47">
        <v>43136</v>
      </c>
      <c r="X45" s="32">
        <v>43136</v>
      </c>
      <c r="Z45" s="74">
        <v>0.5</v>
      </c>
      <c r="AA45" t="s">
        <v>77</v>
      </c>
      <c r="AB45" t="s">
        <v>78</v>
      </c>
    </row>
    <row r="46" spans="1:28" x14ac:dyDescent="0.2">
      <c r="A46" s="32">
        <v>43119</v>
      </c>
      <c r="B46">
        <v>947.45749999999998</v>
      </c>
      <c r="C46" s="4">
        <f t="shared" si="3"/>
        <v>-3.1954935471504298E-3</v>
      </c>
      <c r="E46" s="32">
        <v>43140</v>
      </c>
      <c r="F46">
        <v>20.125800000000002</v>
      </c>
      <c r="H46" s="35">
        <v>43140</v>
      </c>
      <c r="I46" s="37">
        <f t="shared" si="4"/>
        <v>-1.4160927764362174E-2</v>
      </c>
      <c r="J46" s="37">
        <f t="shared" si="9"/>
        <v>-1.0621231628156869E-2</v>
      </c>
      <c r="K46" s="36">
        <f t="shared" si="2"/>
        <v>1.0937104383712537E-5</v>
      </c>
      <c r="L46" s="38">
        <f t="shared" si="5"/>
        <v>85.890747200111321</v>
      </c>
      <c r="M46" s="38">
        <f t="shared" si="6"/>
        <v>90.829205859362546</v>
      </c>
      <c r="Q46" s="47">
        <v>43137</v>
      </c>
      <c r="R46" t="s">
        <v>75</v>
      </c>
      <c r="S46" t="s">
        <v>76</v>
      </c>
      <c r="T46">
        <v>923.06510000000003</v>
      </c>
      <c r="U46">
        <v>49949147.687100001</v>
      </c>
      <c r="W46" s="47">
        <v>43137</v>
      </c>
      <c r="X46" s="32">
        <v>43137</v>
      </c>
      <c r="Z46" s="74">
        <v>0.5</v>
      </c>
      <c r="AA46" t="s">
        <v>77</v>
      </c>
      <c r="AB46" t="s">
        <v>78</v>
      </c>
    </row>
    <row r="47" spans="1:28" x14ac:dyDescent="0.2">
      <c r="A47" s="32">
        <v>43120</v>
      </c>
      <c r="B47">
        <v>947.44709999999998</v>
      </c>
      <c r="C47" s="4">
        <f t="shared" si="3"/>
        <v>-1.097674565875284E-5</v>
      </c>
      <c r="H47" s="35"/>
      <c r="Q47" s="47">
        <v>43138</v>
      </c>
      <c r="R47" t="s">
        <v>75</v>
      </c>
      <c r="S47" t="s">
        <v>76</v>
      </c>
      <c r="T47">
        <v>926.82410000000004</v>
      </c>
      <c r="U47">
        <v>50152553.271899998</v>
      </c>
      <c r="W47" s="47">
        <v>43138</v>
      </c>
      <c r="X47" s="32">
        <v>43138</v>
      </c>
      <c r="Z47" s="74">
        <v>0.5</v>
      </c>
      <c r="AA47" t="s">
        <v>77</v>
      </c>
      <c r="AB47" t="s">
        <v>78</v>
      </c>
    </row>
    <row r="48" spans="1:28" x14ac:dyDescent="0.2">
      <c r="A48" s="32">
        <v>43121</v>
      </c>
      <c r="B48">
        <v>947.43669999999997</v>
      </c>
      <c r="C48" s="4">
        <f t="shared" si="3"/>
        <v>-1.0976866149037257E-5</v>
      </c>
      <c r="Q48" s="47">
        <v>43139</v>
      </c>
      <c r="R48" t="s">
        <v>75</v>
      </c>
      <c r="S48" t="s">
        <v>76</v>
      </c>
      <c r="T48">
        <v>917.38890000000004</v>
      </c>
      <c r="U48">
        <v>49641994.208800003</v>
      </c>
      <c r="W48" s="47">
        <v>43139</v>
      </c>
      <c r="X48" s="32">
        <v>43139</v>
      </c>
      <c r="Z48" s="74">
        <v>0.5</v>
      </c>
      <c r="AA48" t="s">
        <v>77</v>
      </c>
      <c r="AB48" t="s">
        <v>78</v>
      </c>
    </row>
    <row r="49" spans="1:28" x14ac:dyDescent="0.2">
      <c r="A49" s="32">
        <v>43122</v>
      </c>
      <c r="B49">
        <v>942.74189999999999</v>
      </c>
      <c r="C49" s="4">
        <f t="shared" si="3"/>
        <v>-4.9552650852557889E-3</v>
      </c>
      <c r="Q49" s="47">
        <v>43140</v>
      </c>
      <c r="R49" t="s">
        <v>75</v>
      </c>
      <c r="S49" t="s">
        <v>76</v>
      </c>
      <c r="T49">
        <v>907.64509999999996</v>
      </c>
      <c r="U49">
        <v>49114737.848800004</v>
      </c>
      <c r="W49" s="47">
        <v>43140</v>
      </c>
      <c r="X49" s="32">
        <v>43140</v>
      </c>
      <c r="Z49" s="74">
        <v>0.5</v>
      </c>
      <c r="AA49" t="s">
        <v>77</v>
      </c>
      <c r="AB49" t="s">
        <v>78</v>
      </c>
    </row>
    <row r="50" spans="1:28" x14ac:dyDescent="0.2">
      <c r="A50" s="32">
        <v>43123</v>
      </c>
      <c r="B50">
        <v>931.27980000000002</v>
      </c>
      <c r="C50" s="4">
        <f t="shared" si="3"/>
        <v>-1.2158258798086741E-2</v>
      </c>
      <c r="Q50" s="47">
        <v>43141</v>
      </c>
      <c r="R50" t="s">
        <v>75</v>
      </c>
      <c r="S50" t="s">
        <v>76</v>
      </c>
      <c r="T50">
        <v>907.63520000000005</v>
      </c>
      <c r="U50">
        <v>49114199.833099999</v>
      </c>
      <c r="W50" s="47">
        <v>43141</v>
      </c>
      <c r="X50" s="32">
        <v>43141</v>
      </c>
      <c r="Z50" s="74">
        <v>0.5</v>
      </c>
      <c r="AA50" t="s">
        <v>77</v>
      </c>
      <c r="AB50" t="s">
        <v>78</v>
      </c>
    </row>
    <row r="51" spans="1:28" x14ac:dyDescent="0.2">
      <c r="A51" s="32">
        <v>43124</v>
      </c>
      <c r="B51">
        <v>922.08169999999996</v>
      </c>
      <c r="C51" s="4">
        <f t="shared" si="3"/>
        <v>-9.8768383035904295E-3</v>
      </c>
      <c r="Q51" s="47">
        <v>43142</v>
      </c>
      <c r="R51" t="s">
        <v>75</v>
      </c>
      <c r="S51" t="s">
        <v>76</v>
      </c>
      <c r="T51">
        <v>907.62519999999995</v>
      </c>
      <c r="U51">
        <v>49113660.619199999</v>
      </c>
      <c r="W51" s="47">
        <v>43142</v>
      </c>
      <c r="X51" s="32">
        <v>43142</v>
      </c>
      <c r="Z51" s="74">
        <v>0.5</v>
      </c>
      <c r="AA51" t="s">
        <v>77</v>
      </c>
      <c r="AB51" t="s">
        <v>78</v>
      </c>
    </row>
    <row r="52" spans="1:28" x14ac:dyDescent="0.2">
      <c r="A52" s="32">
        <v>43125</v>
      </c>
      <c r="B52">
        <v>924.28589999999997</v>
      </c>
      <c r="C52" s="4">
        <f t="shared" si="3"/>
        <v>2.3904606283804419E-3</v>
      </c>
      <c r="Q52" s="47">
        <v>43143</v>
      </c>
      <c r="R52" t="s">
        <v>75</v>
      </c>
      <c r="S52" t="s">
        <v>76</v>
      </c>
      <c r="T52">
        <v>907.61680000000001</v>
      </c>
      <c r="U52">
        <v>49113204.676700003</v>
      </c>
      <c r="W52" s="47">
        <v>43143</v>
      </c>
      <c r="X52" s="32">
        <v>43143</v>
      </c>
      <c r="Z52" s="74">
        <v>0.5</v>
      </c>
      <c r="AA52" t="s">
        <v>77</v>
      </c>
      <c r="AB52" t="s">
        <v>78</v>
      </c>
    </row>
    <row r="53" spans="1:28" x14ac:dyDescent="0.2">
      <c r="A53" s="32">
        <v>43126</v>
      </c>
      <c r="B53">
        <v>924.96669999999995</v>
      </c>
      <c r="C53" s="4">
        <f t="shared" si="3"/>
        <v>7.365686309830366E-4</v>
      </c>
    </row>
    <row r="54" spans="1:28" x14ac:dyDescent="0.2">
      <c r="A54" s="32">
        <v>43127</v>
      </c>
      <c r="B54">
        <v>924.95650000000001</v>
      </c>
      <c r="C54" s="4">
        <f t="shared" si="3"/>
        <v>-1.102742401426493E-5</v>
      </c>
    </row>
    <row r="55" spans="1:28" x14ac:dyDescent="0.2">
      <c r="A55" s="32">
        <v>43128</v>
      </c>
      <c r="B55">
        <v>924.94640000000004</v>
      </c>
      <c r="C55" s="4">
        <f t="shared" si="3"/>
        <v>-1.0919432427369813E-5</v>
      </c>
    </row>
    <row r="56" spans="1:28" x14ac:dyDescent="0.2">
      <c r="A56" s="32">
        <v>43129</v>
      </c>
      <c r="B56">
        <v>923.24609999999996</v>
      </c>
      <c r="C56" s="4">
        <f t="shared" si="3"/>
        <v>-1.8382686823799066E-3</v>
      </c>
    </row>
    <row r="57" spans="1:28" x14ac:dyDescent="0.2">
      <c r="A57" s="32">
        <v>43130</v>
      </c>
      <c r="B57">
        <v>922.78560000000004</v>
      </c>
      <c r="C57" s="4">
        <f t="shared" si="3"/>
        <v>-4.9878358543831158E-4</v>
      </c>
    </row>
    <row r="58" spans="1:28" x14ac:dyDescent="0.2">
      <c r="A58" s="32">
        <v>43131</v>
      </c>
      <c r="B58">
        <v>920.69489999999996</v>
      </c>
      <c r="C58" s="4">
        <f t="shared" si="3"/>
        <v>-2.2656400359954976E-3</v>
      </c>
    </row>
    <row r="59" spans="1:28" x14ac:dyDescent="0.2">
      <c r="A59" s="32">
        <v>43132</v>
      </c>
      <c r="B59">
        <v>930.0204</v>
      </c>
      <c r="C59" s="4">
        <f t="shared" si="3"/>
        <v>1.0128762524914681E-2</v>
      </c>
    </row>
    <row r="60" spans="1:28" x14ac:dyDescent="0.2">
      <c r="A60" s="32">
        <v>43133</v>
      </c>
      <c r="B60">
        <v>930.75149999999996</v>
      </c>
      <c r="C60" s="4">
        <f t="shared" si="3"/>
        <v>7.8611178851550889E-4</v>
      </c>
    </row>
    <row r="61" spans="1:28" x14ac:dyDescent="0.2">
      <c r="A61" s="32">
        <v>43134</v>
      </c>
      <c r="B61">
        <v>930.74130000000002</v>
      </c>
      <c r="C61" s="4">
        <f t="shared" si="3"/>
        <v>-1.095888644819798E-5</v>
      </c>
    </row>
    <row r="62" spans="1:28" x14ac:dyDescent="0.2">
      <c r="A62" s="32">
        <v>43135</v>
      </c>
      <c r="B62">
        <v>930.73109999999997</v>
      </c>
      <c r="C62" s="4">
        <f t="shared" si="3"/>
        <v>-1.0959006546795713E-5</v>
      </c>
    </row>
    <row r="63" spans="1:28" x14ac:dyDescent="0.2">
      <c r="A63" s="32">
        <v>43136</v>
      </c>
      <c r="B63">
        <v>929.78679999999997</v>
      </c>
      <c r="C63" s="4">
        <f t="shared" si="3"/>
        <v>-1.0145787542717999E-3</v>
      </c>
    </row>
    <row r="64" spans="1:28" x14ac:dyDescent="0.2">
      <c r="A64" s="32">
        <v>43137</v>
      </c>
      <c r="B64">
        <v>923.06510000000003</v>
      </c>
      <c r="C64" s="4">
        <f t="shared" si="3"/>
        <v>-7.2292917042917626E-3</v>
      </c>
    </row>
    <row r="65" spans="1:3" x14ac:dyDescent="0.2">
      <c r="A65" s="32">
        <v>43138</v>
      </c>
      <c r="B65">
        <v>926.82410000000004</v>
      </c>
      <c r="C65" s="4">
        <f t="shared" si="3"/>
        <v>4.0723021594035735E-3</v>
      </c>
    </row>
    <row r="66" spans="1:3" x14ac:dyDescent="0.2">
      <c r="A66" s="32">
        <v>43139</v>
      </c>
      <c r="B66">
        <v>917.38890000000004</v>
      </c>
      <c r="C66" s="4">
        <f t="shared" si="3"/>
        <v>-1.0180140978207186E-2</v>
      </c>
    </row>
    <row r="67" spans="1:3" x14ac:dyDescent="0.2">
      <c r="A67" s="32">
        <v>43140</v>
      </c>
      <c r="B67">
        <v>907.64509999999996</v>
      </c>
      <c r="C67" s="4">
        <f t="shared" si="3"/>
        <v>-1.0621231628156869E-2</v>
      </c>
    </row>
    <row r="68" spans="1:3" x14ac:dyDescent="0.2">
      <c r="A68" s="32">
        <v>43141</v>
      </c>
      <c r="B68">
        <v>907.63520000000005</v>
      </c>
      <c r="C68" s="4">
        <f t="shared" ref="C68:C70" si="10">+B68/B67-1</f>
        <v>-1.0907346935429274E-5</v>
      </c>
    </row>
    <row r="69" spans="1:3" x14ac:dyDescent="0.2">
      <c r="A69" s="32">
        <v>43142</v>
      </c>
      <c r="B69">
        <v>907.62519999999995</v>
      </c>
      <c r="C69" s="4">
        <f t="shared" si="10"/>
        <v>-1.1017642330468647E-5</v>
      </c>
    </row>
    <row r="70" spans="1:3" x14ac:dyDescent="0.2">
      <c r="A70" s="32">
        <v>43143</v>
      </c>
      <c r="B70">
        <v>907.61680000000001</v>
      </c>
      <c r="C70" s="4">
        <f t="shared" si="10"/>
        <v>-9.2549215248149963E-6</v>
      </c>
    </row>
  </sheetData>
  <mergeCells count="1">
    <mergeCell ref="N20:O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1A5D-16A5-462E-B8DB-FA67E3ED04EC}">
  <dimension ref="A1:AB55"/>
  <sheetViews>
    <sheetView workbookViewId="0">
      <selection activeCell="O26" sqref="O26"/>
    </sheetView>
  </sheetViews>
  <sheetFormatPr baseColWidth="10" defaultRowHeight="14.25" x14ac:dyDescent="0.2"/>
  <cols>
    <col min="1" max="1" width="14.875" bestFit="1" customWidth="1"/>
    <col min="3" max="3" width="13" bestFit="1" customWidth="1"/>
    <col min="9" max="9" width="10.125" bestFit="1" customWidth="1"/>
    <col min="10" max="10" width="12.25" bestFit="1" customWidth="1"/>
    <col min="11" max="11" width="8.25" bestFit="1" customWidth="1"/>
    <col min="12" max="12" width="11.875" bestFit="1" customWidth="1"/>
    <col min="13" max="13" width="21.625" bestFit="1" customWidth="1"/>
    <col min="14" max="14" width="22.375" bestFit="1" customWidth="1"/>
    <col min="16" max="17" width="14.875" bestFit="1" customWidth="1"/>
  </cols>
  <sheetData>
    <row r="1" spans="1:28" x14ac:dyDescent="0.2">
      <c r="A1" t="s">
        <v>51</v>
      </c>
      <c r="B1" t="s">
        <v>50</v>
      </c>
      <c r="C1" t="s">
        <v>53</v>
      </c>
      <c r="E1" t="s">
        <v>51</v>
      </c>
      <c r="F1" t="s">
        <v>54</v>
      </c>
      <c r="H1" s="1" t="s">
        <v>51</v>
      </c>
      <c r="I1" s="1" t="s">
        <v>46</v>
      </c>
      <c r="J1" s="1" t="s">
        <v>55</v>
      </c>
      <c r="K1" s="1" t="s">
        <v>56</v>
      </c>
      <c r="L1" s="1" t="s">
        <v>59</v>
      </c>
      <c r="M1" s="1" t="s">
        <v>57</v>
      </c>
      <c r="N1" s="1"/>
    </row>
    <row r="2" spans="1:28" x14ac:dyDescent="0.2">
      <c r="A2" s="32">
        <v>43090</v>
      </c>
      <c r="B2" s="33">
        <v>980.14080000000001</v>
      </c>
      <c r="C2" s="4">
        <v>-3.9236720830868599E-3</v>
      </c>
      <c r="E2" s="32">
        <v>43098</v>
      </c>
      <c r="F2" s="33">
        <v>18.7742</v>
      </c>
      <c r="H2" s="35">
        <f t="shared" ref="H2" si="0">+E2</f>
        <v>43098</v>
      </c>
      <c r="I2" s="37">
        <v>2.9721639270912092E-3</v>
      </c>
      <c r="J2" s="37">
        <v>6.0547881833765693E-3</v>
      </c>
      <c r="K2" s="36">
        <v>1.0937104383712537E-5</v>
      </c>
      <c r="L2" s="38">
        <v>100</v>
      </c>
      <c r="M2" s="38">
        <v>100</v>
      </c>
      <c r="P2" s="47"/>
      <c r="Q2" s="47">
        <v>43108</v>
      </c>
      <c r="R2" t="s">
        <v>75</v>
      </c>
      <c r="S2" t="s">
        <v>76</v>
      </c>
      <c r="T2">
        <v>932.53049999999996</v>
      </c>
      <c r="U2">
        <v>28563298.002500001</v>
      </c>
      <c r="W2" s="47">
        <v>43108</v>
      </c>
      <c r="X2" s="32">
        <v>43108</v>
      </c>
      <c r="Z2" s="74">
        <v>0.5</v>
      </c>
      <c r="AA2" t="s">
        <v>77</v>
      </c>
      <c r="AB2" t="s">
        <v>78</v>
      </c>
    </row>
    <row r="3" spans="1:28" x14ac:dyDescent="0.2">
      <c r="A3" s="32">
        <v>43091</v>
      </c>
      <c r="B3" s="33">
        <v>975.63409999999999</v>
      </c>
      <c r="C3" s="4">
        <v>-4.5980128569282908E-3</v>
      </c>
      <c r="E3" s="32">
        <v>43102</v>
      </c>
      <c r="F3">
        <v>18.55</v>
      </c>
      <c r="H3" s="35">
        <v>43102</v>
      </c>
      <c r="I3" s="37">
        <v>1.2086253369272271E-2</v>
      </c>
      <c r="J3" s="37">
        <v>1.36701249874287E-2</v>
      </c>
      <c r="K3" s="36">
        <v>1.0937104383712537E-5</v>
      </c>
      <c r="L3" s="38">
        <f t="shared" ref="L3:L31" si="1">+L2*(1+I3)</f>
        <v>101.20862533692723</v>
      </c>
      <c r="M3" s="38">
        <f t="shared" ref="M3:M31" si="2">+M2*(1+J3+K3)</f>
        <v>101.36810620918124</v>
      </c>
      <c r="P3" s="47"/>
      <c r="Q3" s="47">
        <v>43109</v>
      </c>
      <c r="R3" t="s">
        <v>75</v>
      </c>
      <c r="S3" t="s">
        <v>76</v>
      </c>
      <c r="T3">
        <v>934.69150000000002</v>
      </c>
      <c r="U3">
        <v>37629489.158</v>
      </c>
      <c r="W3" s="47">
        <v>43109</v>
      </c>
      <c r="X3" s="32">
        <v>43109</v>
      </c>
      <c r="Z3" s="74">
        <v>0.5</v>
      </c>
      <c r="AA3" t="s">
        <v>77</v>
      </c>
      <c r="AB3" t="s">
        <v>78</v>
      </c>
    </row>
    <row r="4" spans="1:28" x14ac:dyDescent="0.2">
      <c r="A4" s="32">
        <v>43092</v>
      </c>
      <c r="B4" s="33">
        <v>975.62339999999995</v>
      </c>
      <c r="C4" s="4">
        <v>-1.0967226340308223E-5</v>
      </c>
      <c r="E4" s="32">
        <v>43103</v>
      </c>
      <c r="F4">
        <v>18.415800000000001</v>
      </c>
      <c r="H4" s="35">
        <v>43103</v>
      </c>
      <c r="I4" s="37">
        <v>7.2872207560898961E-3</v>
      </c>
      <c r="J4" s="37">
        <v>8.1165450037024023E-3</v>
      </c>
      <c r="K4" s="36">
        <v>1.0937104383712537E-5</v>
      </c>
      <c r="L4" s="38">
        <f t="shared" si="1"/>
        <v>101.94615493217781</v>
      </c>
      <c r="M4" s="38">
        <f t="shared" si="2"/>
        <v>102.19197367872692</v>
      </c>
      <c r="N4" s="40"/>
      <c r="O4" s="40"/>
      <c r="P4" s="47"/>
      <c r="Q4" s="47">
        <v>43110</v>
      </c>
      <c r="R4" t="s">
        <v>75</v>
      </c>
      <c r="S4" t="s">
        <v>76</v>
      </c>
      <c r="T4">
        <v>951.59079999999994</v>
      </c>
      <c r="U4">
        <v>38309833.355999999</v>
      </c>
      <c r="W4" s="47">
        <v>43110</v>
      </c>
      <c r="X4" s="32">
        <v>43110</v>
      </c>
      <c r="Z4" s="74">
        <v>0.5</v>
      </c>
      <c r="AA4" t="s">
        <v>77</v>
      </c>
      <c r="AB4" t="s">
        <v>78</v>
      </c>
    </row>
    <row r="5" spans="1:28" ht="15" x14ac:dyDescent="0.25">
      <c r="A5" s="32">
        <v>43093</v>
      </c>
      <c r="B5" s="33">
        <v>975.61270000000002</v>
      </c>
      <c r="C5" s="4">
        <v>-1.0967346621537644E-5</v>
      </c>
      <c r="E5" s="32">
        <v>43104</v>
      </c>
      <c r="F5">
        <v>18.605</v>
      </c>
      <c r="H5" s="35">
        <v>43104</v>
      </c>
      <c r="I5" s="37">
        <f t="shared" ref="I5:I31" si="3">+F4/F5-1</f>
        <v>-1.0169309325450127E-2</v>
      </c>
      <c r="J5" s="37">
        <f t="shared" ref="J5:J14" si="4">+VLOOKUP(E5,$A$2:$C$29,3,FALSE)</f>
        <v>-9.5380372089348686E-3</v>
      </c>
      <c r="K5" s="36">
        <f t="shared" ref="K5:K31" si="5">+(1+0.4%)^(1/365)-1</f>
        <v>1.0937104383712537E-5</v>
      </c>
      <c r="L5" s="38">
        <f t="shared" si="1"/>
        <v>100.90943294813222</v>
      </c>
      <c r="M5" s="38">
        <f t="shared" si="2"/>
        <v>101.21838051560803</v>
      </c>
      <c r="N5" s="79" t="s">
        <v>79</v>
      </c>
      <c r="O5" s="80"/>
      <c r="P5" s="47"/>
      <c r="Q5" s="47">
        <v>43111</v>
      </c>
      <c r="R5" t="s">
        <v>75</v>
      </c>
      <c r="S5" t="s">
        <v>76</v>
      </c>
      <c r="T5">
        <v>955.76020000000005</v>
      </c>
      <c r="U5">
        <v>38477688.166599996</v>
      </c>
      <c r="W5" s="47">
        <v>43111</v>
      </c>
      <c r="X5" s="32">
        <v>43111</v>
      </c>
      <c r="Z5" s="74">
        <v>0.5</v>
      </c>
      <c r="AA5" t="s">
        <v>77</v>
      </c>
      <c r="AB5" t="s">
        <v>78</v>
      </c>
    </row>
    <row r="6" spans="1:28" x14ac:dyDescent="0.2">
      <c r="A6" s="32">
        <v>43094</v>
      </c>
      <c r="B6" s="33">
        <v>975.60199999999998</v>
      </c>
      <c r="C6" s="4">
        <v>-1.0967466905764667E-5</v>
      </c>
      <c r="E6" s="32">
        <v>43105</v>
      </c>
      <c r="F6">
        <v>18.860800000000001</v>
      </c>
      <c r="H6" s="35">
        <v>43105</v>
      </c>
      <c r="I6" s="37">
        <f t="shared" si="3"/>
        <v>-1.356252120800816E-2</v>
      </c>
      <c r="J6" s="37">
        <f t="shared" si="4"/>
        <v>-1.1255171609128922E-2</v>
      </c>
      <c r="K6" s="36">
        <f t="shared" si="5"/>
        <v>1.0937104383712537E-5</v>
      </c>
      <c r="L6" s="38">
        <f t="shared" si="1"/>
        <v>99.540846623685098</v>
      </c>
      <c r="M6" s="38">
        <f t="shared" si="2"/>
        <v>100.0802573089</v>
      </c>
      <c r="N6" s="41" t="s">
        <v>46</v>
      </c>
      <c r="O6" s="43">
        <f>+L31/100-1</f>
        <v>-6.7157578829164399E-2</v>
      </c>
      <c r="P6" s="47"/>
      <c r="Q6" s="47">
        <v>43112</v>
      </c>
      <c r="R6" t="s">
        <v>75</v>
      </c>
      <c r="S6" t="s">
        <v>76</v>
      </c>
      <c r="T6">
        <v>954.72360000000003</v>
      </c>
      <c r="U6">
        <v>38435958.157099999</v>
      </c>
      <c r="W6" s="47">
        <v>43112</v>
      </c>
      <c r="X6" s="32">
        <v>43112</v>
      </c>
      <c r="Z6" s="74">
        <v>0.5</v>
      </c>
      <c r="AA6" t="s">
        <v>77</v>
      </c>
      <c r="AB6" t="s">
        <v>78</v>
      </c>
    </row>
    <row r="7" spans="1:28" x14ac:dyDescent="0.2">
      <c r="A7" s="32">
        <v>43095</v>
      </c>
      <c r="B7" s="33">
        <v>964.06799999999998</v>
      </c>
      <c r="C7" s="4">
        <v>-1.1822443988429687E-2</v>
      </c>
      <c r="E7" s="32">
        <v>43108</v>
      </c>
      <c r="F7">
        <v>19.072500000000002</v>
      </c>
      <c r="H7" s="35">
        <v>43108</v>
      </c>
      <c r="I7" s="37">
        <f t="shared" si="3"/>
        <v>-1.1099750950321119E-2</v>
      </c>
      <c r="J7" s="37">
        <f t="shared" si="4"/>
        <v>-1.038515080812541E-2</v>
      </c>
      <c r="K7" s="36">
        <f t="shared" si="5"/>
        <v>1.0937104383712537E-5</v>
      </c>
      <c r="L7" s="38">
        <f t="shared" si="1"/>
        <v>98.435968016778077</v>
      </c>
      <c r="M7" s="38">
        <f t="shared" si="2"/>
        <v>99.042003332052019</v>
      </c>
      <c r="N7" s="42" t="s">
        <v>53</v>
      </c>
      <c r="O7" s="44">
        <f>+M31/100-1</f>
        <v>-3.5672262214430095E-2</v>
      </c>
      <c r="P7" s="47"/>
      <c r="Q7" s="47">
        <v>43113</v>
      </c>
      <c r="R7" t="s">
        <v>75</v>
      </c>
      <c r="S7" t="s">
        <v>76</v>
      </c>
      <c r="T7">
        <v>954.71320000000003</v>
      </c>
      <c r="U7">
        <v>38435536.9256</v>
      </c>
      <c r="W7" s="47">
        <v>43113</v>
      </c>
      <c r="X7" s="32">
        <v>43113</v>
      </c>
      <c r="Z7" s="74">
        <v>0.5</v>
      </c>
      <c r="AA7" t="s">
        <v>77</v>
      </c>
      <c r="AB7" t="s">
        <v>78</v>
      </c>
    </row>
    <row r="8" spans="1:28" x14ac:dyDescent="0.2">
      <c r="A8" s="32">
        <v>43096</v>
      </c>
      <c r="B8" s="33">
        <v>955.10550000000001</v>
      </c>
      <c r="C8" s="4">
        <v>-9.2965433973536404E-3</v>
      </c>
      <c r="E8" s="32">
        <v>43109</v>
      </c>
      <c r="F8">
        <v>19.0458</v>
      </c>
      <c r="H8" s="35">
        <v>43109</v>
      </c>
      <c r="I8" s="37">
        <f t="shared" si="3"/>
        <v>1.4018838799105815E-3</v>
      </c>
      <c r="J8" s="37">
        <f t="shared" si="4"/>
        <v>2.317350478080904E-3</v>
      </c>
      <c r="K8" s="36">
        <f t="shared" si="5"/>
        <v>1.0937104383712537E-5</v>
      </c>
      <c r="L8" s="38">
        <f t="shared" si="1"/>
        <v>98.573963813544196</v>
      </c>
      <c r="M8" s="38">
        <f t="shared" si="2"/>
        <v>99.272601598552455</v>
      </c>
      <c r="N8" s="41" t="s">
        <v>61</v>
      </c>
      <c r="O8" s="45">
        <f>+O7-O6</f>
        <v>3.1485316614734304E-2</v>
      </c>
      <c r="P8" s="47"/>
      <c r="Q8" s="47">
        <v>43114</v>
      </c>
      <c r="R8" t="s">
        <v>75</v>
      </c>
      <c r="S8" t="s">
        <v>76</v>
      </c>
      <c r="T8">
        <v>954.70270000000005</v>
      </c>
      <c r="U8">
        <v>38435115.7029</v>
      </c>
      <c r="W8" s="47">
        <v>43114</v>
      </c>
      <c r="X8" s="32">
        <v>43114</v>
      </c>
      <c r="Z8" s="74">
        <v>0.5</v>
      </c>
      <c r="AA8" t="s">
        <v>77</v>
      </c>
      <c r="AB8" t="s">
        <v>78</v>
      </c>
    </row>
    <row r="9" spans="1:28" x14ac:dyDescent="0.2">
      <c r="A9" s="32">
        <v>43097</v>
      </c>
      <c r="B9" s="33">
        <v>935.98649999999998</v>
      </c>
      <c r="C9" s="4">
        <v>-2.0017683910311557E-2</v>
      </c>
      <c r="E9" s="32">
        <v>43110</v>
      </c>
      <c r="F9">
        <v>18.721699999999998</v>
      </c>
      <c r="H9" s="35">
        <v>43110</v>
      </c>
      <c r="I9" s="37">
        <f t="shared" si="3"/>
        <v>1.7311462100129793E-2</v>
      </c>
      <c r="J9" s="37">
        <f t="shared" si="4"/>
        <v>1.808008310763487E-2</v>
      </c>
      <c r="K9" s="36">
        <f t="shared" si="5"/>
        <v>1.0937104383712537E-5</v>
      </c>
      <c r="L9" s="38">
        <f t="shared" si="1"/>
        <v>100.28042325216194</v>
      </c>
      <c r="M9" s="38">
        <f t="shared" si="2"/>
        <v>101.06854424057154</v>
      </c>
      <c r="N9" s="42"/>
      <c r="O9" s="44"/>
      <c r="P9" s="47"/>
      <c r="Q9" s="47">
        <v>43115</v>
      </c>
      <c r="R9" t="s">
        <v>75</v>
      </c>
      <c r="S9" t="s">
        <v>76</v>
      </c>
      <c r="T9">
        <v>955.80129999999997</v>
      </c>
      <c r="U9">
        <v>38479343.957400002</v>
      </c>
      <c r="W9" s="47">
        <v>43115</v>
      </c>
      <c r="X9" s="32">
        <v>43115</v>
      </c>
      <c r="Z9" s="74">
        <v>0.5</v>
      </c>
      <c r="AA9" t="s">
        <v>77</v>
      </c>
      <c r="AB9" t="s">
        <v>78</v>
      </c>
    </row>
    <row r="10" spans="1:28" x14ac:dyDescent="0.2">
      <c r="A10" s="32">
        <v>43098</v>
      </c>
      <c r="B10" s="33">
        <v>941.65369999999996</v>
      </c>
      <c r="C10" s="4">
        <v>6.0547881833765693E-3</v>
      </c>
      <c r="E10" s="32">
        <v>43111</v>
      </c>
      <c r="F10">
        <v>18.651700000000002</v>
      </c>
      <c r="H10" s="35">
        <v>43111</v>
      </c>
      <c r="I10" s="37">
        <f t="shared" si="3"/>
        <v>3.753009109089156E-3</v>
      </c>
      <c r="J10" s="37">
        <f t="shared" si="4"/>
        <v>4.3815051595708088E-3</v>
      </c>
      <c r="K10" s="36">
        <f t="shared" si="5"/>
        <v>1.0937104383712537E-5</v>
      </c>
      <c r="L10" s="38">
        <f t="shared" si="1"/>
        <v>100.65677659409062</v>
      </c>
      <c r="M10" s="38">
        <f t="shared" si="2"/>
        <v>101.51248198585019</v>
      </c>
      <c r="P10" s="47"/>
      <c r="Q10" s="47">
        <v>43116</v>
      </c>
      <c r="R10" t="s">
        <v>75</v>
      </c>
      <c r="S10" t="s">
        <v>76</v>
      </c>
      <c r="T10">
        <v>955.79079999999999</v>
      </c>
      <c r="U10">
        <v>38478922.037500001</v>
      </c>
      <c r="W10" s="47">
        <v>43116</v>
      </c>
      <c r="X10" s="32">
        <v>43116</v>
      </c>
      <c r="Z10" s="74">
        <v>0.5</v>
      </c>
      <c r="AA10" t="s">
        <v>77</v>
      </c>
      <c r="AB10" t="s">
        <v>78</v>
      </c>
    </row>
    <row r="11" spans="1:28" x14ac:dyDescent="0.2">
      <c r="A11" s="32">
        <v>43099</v>
      </c>
      <c r="B11" s="33">
        <v>941.64340000000004</v>
      </c>
      <c r="C11" s="4">
        <v>-1.0938203715338268E-5</v>
      </c>
      <c r="E11" s="32">
        <v>43112</v>
      </c>
      <c r="F11">
        <v>18.715</v>
      </c>
      <c r="H11" s="35">
        <v>43112</v>
      </c>
      <c r="I11" s="37">
        <f t="shared" si="3"/>
        <v>-3.3823136521505814E-3</v>
      </c>
      <c r="J11" s="37">
        <f t="shared" si="4"/>
        <v>-1.0845816764498695E-3</v>
      </c>
      <c r="K11" s="36">
        <f t="shared" si="5"/>
        <v>1.0937104383712537E-5</v>
      </c>
      <c r="L11" s="38">
        <f t="shared" si="1"/>
        <v>100.31632380443496</v>
      </c>
      <c r="M11" s="38">
        <f t="shared" si="2"/>
        <v>101.40349366056911</v>
      </c>
      <c r="P11" s="47"/>
      <c r="Q11" s="47">
        <v>43117</v>
      </c>
      <c r="R11" t="s">
        <v>75</v>
      </c>
      <c r="S11" t="s">
        <v>76</v>
      </c>
      <c r="T11">
        <v>947.82749999999999</v>
      </c>
      <c r="U11">
        <v>38158326.738499999</v>
      </c>
      <c r="W11" s="47">
        <v>43117</v>
      </c>
      <c r="X11" s="32">
        <v>43117</v>
      </c>
      <c r="Z11" s="74">
        <v>0.5</v>
      </c>
      <c r="AA11" t="s">
        <v>77</v>
      </c>
      <c r="AB11" t="s">
        <v>78</v>
      </c>
    </row>
    <row r="12" spans="1:28" x14ac:dyDescent="0.2">
      <c r="A12" s="32">
        <v>43100</v>
      </c>
      <c r="B12" s="33">
        <v>941.63300000000004</v>
      </c>
      <c r="C12" s="4">
        <v>-1.1044520675240754E-5</v>
      </c>
      <c r="E12" s="32">
        <v>43115</v>
      </c>
      <c r="F12">
        <v>18.720800000000001</v>
      </c>
      <c r="H12" s="35">
        <v>43115</v>
      </c>
      <c r="I12" s="37">
        <f t="shared" si="3"/>
        <v>-3.0981581983680062E-4</v>
      </c>
      <c r="J12" s="37">
        <f t="shared" si="4"/>
        <v>1.1507247229949336E-3</v>
      </c>
      <c r="K12" s="36">
        <f t="shared" si="5"/>
        <v>1.0937104383712537E-5</v>
      </c>
      <c r="L12" s="38">
        <f t="shared" si="1"/>
        <v>100.28524422033247</v>
      </c>
      <c r="M12" s="38">
        <f t="shared" si="2"/>
        <v>101.52129022831743</v>
      </c>
      <c r="P12" s="47"/>
      <c r="Q12" s="47">
        <v>43118</v>
      </c>
      <c r="R12" t="s">
        <v>75</v>
      </c>
      <c r="S12" t="s">
        <v>76</v>
      </c>
      <c r="T12">
        <v>950.49480000000005</v>
      </c>
      <c r="U12">
        <v>38265711.078900002</v>
      </c>
      <c r="W12" s="47">
        <v>43118</v>
      </c>
      <c r="X12" s="32">
        <v>43118</v>
      </c>
      <c r="Z12" s="74">
        <v>0.5</v>
      </c>
      <c r="AA12" t="s">
        <v>77</v>
      </c>
      <c r="AB12" t="s">
        <v>78</v>
      </c>
    </row>
    <row r="13" spans="1:28" x14ac:dyDescent="0.2">
      <c r="A13" s="32">
        <v>43101</v>
      </c>
      <c r="B13" s="33">
        <v>941.62270000000001</v>
      </c>
      <c r="C13" s="4">
        <v>-1.0938444170993655E-5</v>
      </c>
      <c r="E13" s="32">
        <v>43116</v>
      </c>
      <c r="F13">
        <v>18.825800000000001</v>
      </c>
      <c r="H13" s="35">
        <v>43116</v>
      </c>
      <c r="I13" s="37">
        <f t="shared" si="3"/>
        <v>-5.5774522198259735E-3</v>
      </c>
      <c r="J13" s="37">
        <f t="shared" si="4"/>
        <v>-1.0985546891384423E-5</v>
      </c>
      <c r="K13" s="36">
        <f t="shared" si="5"/>
        <v>1.0937104383712537E-5</v>
      </c>
      <c r="L13" s="38">
        <f t="shared" si="1"/>
        <v>99.725908062339983</v>
      </c>
      <c r="M13" s="38">
        <f t="shared" si="2"/>
        <v>101.52128531037154</v>
      </c>
      <c r="P13" s="47"/>
      <c r="Q13" s="47">
        <v>43119</v>
      </c>
      <c r="R13" t="s">
        <v>75</v>
      </c>
      <c r="S13" t="s">
        <v>76</v>
      </c>
      <c r="T13">
        <v>947.45749999999998</v>
      </c>
      <c r="U13">
        <v>44143433.313100003</v>
      </c>
      <c r="W13" s="47">
        <v>43119</v>
      </c>
      <c r="X13" s="32">
        <v>43119</v>
      </c>
      <c r="Z13" s="74">
        <v>0.5</v>
      </c>
      <c r="AA13" t="s">
        <v>77</v>
      </c>
      <c r="AB13" t="s">
        <v>78</v>
      </c>
    </row>
    <row r="14" spans="1:28" x14ac:dyDescent="0.2">
      <c r="A14" s="32">
        <v>43102</v>
      </c>
      <c r="B14">
        <v>954.49480000000005</v>
      </c>
      <c r="C14" s="4">
        <v>1.36701249874287E-2</v>
      </c>
      <c r="E14" s="32">
        <v>43117</v>
      </c>
      <c r="F14">
        <v>18.8917</v>
      </c>
      <c r="H14" s="35">
        <v>43117</v>
      </c>
      <c r="I14" s="37">
        <f t="shared" si="3"/>
        <v>-3.488304387641139E-3</v>
      </c>
      <c r="J14" s="37">
        <f t="shared" si="4"/>
        <v>-8.3316349142511514E-3</v>
      </c>
      <c r="K14" s="36">
        <f t="shared" si="5"/>
        <v>1.0937104383712537E-5</v>
      </c>
      <c r="L14" s="38">
        <f t="shared" si="1"/>
        <v>99.378033739684625</v>
      </c>
      <c r="M14" s="38">
        <f t="shared" si="2"/>
        <v>100.6765573740346</v>
      </c>
      <c r="O14" s="46"/>
      <c r="P14" s="47"/>
      <c r="Q14" s="47">
        <v>43120</v>
      </c>
      <c r="R14" t="s">
        <v>75</v>
      </c>
      <c r="S14" t="s">
        <v>76</v>
      </c>
      <c r="T14">
        <v>947.44709999999998</v>
      </c>
      <c r="U14">
        <v>44142949.529799998</v>
      </c>
      <c r="W14" s="47">
        <v>43120</v>
      </c>
      <c r="X14" s="32">
        <v>43120</v>
      </c>
      <c r="Z14" s="74">
        <v>0.5</v>
      </c>
      <c r="AA14" t="s">
        <v>77</v>
      </c>
      <c r="AB14" t="s">
        <v>78</v>
      </c>
    </row>
    <row r="15" spans="1:28" x14ac:dyDescent="0.2">
      <c r="A15" s="32">
        <v>43103</v>
      </c>
      <c r="B15">
        <v>962.24199999999996</v>
      </c>
      <c r="C15" s="4">
        <v>8.1165450037024023E-3</v>
      </c>
      <c r="E15" s="33">
        <v>43118</v>
      </c>
      <c r="F15">
        <v>18.852499999999999</v>
      </c>
      <c r="H15" s="35">
        <v>43118</v>
      </c>
      <c r="I15" s="37">
        <f t="shared" si="3"/>
        <v>2.0792998276091268E-3</v>
      </c>
      <c r="J15" s="37">
        <f t="shared" ref="J15:J31" si="6">+VLOOKUP(E15,$A$2:$C$170,3,FALSE)</f>
        <v>2.8141196578492789E-3</v>
      </c>
      <c r="K15" s="36">
        <f t="shared" si="5"/>
        <v>1.0937104383712537E-5</v>
      </c>
      <c r="L15" s="38">
        <f t="shared" si="1"/>
        <v>99.584670468107689</v>
      </c>
      <c r="M15" s="38">
        <f t="shared" si="2"/>
        <v>100.96097436324246</v>
      </c>
      <c r="O15" s="16"/>
      <c r="Q15" s="47">
        <v>43121</v>
      </c>
      <c r="R15" t="s">
        <v>75</v>
      </c>
      <c r="S15" t="s">
        <v>76</v>
      </c>
      <c r="T15">
        <v>947.43669999999997</v>
      </c>
      <c r="U15">
        <v>44142464.912699997</v>
      </c>
      <c r="W15" s="47">
        <v>43121</v>
      </c>
      <c r="X15" s="32">
        <v>43121</v>
      </c>
      <c r="Z15" s="74">
        <v>0.5</v>
      </c>
      <c r="AA15" t="s">
        <v>77</v>
      </c>
      <c r="AB15" t="s">
        <v>78</v>
      </c>
    </row>
    <row r="16" spans="1:28" x14ac:dyDescent="0.2">
      <c r="A16" s="32">
        <v>43104</v>
      </c>
      <c r="B16">
        <v>953.06410000000005</v>
      </c>
      <c r="C16" s="4">
        <v>-9.5380372089348686E-3</v>
      </c>
      <c r="E16" s="32">
        <v>43119</v>
      </c>
      <c r="F16">
        <v>18.962499999999999</v>
      </c>
      <c r="H16" s="35">
        <v>43119</v>
      </c>
      <c r="I16" s="37">
        <f t="shared" si="3"/>
        <v>-5.800922874093617E-3</v>
      </c>
      <c r="J16" s="37">
        <f t="shared" si="6"/>
        <v>-3.1954935471504298E-3</v>
      </c>
      <c r="K16" s="36">
        <f t="shared" si="5"/>
        <v>1.0937104383712537E-5</v>
      </c>
      <c r="L16" s="38">
        <f t="shared" si="1"/>
        <v>99.00698747528017</v>
      </c>
      <c r="M16" s="38">
        <f t="shared" si="2"/>
        <v>100.63945844186598</v>
      </c>
      <c r="Q16" s="47">
        <v>43122</v>
      </c>
      <c r="R16" t="s">
        <v>75</v>
      </c>
      <c r="S16" t="s">
        <v>76</v>
      </c>
      <c r="T16">
        <v>942.74189999999999</v>
      </c>
      <c r="U16">
        <v>43923724.300999999</v>
      </c>
      <c r="W16" s="47">
        <v>43122</v>
      </c>
      <c r="X16" s="32">
        <v>43122</v>
      </c>
      <c r="Z16" s="74">
        <v>0.5</v>
      </c>
      <c r="AA16" t="s">
        <v>77</v>
      </c>
      <c r="AB16" t="s">
        <v>78</v>
      </c>
    </row>
    <row r="17" spans="1:28" x14ac:dyDescent="0.2">
      <c r="A17" s="32">
        <v>43105</v>
      </c>
      <c r="B17">
        <v>942.33720000000005</v>
      </c>
      <c r="C17" s="4">
        <v>-1.1255171609128922E-2</v>
      </c>
      <c r="E17" s="32">
        <v>43122</v>
      </c>
      <c r="F17">
        <v>19.07</v>
      </c>
      <c r="H17" s="35">
        <v>43122</v>
      </c>
      <c r="I17" s="37">
        <f t="shared" si="3"/>
        <v>-5.6371263765077062E-3</v>
      </c>
      <c r="J17" s="37">
        <f t="shared" si="6"/>
        <v>-4.9552650852557889E-3</v>
      </c>
      <c r="K17" s="36">
        <f t="shared" si="5"/>
        <v>1.0937104383712537E-5</v>
      </c>
      <c r="L17" s="38">
        <f t="shared" si="1"/>
        <v>98.448872574724703</v>
      </c>
      <c r="M17" s="38">
        <f t="shared" si="2"/>
        <v>100.14186395151205</v>
      </c>
      <c r="Q17" s="47">
        <v>43123</v>
      </c>
      <c r="R17" t="s">
        <v>75</v>
      </c>
      <c r="S17" t="s">
        <v>76</v>
      </c>
      <c r="T17">
        <v>931.27980000000002</v>
      </c>
      <c r="U17">
        <v>43389689.149499997</v>
      </c>
      <c r="W17" s="47">
        <v>43123</v>
      </c>
      <c r="X17" s="32">
        <v>43123</v>
      </c>
      <c r="Z17" s="74">
        <v>0.5</v>
      </c>
      <c r="AA17" t="s">
        <v>77</v>
      </c>
      <c r="AB17" t="s">
        <v>78</v>
      </c>
    </row>
    <row r="18" spans="1:28" x14ac:dyDescent="0.2">
      <c r="A18" s="32">
        <v>43106</v>
      </c>
      <c r="B18">
        <v>942.32690000000002</v>
      </c>
      <c r="C18" s="4">
        <v>-1.0930269971343165E-5</v>
      </c>
      <c r="E18" s="32">
        <v>43123</v>
      </c>
      <c r="F18">
        <v>19.316700000000001</v>
      </c>
      <c r="H18" s="35">
        <v>43123</v>
      </c>
      <c r="I18" s="37">
        <f t="shared" si="3"/>
        <v>-1.277133257751073E-2</v>
      </c>
      <c r="J18" s="37">
        <f t="shared" si="6"/>
        <v>-1.2158258798086741E-2</v>
      </c>
      <c r="K18" s="36">
        <f t="shared" si="5"/>
        <v>1.0937104383712537E-5</v>
      </c>
      <c r="L18" s="38">
        <f t="shared" si="1"/>
        <v>97.191549281191925</v>
      </c>
      <c r="M18" s="38">
        <f t="shared" si="2"/>
        <v>98.925408515085991</v>
      </c>
      <c r="Q18" s="47">
        <v>43124</v>
      </c>
      <c r="R18" t="s">
        <v>75</v>
      </c>
      <c r="S18" t="s">
        <v>76</v>
      </c>
      <c r="T18">
        <v>922.08169999999996</v>
      </c>
      <c r="U18">
        <v>42961136.045299999</v>
      </c>
      <c r="W18" s="47">
        <v>43124</v>
      </c>
      <c r="X18" s="32">
        <v>43124</v>
      </c>
      <c r="Z18" s="74">
        <v>0.5</v>
      </c>
      <c r="AA18" t="s">
        <v>77</v>
      </c>
      <c r="AB18" t="s">
        <v>78</v>
      </c>
    </row>
    <row r="19" spans="1:28" x14ac:dyDescent="0.2">
      <c r="A19" s="32">
        <v>43107</v>
      </c>
      <c r="B19">
        <v>942.31659999999999</v>
      </c>
      <c r="C19" s="4">
        <v>-1.0930389443442046E-5</v>
      </c>
      <c r="E19" s="32">
        <v>43124</v>
      </c>
      <c r="F19">
        <v>19.5258</v>
      </c>
      <c r="H19" s="35">
        <v>43124</v>
      </c>
      <c r="I19" s="37">
        <f t="shared" si="3"/>
        <v>-1.0708908213747925E-2</v>
      </c>
      <c r="J19" s="37">
        <f t="shared" si="6"/>
        <v>-9.8768383035904295E-3</v>
      </c>
      <c r="K19" s="36">
        <f t="shared" si="5"/>
        <v>1.0937104383712537E-5</v>
      </c>
      <c r="L19" s="38">
        <f t="shared" si="1"/>
        <v>96.150733900787685</v>
      </c>
      <c r="M19" s="38">
        <f t="shared" si="2"/>
        <v>97.949420208584996</v>
      </c>
      <c r="Q19" s="47">
        <v>43125</v>
      </c>
      <c r="R19" t="s">
        <v>75</v>
      </c>
      <c r="S19" t="s">
        <v>76</v>
      </c>
      <c r="T19">
        <v>924.28589999999997</v>
      </c>
      <c r="U19">
        <v>43063834.263800003</v>
      </c>
      <c r="W19" s="47">
        <v>43125</v>
      </c>
      <c r="X19" s="32">
        <v>43125</v>
      </c>
      <c r="Z19" s="74">
        <v>0.5</v>
      </c>
      <c r="AA19" t="s">
        <v>77</v>
      </c>
      <c r="AB19" t="s">
        <v>78</v>
      </c>
    </row>
    <row r="20" spans="1:28" x14ac:dyDescent="0.2">
      <c r="A20" s="32">
        <v>43108</v>
      </c>
      <c r="B20">
        <v>932.53049999999996</v>
      </c>
      <c r="C20" s="4">
        <v>-1.038515080812541E-2</v>
      </c>
      <c r="E20" s="32">
        <v>43125</v>
      </c>
      <c r="F20">
        <v>19.493300000000001</v>
      </c>
      <c r="H20" s="35">
        <v>43125</v>
      </c>
      <c r="I20" s="37">
        <f t="shared" si="3"/>
        <v>1.6672395130634676E-3</v>
      </c>
      <c r="J20" s="37">
        <f t="shared" si="6"/>
        <v>2.3904606283804419E-3</v>
      </c>
      <c r="K20" s="36">
        <f t="shared" si="5"/>
        <v>1.0937104383712537E-5</v>
      </c>
      <c r="L20" s="38">
        <f t="shared" si="1"/>
        <v>96.311040203557127</v>
      </c>
      <c r="M20" s="38">
        <f t="shared" si="2"/>
        <v>98.184635724199453</v>
      </c>
      <c r="Q20" s="47">
        <v>43126</v>
      </c>
      <c r="R20" t="s">
        <v>75</v>
      </c>
      <c r="S20" t="s">
        <v>76</v>
      </c>
      <c r="T20">
        <v>924.96669999999995</v>
      </c>
      <c r="U20">
        <v>43095552.160099998</v>
      </c>
      <c r="W20" s="47">
        <v>43126</v>
      </c>
      <c r="X20" s="32">
        <v>43126</v>
      </c>
      <c r="Z20" s="74">
        <v>0.5</v>
      </c>
      <c r="AA20" t="s">
        <v>77</v>
      </c>
      <c r="AB20" t="s">
        <v>78</v>
      </c>
    </row>
    <row r="21" spans="1:28" x14ac:dyDescent="0.2">
      <c r="A21" s="32">
        <v>43109</v>
      </c>
      <c r="B21">
        <v>934.69150000000002</v>
      </c>
      <c r="C21" s="4">
        <v>2.317350478080904E-3</v>
      </c>
      <c r="E21" s="32">
        <v>43126</v>
      </c>
      <c r="F21">
        <v>19.521699999999999</v>
      </c>
      <c r="H21" s="35">
        <v>43126</v>
      </c>
      <c r="I21" s="37">
        <f t="shared" si="3"/>
        <v>-1.4547913347708885E-3</v>
      </c>
      <c r="J21" s="37">
        <f t="shared" si="6"/>
        <v>7.365686309830366E-4</v>
      </c>
      <c r="K21" s="36">
        <f t="shared" si="5"/>
        <v>1.0937104383712537E-5</v>
      </c>
      <c r="L21" s="38">
        <f t="shared" si="1"/>
        <v>96.170927736826215</v>
      </c>
      <c r="M21" s="38">
        <f t="shared" si="2"/>
        <v>98.258029302528186</v>
      </c>
      <c r="Q21" s="47">
        <v>43127</v>
      </c>
      <c r="R21" t="s">
        <v>75</v>
      </c>
      <c r="S21" t="s">
        <v>76</v>
      </c>
      <c r="T21">
        <v>924.95650000000001</v>
      </c>
      <c r="U21">
        <v>43095079.496799998</v>
      </c>
      <c r="W21" s="47">
        <v>43127</v>
      </c>
      <c r="X21" s="32">
        <v>43127</v>
      </c>
      <c r="Z21" s="74">
        <v>0.5</v>
      </c>
      <c r="AA21" t="s">
        <v>77</v>
      </c>
      <c r="AB21" t="s">
        <v>78</v>
      </c>
    </row>
    <row r="22" spans="1:28" x14ac:dyDescent="0.2">
      <c r="A22" s="32">
        <v>43110</v>
      </c>
      <c r="B22">
        <v>951.59079999999994</v>
      </c>
      <c r="C22" s="4">
        <f t="shared" ref="C22:C52" si="7">+B22/B21-1</f>
        <v>1.808008310763487E-2</v>
      </c>
      <c r="E22" s="32">
        <v>43129</v>
      </c>
      <c r="F22">
        <v>19.5717</v>
      </c>
      <c r="H22" s="35">
        <v>43129</v>
      </c>
      <c r="I22" s="37">
        <f t="shared" si="3"/>
        <v>-2.5547090952753315E-3</v>
      </c>
      <c r="J22" s="37">
        <f t="shared" si="6"/>
        <v>-1.8382686823799066E-3</v>
      </c>
      <c r="K22" s="36">
        <f t="shared" si="5"/>
        <v>1.0937104383712537E-5</v>
      </c>
      <c r="L22" s="38">
        <f t="shared" si="1"/>
        <v>95.925238993035876</v>
      </c>
      <c r="M22" s="38">
        <f t="shared" si="2"/>
        <v>98.078479302792005</v>
      </c>
      <c r="Q22" s="47">
        <v>43128</v>
      </c>
      <c r="R22" t="s">
        <v>75</v>
      </c>
      <c r="S22" t="s">
        <v>76</v>
      </c>
      <c r="T22">
        <v>924.94640000000004</v>
      </c>
      <c r="U22">
        <v>43094606.850100003</v>
      </c>
      <c r="W22" s="47">
        <v>43128</v>
      </c>
      <c r="X22" s="32">
        <v>43128</v>
      </c>
      <c r="Z22" s="74">
        <v>0.5</v>
      </c>
      <c r="AA22" t="s">
        <v>77</v>
      </c>
      <c r="AB22" t="s">
        <v>78</v>
      </c>
    </row>
    <row r="23" spans="1:28" x14ac:dyDescent="0.2">
      <c r="A23" s="32">
        <v>43111</v>
      </c>
      <c r="B23">
        <v>955.76020000000005</v>
      </c>
      <c r="C23" s="4">
        <f t="shared" si="7"/>
        <v>4.3815051595708088E-3</v>
      </c>
      <c r="E23" s="32">
        <v>43130</v>
      </c>
      <c r="F23">
        <v>19.595500000000001</v>
      </c>
      <c r="H23" s="35">
        <v>43130</v>
      </c>
      <c r="I23" s="37">
        <f t="shared" si="3"/>
        <v>-1.2145645683958595E-3</v>
      </c>
      <c r="J23" s="37">
        <f t="shared" si="6"/>
        <v>-4.9878358543831158E-4</v>
      </c>
      <c r="K23" s="36">
        <f t="shared" si="5"/>
        <v>1.0937104383712537E-5</v>
      </c>
      <c r="L23" s="38">
        <f t="shared" si="1"/>
        <v>95.808731596540028</v>
      </c>
      <c r="M23" s="38">
        <f t="shared" si="2"/>
        <v>98.03063206179695</v>
      </c>
      <c r="Q23" s="47">
        <v>43129</v>
      </c>
      <c r="R23" t="s">
        <v>75</v>
      </c>
      <c r="S23" t="s">
        <v>76</v>
      </c>
      <c r="T23">
        <v>923.24609999999996</v>
      </c>
      <c r="U23">
        <v>43015388.667999998</v>
      </c>
      <c r="W23" s="47">
        <v>43129</v>
      </c>
      <c r="X23" s="32">
        <v>43129</v>
      </c>
      <c r="Z23" s="74">
        <v>0.5</v>
      </c>
      <c r="AA23" t="s">
        <v>77</v>
      </c>
      <c r="AB23" t="s">
        <v>78</v>
      </c>
    </row>
    <row r="24" spans="1:28" x14ac:dyDescent="0.2">
      <c r="A24" s="32">
        <v>43112</v>
      </c>
      <c r="B24">
        <v>954.72360000000003</v>
      </c>
      <c r="C24" s="4">
        <f t="shared" si="7"/>
        <v>-1.0845816764498695E-3</v>
      </c>
      <c r="E24" s="32">
        <v>43131</v>
      </c>
      <c r="F24">
        <v>19.6525</v>
      </c>
      <c r="H24" s="35">
        <v>43131</v>
      </c>
      <c r="I24" s="37">
        <f t="shared" si="3"/>
        <v>-2.9003943518635111E-3</v>
      </c>
      <c r="J24" s="37">
        <f t="shared" si="6"/>
        <v>-2.2656400359954976E-3</v>
      </c>
      <c r="K24" s="36">
        <f t="shared" si="5"/>
        <v>1.0937104383712537E-5</v>
      </c>
      <c r="L24" s="38">
        <f t="shared" si="1"/>
        <v>95.530848492558221</v>
      </c>
      <c r="M24" s="38">
        <f t="shared" si="2"/>
        <v>97.809602108299458</v>
      </c>
      <c r="Q24" s="47">
        <v>43130</v>
      </c>
      <c r="R24" t="s">
        <v>75</v>
      </c>
      <c r="S24" t="s">
        <v>76</v>
      </c>
      <c r="T24">
        <v>922.78560000000004</v>
      </c>
      <c r="U24">
        <v>42993933.988200001</v>
      </c>
      <c r="W24" s="47">
        <v>43130</v>
      </c>
      <c r="X24" s="32">
        <v>43130</v>
      </c>
      <c r="Z24" s="74">
        <v>0.5</v>
      </c>
      <c r="AA24" t="s">
        <v>77</v>
      </c>
      <c r="AB24" t="s">
        <v>78</v>
      </c>
    </row>
    <row r="25" spans="1:28" x14ac:dyDescent="0.2">
      <c r="A25" s="32">
        <v>43113</v>
      </c>
      <c r="B25">
        <v>954.71320000000003</v>
      </c>
      <c r="C25" s="4">
        <f t="shared" si="7"/>
        <v>-1.0893205111939253E-5</v>
      </c>
      <c r="E25" s="32">
        <v>43132</v>
      </c>
      <c r="F25">
        <v>19.47</v>
      </c>
      <c r="H25" s="35">
        <v>43132</v>
      </c>
      <c r="I25" s="37">
        <f t="shared" si="3"/>
        <v>9.3733949666152672E-3</v>
      </c>
      <c r="J25" s="37">
        <f t="shared" si="6"/>
        <v>1.0128762524914681E-2</v>
      </c>
      <c r="K25" s="36">
        <f t="shared" si="5"/>
        <v>1.0937104383712537E-5</v>
      </c>
      <c r="L25" s="38">
        <f t="shared" si="1"/>
        <v>96.426296866974852</v>
      </c>
      <c r="M25" s="38">
        <f t="shared" si="2"/>
        <v>98.801362094538803</v>
      </c>
      <c r="Q25" s="47">
        <v>43131</v>
      </c>
      <c r="R25" t="s">
        <v>75</v>
      </c>
      <c r="S25" t="s">
        <v>76</v>
      </c>
      <c r="T25">
        <v>920.69489999999996</v>
      </c>
      <c r="U25">
        <v>42896525.226400003</v>
      </c>
      <c r="W25" s="47">
        <v>43131</v>
      </c>
      <c r="X25" s="32">
        <v>43131</v>
      </c>
      <c r="Z25" s="74">
        <v>0.5</v>
      </c>
      <c r="AA25" t="s">
        <v>77</v>
      </c>
      <c r="AB25" t="s">
        <v>78</v>
      </c>
    </row>
    <row r="26" spans="1:28" x14ac:dyDescent="0.2">
      <c r="A26" s="32">
        <v>43114</v>
      </c>
      <c r="B26">
        <v>954.70270000000005</v>
      </c>
      <c r="C26" s="4">
        <f t="shared" si="7"/>
        <v>-1.0998067273004786E-5</v>
      </c>
      <c r="E26" s="32">
        <v>43133</v>
      </c>
      <c r="F26">
        <v>19.5</v>
      </c>
      <c r="H26" s="35">
        <v>43133</v>
      </c>
      <c r="I26" s="37">
        <f t="shared" si="3"/>
        <v>-1.5384615384615996E-3</v>
      </c>
      <c r="J26" s="37">
        <f t="shared" si="6"/>
        <v>7.8611178851550889E-4</v>
      </c>
      <c r="K26" s="36">
        <f t="shared" si="5"/>
        <v>1.0937104383712537E-5</v>
      </c>
      <c r="L26" s="38">
        <f t="shared" si="1"/>
        <v>96.277948717948732</v>
      </c>
      <c r="M26" s="38">
        <f t="shared" si="2"/>
        <v>98.880111610813188</v>
      </c>
      <c r="Q26" s="47">
        <v>43132</v>
      </c>
      <c r="R26" t="s">
        <v>75</v>
      </c>
      <c r="S26" t="s">
        <v>76</v>
      </c>
      <c r="T26">
        <v>930.0204</v>
      </c>
      <c r="U26">
        <v>43331013.174000002</v>
      </c>
      <c r="W26" s="47">
        <v>43132</v>
      </c>
      <c r="X26" s="32">
        <v>43132</v>
      </c>
      <c r="Z26" s="74">
        <v>0.5</v>
      </c>
      <c r="AA26" t="s">
        <v>77</v>
      </c>
      <c r="AB26" t="s">
        <v>78</v>
      </c>
    </row>
    <row r="27" spans="1:28" x14ac:dyDescent="0.2">
      <c r="A27" s="32">
        <v>43115</v>
      </c>
      <c r="B27">
        <v>955.80129999999997</v>
      </c>
      <c r="C27" s="4">
        <f t="shared" si="7"/>
        <v>1.1507247229949336E-3</v>
      </c>
      <c r="E27" s="32">
        <v>43136</v>
      </c>
      <c r="F27">
        <v>19.5335</v>
      </c>
      <c r="H27" s="35">
        <v>43136</v>
      </c>
      <c r="I27" s="37">
        <f t="shared" si="3"/>
        <v>-1.7150024317198476E-3</v>
      </c>
      <c r="J27" s="37">
        <f t="shared" si="6"/>
        <v>-1.0145787542717999E-3</v>
      </c>
      <c r="K27" s="36">
        <f t="shared" si="5"/>
        <v>1.0937104383712537E-5</v>
      </c>
      <c r="L27" s="38">
        <f t="shared" si="1"/>
        <v>96.112831801776451</v>
      </c>
      <c r="M27" s="38">
        <f t="shared" si="2"/>
        <v>98.780871412454999</v>
      </c>
      <c r="Q27" s="47">
        <v>43133</v>
      </c>
      <c r="R27" t="s">
        <v>75</v>
      </c>
      <c r="S27" t="s">
        <v>76</v>
      </c>
      <c r="T27">
        <v>930.75149999999996</v>
      </c>
      <c r="U27">
        <v>50365077.006800003</v>
      </c>
      <c r="W27" s="47">
        <v>43133</v>
      </c>
      <c r="X27" s="32">
        <v>43133</v>
      </c>
      <c r="Z27" s="74">
        <v>0.5</v>
      </c>
      <c r="AA27" t="s">
        <v>77</v>
      </c>
      <c r="AB27" t="s">
        <v>78</v>
      </c>
    </row>
    <row r="28" spans="1:28" x14ac:dyDescent="0.2">
      <c r="A28" s="32">
        <v>43116</v>
      </c>
      <c r="B28">
        <v>955.79079999999999</v>
      </c>
      <c r="C28" s="4">
        <f t="shared" si="7"/>
        <v>-1.0985546891384423E-5</v>
      </c>
      <c r="E28" s="32">
        <v>43137</v>
      </c>
      <c r="F28">
        <v>19.690000000000001</v>
      </c>
      <c r="H28" s="35">
        <v>43137</v>
      </c>
      <c r="I28" s="37">
        <f t="shared" si="3"/>
        <v>-7.9481970543423541E-3</v>
      </c>
      <c r="J28" s="37">
        <f t="shared" si="6"/>
        <v>-7.2292917042917626E-3</v>
      </c>
      <c r="K28" s="36">
        <f t="shared" si="5"/>
        <v>1.0937104383712537E-5</v>
      </c>
      <c r="L28" s="38">
        <f t="shared" si="1"/>
        <v>95.34890807516507</v>
      </c>
      <c r="M28" s="38">
        <f t="shared" si="2"/>
        <v>98.067836054911979</v>
      </c>
      <c r="Q28" s="47">
        <v>43134</v>
      </c>
      <c r="R28" t="s">
        <v>75</v>
      </c>
      <c r="S28" t="s">
        <v>76</v>
      </c>
      <c r="T28">
        <v>930.74130000000002</v>
      </c>
      <c r="U28">
        <v>50364524.707900003</v>
      </c>
      <c r="W28" s="47">
        <v>43134</v>
      </c>
      <c r="X28" s="32">
        <v>43134</v>
      </c>
      <c r="Z28" s="74">
        <v>0.5</v>
      </c>
      <c r="AA28" t="s">
        <v>77</v>
      </c>
      <c r="AB28" t="s">
        <v>78</v>
      </c>
    </row>
    <row r="29" spans="1:28" x14ac:dyDescent="0.2">
      <c r="A29" s="32">
        <v>43117</v>
      </c>
      <c r="B29">
        <v>947.82749999999999</v>
      </c>
      <c r="C29" s="4">
        <f t="shared" si="7"/>
        <v>-8.3316349142511514E-3</v>
      </c>
      <c r="E29" s="32">
        <v>43138</v>
      </c>
      <c r="F29">
        <v>19.624199999999998</v>
      </c>
      <c r="H29" s="35">
        <v>43138</v>
      </c>
      <c r="I29" s="37">
        <f t="shared" si="3"/>
        <v>3.3530029249602133E-3</v>
      </c>
      <c r="J29" s="37">
        <f t="shared" si="6"/>
        <v>4.0723021594035735E-3</v>
      </c>
      <c r="K29" s="36">
        <f t="shared" si="5"/>
        <v>1.0937104383712537E-5</v>
      </c>
      <c r="L29" s="38">
        <f t="shared" si="1"/>
        <v>95.668613242832862</v>
      </c>
      <c r="M29" s="38">
        <f t="shared" si="2"/>
        <v>98.468270493606056</v>
      </c>
      <c r="Q29" s="47">
        <v>43135</v>
      </c>
      <c r="R29" t="s">
        <v>75</v>
      </c>
      <c r="S29" t="s">
        <v>76</v>
      </c>
      <c r="T29">
        <v>930.73109999999997</v>
      </c>
      <c r="U29">
        <v>50363972.4234</v>
      </c>
      <c r="W29" s="47">
        <v>43135</v>
      </c>
      <c r="X29" s="32">
        <v>43135</v>
      </c>
      <c r="Z29" s="74">
        <v>0.5</v>
      </c>
      <c r="AA29" t="s">
        <v>77</v>
      </c>
      <c r="AB29" t="s">
        <v>78</v>
      </c>
    </row>
    <row r="30" spans="1:28" x14ac:dyDescent="0.2">
      <c r="A30" s="33">
        <v>43118</v>
      </c>
      <c r="B30">
        <v>950.49480000000005</v>
      </c>
      <c r="C30" s="4">
        <f t="shared" si="7"/>
        <v>2.8141196578492789E-3</v>
      </c>
      <c r="E30" s="32">
        <v>43139</v>
      </c>
      <c r="F30">
        <v>19.840800000000002</v>
      </c>
      <c r="H30" s="35">
        <v>43139</v>
      </c>
      <c r="I30" s="37">
        <f t="shared" si="3"/>
        <v>-1.0916898512156936E-2</v>
      </c>
      <c r="J30" s="37">
        <f t="shared" si="6"/>
        <v>-1.0180140978207186E-2</v>
      </c>
      <c r="K30" s="36">
        <f t="shared" si="5"/>
        <v>1.0937104383712537E-5</v>
      </c>
      <c r="L30" s="38">
        <f t="shared" si="1"/>
        <v>94.624208701262063</v>
      </c>
      <c r="M30" s="38">
        <f t="shared" si="2"/>
        <v>97.466926575853776</v>
      </c>
      <c r="Q30" s="47">
        <v>43136</v>
      </c>
      <c r="R30" t="s">
        <v>75</v>
      </c>
      <c r="S30" t="s">
        <v>76</v>
      </c>
      <c r="T30">
        <v>929.78679999999997</v>
      </c>
      <c r="U30">
        <v>50312873.786700003</v>
      </c>
      <c r="W30" s="47">
        <v>43136</v>
      </c>
      <c r="X30" s="32">
        <v>43136</v>
      </c>
      <c r="Z30" s="74">
        <v>0.5</v>
      </c>
      <c r="AA30" t="s">
        <v>77</v>
      </c>
      <c r="AB30" t="s">
        <v>78</v>
      </c>
    </row>
    <row r="31" spans="1:28" x14ac:dyDescent="0.2">
      <c r="A31" s="32">
        <v>43119</v>
      </c>
      <c r="B31">
        <v>947.45749999999998</v>
      </c>
      <c r="C31" s="4">
        <f t="shared" si="7"/>
        <v>-3.1954935471504298E-3</v>
      </c>
      <c r="E31" s="32">
        <v>43140</v>
      </c>
      <c r="F31">
        <v>20.125800000000002</v>
      </c>
      <c r="H31" s="35">
        <v>43140</v>
      </c>
      <c r="I31" s="37">
        <f t="shared" si="3"/>
        <v>-1.4160927764362174E-2</v>
      </c>
      <c r="J31" s="37">
        <f t="shared" si="6"/>
        <v>-1.0621231628156869E-2</v>
      </c>
      <c r="K31" s="36">
        <f t="shared" si="5"/>
        <v>1.0937104383712537E-5</v>
      </c>
      <c r="L31" s="38">
        <f t="shared" si="1"/>
        <v>93.284242117083565</v>
      </c>
      <c r="M31" s="38">
        <f t="shared" si="2"/>
        <v>96.432773778556992</v>
      </c>
      <c r="N31" s="33">
        <f>+E31-E2</f>
        <v>42</v>
      </c>
      <c r="Q31" s="47">
        <v>43137</v>
      </c>
      <c r="R31" t="s">
        <v>75</v>
      </c>
      <c r="S31" t="s">
        <v>76</v>
      </c>
      <c r="T31">
        <v>923.06510000000003</v>
      </c>
      <c r="U31">
        <v>49949147.687100001</v>
      </c>
      <c r="W31" s="47">
        <v>43137</v>
      </c>
      <c r="X31" s="32">
        <v>43137</v>
      </c>
      <c r="Z31" s="74">
        <v>0.5</v>
      </c>
      <c r="AA31" t="s">
        <v>77</v>
      </c>
      <c r="AB31" t="s">
        <v>78</v>
      </c>
    </row>
    <row r="32" spans="1:28" x14ac:dyDescent="0.2">
      <c r="A32" s="32">
        <v>43120</v>
      </c>
      <c r="B32">
        <v>947.44709999999998</v>
      </c>
      <c r="C32" s="4">
        <f t="shared" si="7"/>
        <v>-1.097674565875284E-5</v>
      </c>
      <c r="H32" s="35"/>
      <c r="Q32" s="47">
        <v>43138</v>
      </c>
      <c r="R32" t="s">
        <v>75</v>
      </c>
      <c r="S32" t="s">
        <v>76</v>
      </c>
      <c r="T32">
        <v>926.82410000000004</v>
      </c>
      <c r="U32">
        <v>50152553.271899998</v>
      </c>
      <c r="W32" s="47">
        <v>43138</v>
      </c>
      <c r="X32" s="32">
        <v>43138</v>
      </c>
      <c r="Z32" s="74">
        <v>0.5</v>
      </c>
      <c r="AA32" t="s">
        <v>77</v>
      </c>
      <c r="AB32" t="s">
        <v>78</v>
      </c>
    </row>
    <row r="33" spans="1:28" x14ac:dyDescent="0.2">
      <c r="A33" s="32">
        <v>43121</v>
      </c>
      <c r="B33">
        <v>947.43669999999997</v>
      </c>
      <c r="C33" s="4">
        <f t="shared" si="7"/>
        <v>-1.0976866149037257E-5</v>
      </c>
      <c r="Q33" s="47">
        <v>43139</v>
      </c>
      <c r="R33" t="s">
        <v>75</v>
      </c>
      <c r="S33" t="s">
        <v>76</v>
      </c>
      <c r="T33">
        <v>917.38890000000004</v>
      </c>
      <c r="U33">
        <v>49641994.208800003</v>
      </c>
      <c r="W33" s="47">
        <v>43139</v>
      </c>
      <c r="X33" s="32">
        <v>43139</v>
      </c>
      <c r="Z33" s="74">
        <v>0.5</v>
      </c>
      <c r="AA33" t="s">
        <v>77</v>
      </c>
      <c r="AB33" t="s">
        <v>78</v>
      </c>
    </row>
    <row r="34" spans="1:28" x14ac:dyDescent="0.2">
      <c r="A34" s="32">
        <v>43122</v>
      </c>
      <c r="B34">
        <v>942.74189999999999</v>
      </c>
      <c r="C34" s="4">
        <f t="shared" si="7"/>
        <v>-4.9552650852557889E-3</v>
      </c>
      <c r="Q34" s="47">
        <v>43140</v>
      </c>
      <c r="R34" t="s">
        <v>75</v>
      </c>
      <c r="S34" t="s">
        <v>76</v>
      </c>
      <c r="T34">
        <v>907.64509999999996</v>
      </c>
      <c r="U34">
        <v>49114737.848800004</v>
      </c>
      <c r="W34" s="47">
        <v>43140</v>
      </c>
      <c r="X34" s="32">
        <v>43140</v>
      </c>
      <c r="Z34" s="74">
        <v>0.5</v>
      </c>
      <c r="AA34" t="s">
        <v>77</v>
      </c>
      <c r="AB34" t="s">
        <v>78</v>
      </c>
    </row>
    <row r="35" spans="1:28" x14ac:dyDescent="0.2">
      <c r="A35" s="32">
        <v>43123</v>
      </c>
      <c r="B35">
        <v>931.27980000000002</v>
      </c>
      <c r="C35" s="4">
        <f t="shared" si="7"/>
        <v>-1.2158258798086741E-2</v>
      </c>
      <c r="Q35" s="47">
        <v>43141</v>
      </c>
      <c r="R35" t="s">
        <v>75</v>
      </c>
      <c r="S35" t="s">
        <v>76</v>
      </c>
      <c r="T35">
        <v>907.63520000000005</v>
      </c>
      <c r="U35">
        <v>49114199.833099999</v>
      </c>
      <c r="W35" s="47">
        <v>43141</v>
      </c>
      <c r="X35" s="32">
        <v>43141</v>
      </c>
      <c r="Z35" s="74">
        <v>0.5</v>
      </c>
      <c r="AA35" t="s">
        <v>77</v>
      </c>
      <c r="AB35" t="s">
        <v>78</v>
      </c>
    </row>
    <row r="36" spans="1:28" x14ac:dyDescent="0.2">
      <c r="A36" s="32">
        <v>43124</v>
      </c>
      <c r="B36">
        <v>922.08169999999996</v>
      </c>
      <c r="C36" s="4">
        <f t="shared" si="7"/>
        <v>-9.8768383035904295E-3</v>
      </c>
      <c r="Q36" s="47">
        <v>43142</v>
      </c>
      <c r="R36" t="s">
        <v>75</v>
      </c>
      <c r="S36" t="s">
        <v>76</v>
      </c>
      <c r="T36">
        <v>907.62519999999995</v>
      </c>
      <c r="U36">
        <v>49113660.619199999</v>
      </c>
      <c r="W36" s="47">
        <v>43142</v>
      </c>
      <c r="X36" s="32">
        <v>43142</v>
      </c>
      <c r="Z36" s="74">
        <v>0.5</v>
      </c>
      <c r="AA36" t="s">
        <v>77</v>
      </c>
      <c r="AB36" t="s">
        <v>78</v>
      </c>
    </row>
    <row r="37" spans="1:28" x14ac:dyDescent="0.2">
      <c r="A37" s="32">
        <v>43125</v>
      </c>
      <c r="B37">
        <v>924.28589999999997</v>
      </c>
      <c r="C37" s="4">
        <f t="shared" si="7"/>
        <v>2.3904606283804419E-3</v>
      </c>
      <c r="Q37" s="47">
        <v>43143</v>
      </c>
      <c r="R37" t="s">
        <v>75</v>
      </c>
      <c r="S37" t="s">
        <v>76</v>
      </c>
      <c r="T37">
        <v>907.61680000000001</v>
      </c>
      <c r="U37">
        <v>49113204.676700003</v>
      </c>
      <c r="W37" s="47">
        <v>43143</v>
      </c>
      <c r="X37" s="32">
        <v>43143</v>
      </c>
      <c r="Z37" s="74">
        <v>0.5</v>
      </c>
      <c r="AA37" t="s">
        <v>77</v>
      </c>
      <c r="AB37" t="s">
        <v>78</v>
      </c>
    </row>
    <row r="38" spans="1:28" x14ac:dyDescent="0.2">
      <c r="A38" s="32">
        <v>43126</v>
      </c>
      <c r="B38">
        <v>924.96669999999995</v>
      </c>
      <c r="C38" s="4">
        <f t="shared" si="7"/>
        <v>7.365686309830366E-4</v>
      </c>
    </row>
    <row r="39" spans="1:28" x14ac:dyDescent="0.2">
      <c r="A39" s="32">
        <v>43127</v>
      </c>
      <c r="B39">
        <v>924.95650000000001</v>
      </c>
      <c r="C39" s="4">
        <f t="shared" si="7"/>
        <v>-1.102742401426493E-5</v>
      </c>
    </row>
    <row r="40" spans="1:28" x14ac:dyDescent="0.2">
      <c r="A40" s="32">
        <v>43128</v>
      </c>
      <c r="B40">
        <v>924.94640000000004</v>
      </c>
      <c r="C40" s="4">
        <f t="shared" si="7"/>
        <v>-1.0919432427369813E-5</v>
      </c>
    </row>
    <row r="41" spans="1:28" x14ac:dyDescent="0.2">
      <c r="A41" s="32">
        <v>43129</v>
      </c>
      <c r="B41">
        <v>923.24609999999996</v>
      </c>
      <c r="C41" s="4">
        <f t="shared" si="7"/>
        <v>-1.8382686823799066E-3</v>
      </c>
    </row>
    <row r="42" spans="1:28" x14ac:dyDescent="0.2">
      <c r="A42" s="32">
        <v>43130</v>
      </c>
      <c r="B42">
        <v>922.78560000000004</v>
      </c>
      <c r="C42" s="4">
        <f t="shared" si="7"/>
        <v>-4.9878358543831158E-4</v>
      </c>
    </row>
    <row r="43" spans="1:28" x14ac:dyDescent="0.2">
      <c r="A43" s="32">
        <v>43131</v>
      </c>
      <c r="B43">
        <v>920.69489999999996</v>
      </c>
      <c r="C43" s="4">
        <f t="shared" si="7"/>
        <v>-2.2656400359954976E-3</v>
      </c>
    </row>
    <row r="44" spans="1:28" x14ac:dyDescent="0.2">
      <c r="A44" s="32">
        <v>43132</v>
      </c>
      <c r="B44">
        <v>930.0204</v>
      </c>
      <c r="C44" s="4">
        <f t="shared" si="7"/>
        <v>1.0128762524914681E-2</v>
      </c>
    </row>
    <row r="45" spans="1:28" x14ac:dyDescent="0.2">
      <c r="A45" s="32">
        <v>43133</v>
      </c>
      <c r="B45">
        <v>930.75149999999996</v>
      </c>
      <c r="C45" s="4">
        <f t="shared" si="7"/>
        <v>7.8611178851550889E-4</v>
      </c>
    </row>
    <row r="46" spans="1:28" x14ac:dyDescent="0.2">
      <c r="A46" s="32">
        <v>43134</v>
      </c>
      <c r="B46">
        <v>930.74130000000002</v>
      </c>
      <c r="C46" s="4">
        <f t="shared" si="7"/>
        <v>-1.095888644819798E-5</v>
      </c>
    </row>
    <row r="47" spans="1:28" x14ac:dyDescent="0.2">
      <c r="A47" s="32">
        <v>43135</v>
      </c>
      <c r="B47">
        <v>930.73109999999997</v>
      </c>
      <c r="C47" s="4">
        <f t="shared" si="7"/>
        <v>-1.0959006546795713E-5</v>
      </c>
    </row>
    <row r="48" spans="1:28" x14ac:dyDescent="0.2">
      <c r="A48" s="32">
        <v>43136</v>
      </c>
      <c r="B48">
        <v>929.78679999999997</v>
      </c>
      <c r="C48" s="4">
        <f t="shared" si="7"/>
        <v>-1.0145787542717999E-3</v>
      </c>
    </row>
    <row r="49" spans="1:3" x14ac:dyDescent="0.2">
      <c r="A49" s="32">
        <v>43137</v>
      </c>
      <c r="B49">
        <v>923.06510000000003</v>
      </c>
      <c r="C49" s="4">
        <f t="shared" si="7"/>
        <v>-7.2292917042917626E-3</v>
      </c>
    </row>
    <row r="50" spans="1:3" x14ac:dyDescent="0.2">
      <c r="A50" s="32">
        <v>43138</v>
      </c>
      <c r="B50">
        <v>926.82410000000004</v>
      </c>
      <c r="C50" s="4">
        <f t="shared" si="7"/>
        <v>4.0723021594035735E-3</v>
      </c>
    </row>
    <row r="51" spans="1:3" x14ac:dyDescent="0.2">
      <c r="A51" s="32">
        <v>43139</v>
      </c>
      <c r="B51">
        <v>917.38890000000004</v>
      </c>
      <c r="C51" s="4">
        <f t="shared" si="7"/>
        <v>-1.0180140978207186E-2</v>
      </c>
    </row>
    <row r="52" spans="1:3" x14ac:dyDescent="0.2">
      <c r="A52" s="32">
        <v>43140</v>
      </c>
      <c r="B52">
        <v>907.64509999999996</v>
      </c>
      <c r="C52" s="4">
        <f t="shared" si="7"/>
        <v>-1.0621231628156869E-2</v>
      </c>
    </row>
    <row r="53" spans="1:3" x14ac:dyDescent="0.2">
      <c r="A53" s="32">
        <v>43141</v>
      </c>
      <c r="B53">
        <v>907.63520000000005</v>
      </c>
      <c r="C53" s="4">
        <f t="shared" ref="C53:C55" si="8">+B53/B52-1</f>
        <v>-1.0907346935429274E-5</v>
      </c>
    </row>
    <row r="54" spans="1:3" x14ac:dyDescent="0.2">
      <c r="A54" s="32">
        <v>43142</v>
      </c>
      <c r="B54">
        <v>907.62519999999995</v>
      </c>
      <c r="C54" s="4">
        <f t="shared" si="8"/>
        <v>-1.1017642330468647E-5</v>
      </c>
    </row>
    <row r="55" spans="1:3" x14ac:dyDescent="0.2">
      <c r="A55" s="32">
        <v>43143</v>
      </c>
      <c r="B55">
        <v>907.61680000000001</v>
      </c>
      <c r="C55" s="4">
        <f t="shared" si="8"/>
        <v>-9.2549215248149963E-6</v>
      </c>
    </row>
  </sheetData>
  <mergeCells count="1">
    <mergeCell ref="N5:O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Calculo rentabilidad</vt:lpstr>
      <vt:lpstr>lista Lebacs</vt:lpstr>
      <vt:lpstr>Retornos</vt:lpstr>
      <vt:lpstr>YTD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2018-02-15T22:50:52Z</dcterms:modified>
</cp:coreProperties>
</file>