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B2A32CC1-D218-4786-8271-B4896FDB5AE8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O8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9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<sst xmlns="http://schemas.openxmlformats.org/spreadsheetml/2006/main" count="70" uniqueCount="64">
  <si>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</si>
  <si>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</si>
  <si>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</si>
  <si>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</si>
  <si>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</si>
  <si>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</si>
  <si>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</si>
  <si>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</si>
  <si>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</si>
  <si>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</si>
  <si>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</si>
  <si>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</si>
  <si>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</si>
  <si>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</si>
  <si>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</si>
  <si>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</si>
  <si>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</si>
  <si>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</si>
  <si>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</si>
  <si>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</si>
  <si>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</si>
  <si>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</si>
  <si>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</si>
  <si>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</si>
  <si>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</si>
  <si>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</si>
  <si>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</si>
  <si>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</si>
  <si>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</si>
  <si>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</si>
  <si>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</si>
  <si>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</si>
  <si>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</si>
  <si>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</si>
  <si>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</si>
  <si>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</si>
  <si>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</si>
  <si>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</si>
  <si>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</si>
  <si>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</si>
  <si>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</si>
  <si>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</si>
  <si>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</si>
  <si>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</si>
  <si>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</si>
  <si>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</si>
  <si>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</si>
  <si>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</si>
  <si>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</si>
  <si>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</si>
  <si>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</si>
  <si>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</si>
  <si>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</si>
  <si>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</si>
  <si>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</si>
  <si>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</si>
  <si>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</si>
  <si>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</si>
  <si>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</si>
  <si>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</si>
  <si>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</si>
  <si>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LEBAC 16-05-2018</t>
  </si>
  <si>
    <t>PX valorizacion</t>
  </si>
  <si>
    <t>FX valorizacion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</si>
</sst>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J38" sqref="J38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4" t="s">
        <v>30</v>
      </c>
      <c r="C6" s="64"/>
      <c r="D6" s="64"/>
      <c r="E6" s="64"/>
      <c r="F6" s="64"/>
      <c r="G6" s="64"/>
      <c r="H6" s="64"/>
      <c r="J6" s="61" t="s">
        <v>49</v>
      </c>
      <c r="K6" s="61"/>
      <c r="L6" s="61"/>
      <c r="M6" s="61"/>
      <c r="N6" s="61"/>
      <c r="O6" s="61"/>
      <c r="P6" s="61"/>
    </row>
    <row r="7" spans="2:16" ht="15" x14ac:dyDescent="0.25">
      <c r="B7" s="8" t="s">
        <v>2</v>
      </c>
      <c r="C7" s="69" t="s">
        <v>60</v>
      </c>
      <c r="D7" s="8" t="s">
        <v>31</v>
      </c>
      <c r="E7" s="8" t="s">
        <v>28</v>
      </c>
      <c r="F7" s="8" t="s">
        <v>63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6"/>
      <c r="D8" s="9"/>
      <c r="E8" s="10"/>
      <c r="F8" s="1" t="str">
        <f>IF(AND(D8&gt;0,E8&gt;0),IF(C8="C",$L$21,$L$20),"")</f>
        <v/>
      </c>
      <c r="G8" s="31" t="str">
        <f>+IF(E8&gt;0,IF(C8="C",F8/E8-1,E8/F8-1),"")</f>
        <v/>
      </c>
      <c r="H8" s="2">
        <f t="shared" ref="H8:H15" si="0">+IFERROR(G8*D8,)</f>
        <v>0</v>
      </c>
      <c r="J8" s="1">
        <v>1</v>
      </c>
      <c r="K8" t="s">
        <v>61</v>
      </c>
      <c r="L8" s="20">
        <v>77625797.246000007</v>
      </c>
      <c r="M8" s="40">
        <v>99.130899999999997</v>
      </c>
      <c r="N8" s="40">
        <v>99.238699999999994</v>
      </c>
      <c r="O8" s="4">
        <f t="shared" ref="O8:O16" si="1">+IF(AND(L8&gt;0,M8&gt;0,N8&gt;0),N8/M8-1,"")</f>
        <v>1.0874510369622836E-3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7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7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7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7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7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7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8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22.763300000000001</v>
      </c>
      <c r="G16" s="23" t="e">
        <f>+SUMPRODUCT($D$8:$D$15,$G$8:$G$15)/SUMPRODUCT($D$8:$D$15)</f>
        <v>#DIV/0!</v>
      </c>
      <c r="H16" s="12">
        <f>+SUM(H8:H15)</f>
        <v>0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77625797.246000007</v>
      </c>
    </row>
    <row r="19" spans="2:17" ht="15" x14ac:dyDescent="0.25">
      <c r="B19" s="64" t="s">
        <v>33</v>
      </c>
      <c r="C19" s="64"/>
      <c r="D19" s="64"/>
      <c r="E19" s="64"/>
      <c r="F19" s="64"/>
      <c r="G19" s="64"/>
      <c r="H19" s="64"/>
      <c r="I19" s="64"/>
      <c r="J19" s="45"/>
      <c r="K19" s="64" t="s">
        <v>42</v>
      </c>
      <c r="L19" s="64"/>
      <c r="N19" s="61" t="s">
        <v>57</v>
      </c>
      <c r="O19" s="61"/>
      <c r="P19" s="33"/>
    </row>
    <row r="20" spans="2:17" ht="15" x14ac:dyDescent="0.25">
      <c r="B20" s="15" t="s">
        <v>2</v>
      </c>
      <c r="C20" s="70" t="s">
        <v>60</v>
      </c>
      <c r="D20" s="15" t="s">
        <v>3</v>
      </c>
      <c r="E20" s="15" t="s">
        <v>31</v>
      </c>
      <c r="F20" s="15" t="s">
        <v>34</v>
      </c>
      <c r="G20" s="15" t="s">
        <v>62</v>
      </c>
      <c r="H20" s="15" t="s">
        <v>36</v>
      </c>
      <c r="I20" s="15" t="s">
        <v>41</v>
      </c>
      <c r="J20" s="44"/>
      <c r="K20" s="7" t="s">
        <v>1</v>
      </c>
      <c r="L20" s="34">
        <v>22.763300000000001</v>
      </c>
      <c r="M20" s="33"/>
      <c r="N20" s="46" t="s">
        <v>52</v>
      </c>
      <c r="O20" s="3">
        <f>+L17*L21*M27*5%</f>
        <v>92117.054361241229</v>
      </c>
      <c r="P20" s="33"/>
    </row>
    <row r="21" spans="2:17" ht="15" x14ac:dyDescent="0.25">
      <c r="B21" s="1">
        <v>1</v>
      </c>
      <c r="C21" s="66"/>
      <c r="D21" s="7"/>
      <c r="E21" s="20"/>
      <c r="F21" s="40"/>
      <c r="G21" s="41" t="str">
        <f>+IF(D21="","",IF(C21="C",VLOOKUP(D21,$K$8:$N$16,4,FALSE),VLOOKUP(D21,$K$8:$N$16,3,FALSE)))</f>
        <v/>
      </c>
      <c r="H21" s="31" t="str">
        <f>+IF(AND(G21&gt;0,F21&gt;0),IF(C21="V",F21/G21-1,G21/F21-1),"")</f>
        <v/>
      </c>
      <c r="I21" s="3">
        <f t="shared" ref="I21:I28" si="5">+IFERROR(H21*E21,)</f>
        <v>0</v>
      </c>
      <c r="J21" s="3"/>
      <c r="K21" s="7" t="s">
        <v>0</v>
      </c>
      <c r="L21" s="34">
        <v>21.824999999999999</v>
      </c>
      <c r="N21" s="47" t="s">
        <v>53</v>
      </c>
      <c r="O21" s="48">
        <f>I29*E16*5%</f>
        <v>0</v>
      </c>
    </row>
    <row r="22" spans="2:17" ht="15" x14ac:dyDescent="0.25">
      <c r="B22" s="1">
        <v>2</v>
      </c>
      <c r="C22" s="67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92117.054361241229</v>
      </c>
    </row>
    <row r="23" spans="2:17" x14ac:dyDescent="0.2">
      <c r="B23" s="1">
        <v>3</v>
      </c>
      <c r="C23" s="67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7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65" t="s">
        <v>55</v>
      </c>
      <c r="M24" s="65"/>
      <c r="N24" s="65"/>
    </row>
    <row r="25" spans="2:17" ht="15" x14ac:dyDescent="0.25">
      <c r="B25" s="1">
        <v>5</v>
      </c>
      <c r="C25" s="67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3">
        <f>+SUM(L8:L16)+$D$34</f>
        <v>77625797.246000007</v>
      </c>
      <c r="N25" s="63"/>
      <c r="O25" s="33"/>
      <c r="P25" s="33"/>
    </row>
    <row r="26" spans="2:17" x14ac:dyDescent="0.2">
      <c r="B26" s="1">
        <v>6</v>
      </c>
      <c r="C26" s="67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-4.1219858280653554E-2</v>
      </c>
      <c r="N26" s="18">
        <f>+M26*M25</f>
        <v>-3199724.3614028674</v>
      </c>
      <c r="P26" s="30"/>
    </row>
    <row r="27" spans="2:17" x14ac:dyDescent="0.2">
      <c r="B27" s="1">
        <v>7</v>
      </c>
      <c r="C27" s="67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1.0874510369622836E-3</v>
      </c>
      <c r="N27" s="53">
        <f>+M27*L17</f>
        <v>84414.253710186691</v>
      </c>
      <c r="P27" s="33"/>
    </row>
    <row r="28" spans="2:17" x14ac:dyDescent="0.2">
      <c r="B28" s="1">
        <v>8</v>
      </c>
      <c r="C28" s="68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-4.0177231821322046E-2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3">
        <f>+IFERROR(SUMPRODUCT($E$21:$E$28,$H$21:$H$28)/SUMPRODUCT($E$21:$E$28),0)</f>
        <v>0</v>
      </c>
      <c r="I29" s="12">
        <f>+SUM(I21:I28)</f>
        <v>0</v>
      </c>
      <c r="J29" s="18"/>
      <c r="L29" s="16" t="s">
        <v>44</v>
      </c>
      <c r="M29" s="63">
        <f>+L17*(1+M28)</f>
        <v>74507007.594732523</v>
      </c>
      <c r="N29" s="63"/>
      <c r="O29" s="33"/>
    </row>
    <row r="30" spans="2:17" x14ac:dyDescent="0.2">
      <c r="L30" s="16" t="s">
        <v>45</v>
      </c>
      <c r="M30" s="60">
        <f>+H16+I29</f>
        <v>0</v>
      </c>
      <c r="N30" s="22"/>
      <c r="P30" s="3"/>
    </row>
    <row r="31" spans="2:17" x14ac:dyDescent="0.2">
      <c r="L31" s="16" t="s">
        <v>48</v>
      </c>
      <c r="M31" s="21">
        <f>+M30/M25</f>
        <v>0</v>
      </c>
      <c r="N31" s="16"/>
      <c r="P31" s="33"/>
    </row>
    <row r="32" spans="2:17" ht="15" x14ac:dyDescent="0.25">
      <c r="E32" s="35"/>
      <c r="L32" s="16" t="s">
        <v>56</v>
      </c>
      <c r="M32" s="63">
        <f>+M25+N26+N27+M30</f>
        <v>74510487.138307318</v>
      </c>
      <c r="N32" s="63"/>
      <c r="P32" s="28"/>
    </row>
    <row r="33" spans="4:17" ht="15" x14ac:dyDescent="0.25">
      <c r="E33" s="3"/>
      <c r="F33" s="43"/>
      <c r="G33" s="42"/>
      <c r="L33" s="16" t="s">
        <v>50</v>
      </c>
      <c r="M33" s="62">
        <f>+O22/L20</f>
        <v>4046.7355067692833</v>
      </c>
      <c r="N33" s="62"/>
      <c r="P33" s="29"/>
    </row>
    <row r="34" spans="4:17" ht="15" x14ac:dyDescent="0.25">
      <c r="D34" s="3"/>
      <c r="E34" s="33"/>
      <c r="L34" s="32" t="s">
        <v>51</v>
      </c>
      <c r="M34" s="63">
        <f>+M32-M33</f>
        <v>74506440.402800545</v>
      </c>
      <c r="N34" s="63"/>
    </row>
    <row r="35" spans="4:17" ht="15" x14ac:dyDescent="0.25">
      <c r="E35" s="33"/>
      <c r="F35" s="59"/>
      <c r="G35" s="33"/>
      <c r="L35" s="56" t="s">
        <v>59</v>
      </c>
      <c r="M35" s="57">
        <f>+M32/M25-1</f>
        <v>-4.0132407243691381E-2</v>
      </c>
      <c r="N35" s="58">
        <f>+M32-M25</f>
        <v>-3115310.1076926887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-4.0184538566658046E-2</v>
      </c>
      <c r="N36" s="26">
        <f>+M32-M25</f>
        <v>-3115310.1076926887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2018-05-17T21:29:49Z</dcterms:modified>
</cp:coreProperties>
</file>