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codeName="ThisWorkbook"/>
  <mc:AlternateContent xmlns:mc="http://schemas.openxmlformats.org/markup-compatibility/2006">
    <mc:Choice Requires="x15">
      <x15ac:absPath xmlns:x15ac="http://schemas.microsoft.com/office/spreadsheetml/2010/11/ac" url="L:\Rates &amp; FX\DPP\Fondo Argentina\Retornos\"/>
    </mc:Choice>
  </mc:AlternateContent>
  <xr:revisionPtr revIDLastSave="0" documentId="13_ncr:1_{A0244FFA-49C3-4695-9354-C43A4030E9CB}" xr6:coauthVersionLast="28" xr6:coauthVersionMax="28" xr10:uidLastSave="{00000000-0000-0000-0000-000000000000}"/>
  <bookViews>
    <workbookView xWindow="0" yWindow="0" windowWidth="28800" windowHeight="12210" xr2:uid="{00000000-000D-0000-FFFF-FFFF00000000}"/>
  </bookViews>
  <sheets>
    <sheet name="Calculo rentabilidad" sheetId="4" r:id="rId1"/>
    <sheet name="lista Lebacs" sheetId="2" r:id="rId2"/>
  </sheets>
  <externalReferences>
    <externalReference r:id="rId3"/>
  </externalReferenc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4" l="1"/>
  <c r="L17" i="4"/>
  <c r="O8" i="4"/>
  <c r="P8" i="4"/>
  <c r="P9" i="4"/>
  <c r="P10" i="4"/>
  <c r="P11" i="4"/>
  <c r="P12" i="4"/>
  <c r="P13" i="4"/>
  <c r="P14" i="4"/>
  <c r="P15" i="4"/>
  <c r="M27" i="4"/>
  <c r="M26" i="4"/>
  <c r="M28" i="4"/>
  <c r="M29" i="4"/>
  <c r="F9" i="4"/>
  <c r="F10" i="4"/>
  <c r="F11" i="4"/>
  <c r="F12" i="4"/>
  <c r="F13" i="4"/>
  <c r="F14" i="4"/>
  <c r="F15" i="4"/>
  <c r="F8" i="4"/>
  <c r="G22" i="4"/>
  <c r="G23" i="4"/>
  <c r="G24" i="4"/>
  <c r="G25" i="4"/>
  <c r="G26" i="4"/>
  <c r="G27" i="4"/>
  <c r="G2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8" i="4"/>
  <c r="H22" i="4"/>
  <c r="I22" i="4"/>
  <c r="H23" i="4"/>
  <c r="I23" i="4"/>
  <c r="H24" i="4"/>
  <c r="I24" i="4"/>
  <c r="H25" i="4"/>
  <c r="I25" i="4"/>
  <c r="H26" i="4"/>
  <c r="I26" i="4"/>
  <c r="H27" i="4"/>
  <c r="I27" i="4"/>
  <c r="H28" i="4"/>
  <c r="I28" i="4"/>
  <c r="G21" i="4"/>
  <c r="H21" i="4"/>
  <c r="I21" i="4"/>
  <c r="I29" i="4"/>
  <c r="E16" i="4"/>
  <c r="O21" i="4"/>
  <c r="H8" i="4"/>
  <c r="M25" i="4"/>
  <c r="O9" i="4"/>
  <c r="O10" i="4"/>
  <c r="O11" i="4"/>
  <c r="O12" i="4"/>
  <c r="O13" i="4"/>
  <c r="O14" i="4"/>
  <c r="O15" i="4"/>
  <c r="O16" i="4"/>
  <c r="F16" i="4"/>
  <c r="D16" i="4"/>
  <c r="N26" i="4"/>
  <c r="B2" i="2"/>
  <c r="D2" i="2"/>
  <c r="B3" i="2"/>
  <c r="D3" i="2"/>
  <c r="B4" i="2"/>
  <c r="D4" i="2"/>
  <c r="B5" i="2"/>
  <c r="D5" i="2"/>
  <c r="B6" i="2"/>
  <c r="D6" i="2"/>
  <c r="B7" i="2"/>
  <c r="D7" i="2"/>
  <c r="B8" i="2"/>
  <c r="D8" i="2"/>
  <c r="B9" i="2"/>
  <c r="D9" i="2"/>
  <c r="B10" i="2"/>
  <c r="D10" i="2"/>
  <c r="E29" i="4"/>
  <c r="N27" i="4"/>
  <c r="G16" i="4"/>
  <c r="H16" i="4"/>
  <c r="H29" i="4"/>
  <c r="O20" i="4"/>
  <c r="M30" i="4"/>
  <c r="M31" i="4"/>
  <c r="O22" i="4"/>
  <c r="M33" i="4"/>
  <c r="M32" i="4"/>
  <c r="M34" i="4"/>
  <c r="M36" i="4"/>
  <c r="N36" i="4"/>
  <c r="M35" i="4"/>
  <c r="N3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Posch Ponce</author>
  </authors>
  <commentList>
    <comment ref="C7" authorId="0" shapeId="0" xr:uid="{52A57300-B093-4367-9A58-F35F6A351967}">
      <text>
        <r>
          <rPr>
            <b/>
            <sz val="9"/>
            <color indexed="81"/>
            <rFont val="Tahoma"/>
            <family val="2"/>
          </rPr>
          <t>Diego Posch Ponce:</t>
        </r>
        <r>
          <rPr>
            <sz val="9"/>
            <color indexed="81"/>
            <rFont val="Tahoma"/>
            <family val="2"/>
          </rPr>
          <t xml:space="preserve">
Diego Posch Ponce:
Tipo de Operación es respecto a los dolares. Si Vendo dólar compro ARS lenar con "V". Si compro USD vendo ARS "C"</t>
        </r>
      </text>
    </comment>
    <comment ref="C20" authorId="0" shapeId="0" xr:uid="{9FA84BC0-EBA2-4C4F-BE75-B15A3FF69002}">
      <text>
        <r>
          <rPr>
            <b/>
            <sz val="9"/>
            <color indexed="81"/>
            <rFont val="Tahoma"/>
            <family val="2"/>
          </rPr>
          <t>Diego Posch Ponce:</t>
        </r>
        <r>
          <rPr>
            <sz val="9"/>
            <color indexed="81"/>
            <rFont val="Tahoma"/>
            <family val="2"/>
          </rPr>
          <t xml:space="preserve">
Si vendi USD para comprar lebac("C").Si compre ARS vendiendo lebacs ("V")</t>
        </r>
      </text>
    </comment>
    <comment ref="G20" authorId="0" shapeId="0" xr:uid="{324567CB-3B37-4E39-A61D-13483AB244BB}">
      <text>
        <r>
          <rPr>
            <b/>
            <sz val="9"/>
            <color indexed="81"/>
            <rFont val="Tahoma"/>
            <family val="2"/>
          </rPr>
          <t>Diego Posch Ponce:</t>
        </r>
        <r>
          <rPr>
            <sz val="9"/>
            <color indexed="81"/>
            <rFont val="Tahoma"/>
            <family val="2"/>
          </rPr>
          <t xml:space="preserve">
Cuando sea un instrumento nuevo (no esta en cartera) se debe llenar a mano.
Para el caso de las ventas ve la valorización respecto al precio del día anterior. Y para las compras ve el precio con que cerramos ese día el instrumento.</t>
        </r>
      </text>
    </comment>
  </commentList>
</comments>
</file>

<file path=xl/sharedStrings.xml><?xml version="1.0" encoding="utf-8"?>
<sst xmlns="http://schemas.openxmlformats.org/spreadsheetml/2006/main" count="75" uniqueCount="66">
  <si>
    <t>FX inicio dia</t>
  </si>
  <si>
    <t>FX fin dia</t>
  </si>
  <si>
    <t>Trade n°</t>
  </si>
  <si>
    <t>Lebac</t>
  </si>
  <si>
    <t>Id</t>
  </si>
  <si>
    <t>Nombre</t>
  </si>
  <si>
    <t>MATURITY</t>
  </si>
  <si>
    <t>Status</t>
  </si>
  <si>
    <t>AM8538242 Corp</t>
  </si>
  <si>
    <t>AN2609906 Corp</t>
  </si>
  <si>
    <t>AN6285174 Corp</t>
  </si>
  <si>
    <t>AO0069036 Corp</t>
  </si>
  <si>
    <t>AO4008550 Corp</t>
  </si>
  <si>
    <t>AO7717751 Corp</t>
  </si>
  <si>
    <t>AP1980022 Corp</t>
  </si>
  <si>
    <t>AP5870633 Corp</t>
  </si>
  <si>
    <t>AQ0026551 Corp</t>
  </si>
  <si>
    <t>Patrimonio Lebac Inicio dia [USD]</t>
  </si>
  <si>
    <t>20-12-2017</t>
  </si>
  <si>
    <t>17-01-2018</t>
  </si>
  <si>
    <t>21-02-2018</t>
  </si>
  <si>
    <t>21-03-2018</t>
  </si>
  <si>
    <t>18-04-2018</t>
  </si>
  <si>
    <t>16-05-2018</t>
  </si>
  <si>
    <t>21-06-2018</t>
  </si>
  <si>
    <t>18-07-2018</t>
  </si>
  <si>
    <t>15-08-2018</t>
  </si>
  <si>
    <t>Patrimonio Fondo Inicio dia</t>
  </si>
  <si>
    <t>FX trade</t>
  </si>
  <si>
    <t>delta trading</t>
  </si>
  <si>
    <t>Operaciones FX del día</t>
  </si>
  <si>
    <t>Monto [USD]</t>
  </si>
  <si>
    <t>Ret 1D FX</t>
  </si>
  <si>
    <t>Operaciones Lebacs</t>
  </si>
  <si>
    <t>PX trade</t>
  </si>
  <si>
    <t>PX fin dia</t>
  </si>
  <si>
    <t>Ret 1D PX</t>
  </si>
  <si>
    <t>lebac n°</t>
  </si>
  <si>
    <t>PX inicio dia</t>
  </si>
  <si>
    <t>Weight</t>
  </si>
  <si>
    <t>Totales dia</t>
  </si>
  <si>
    <t>delta Trading</t>
  </si>
  <si>
    <t>inputs BCRA</t>
  </si>
  <si>
    <t>Retorno Cartera [sin trading]</t>
  </si>
  <si>
    <t>Total Cartera final dia [sin trading]</t>
  </si>
  <si>
    <t>Utilidad/Perdida trading</t>
  </si>
  <si>
    <t>Retorno FX</t>
  </si>
  <si>
    <t>Retorno LEBACs</t>
  </si>
  <si>
    <t>Retorno trading</t>
  </si>
  <si>
    <t>Instrumentos en cartera o ReInversión de nominales vencidos</t>
  </si>
  <si>
    <t>Provisión impuestos 5%</t>
  </si>
  <si>
    <t>Total Fondo</t>
  </si>
  <si>
    <t>Provisión Cartera Vigente</t>
  </si>
  <si>
    <t>Provisión compras</t>
  </si>
  <si>
    <t>Total Provisión</t>
  </si>
  <si>
    <t>Outputs (Valores en USD)</t>
  </si>
  <si>
    <t>Total Cartera fondo</t>
  </si>
  <si>
    <t>Provisión impuestos (Valores en ARS)</t>
  </si>
  <si>
    <t xml:space="preserve">Retorno Cartera </t>
  </si>
  <si>
    <t>Retorno Cartera Ex impuestos</t>
  </si>
  <si>
    <t>Op</t>
  </si>
  <si>
    <t>C</t>
  </si>
  <si>
    <t>LEBAC 16-05-2018</t>
  </si>
  <si>
    <t>V</t>
  </si>
  <si>
    <t>PX valorizacion</t>
  </si>
  <si>
    <t>FX valorizacion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</si>
</sst>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\ * #,##0.00_-;\-&quot;$&quot;\ * #,##0.00_-;_-&quot;$&quot;\ * &quot;-&quot;??_-;_-@_-"/>
    <numFmt numFmtId="165" formatCode="_-&quot;$&quot;\ * #,##0_-;\-&quot;$&quot;\ * #,##0_-;_-&quot;$&quot;\ * &quot;-&quot;??_-;_-@_-"/>
    <numFmt numFmtId="166" formatCode="0.0000"/>
    <numFmt numFmtId="167" formatCode="0.0000%"/>
    <numFmt numFmtId="168" formatCode="_-&quot;$&quot;* #,##0_-;\-&quot;$&quot;* #,##0_-;_-&quot;$&quot;* &quot;-&quot;??_-;_-@_-"/>
    <numFmt numFmtId="169" formatCode="0.000%"/>
    <numFmt numFmtId="170" formatCode="#,##0.0000"/>
    <numFmt numFmtId="171" formatCode="_-&quot;$&quot;\ * #,##0.000_-;\-&quot;$&quot;\ * #,##0.000_-;_-&quot;$&quot;\ * &quot;-&quot;??_-;_-@_-"/>
    <numFmt numFmtId="172" formatCode="0.00000%"/>
    <numFmt numFmtId="173" formatCode="0.000000%"/>
  </numFmts>
  <fonts count="7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3"/>
      <name val="Arial"/>
      <family val="2"/>
      <scheme val="minor"/>
    </font>
    <font>
      <b/>
      <sz val="11"/>
      <color rgb="FF00206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9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1" applyNumberFormat="1" applyFont="1"/>
    <xf numFmtId="10" fontId="0" fillId="0" borderId="0" xfId="2" applyNumberFormat="1" applyFont="1"/>
    <xf numFmtId="9" fontId="0" fillId="0" borderId="0" xfId="2" applyFont="1" applyAlignment="1">
      <alignment horizontal="center"/>
    </xf>
    <xf numFmtId="9" fontId="0" fillId="0" borderId="0" xfId="2" applyFont="1"/>
    <xf numFmtId="0" fontId="0" fillId="2" borderId="0" xfId="0" applyFill="1"/>
    <xf numFmtId="0" fontId="0" fillId="0" borderId="2" xfId="0" applyFont="1" applyBorder="1" applyAlignment="1">
      <alignment horizontal="center"/>
    </xf>
    <xf numFmtId="165" fontId="0" fillId="2" borderId="0" xfId="1" applyNumberFormat="1" applyFon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3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5" fontId="0" fillId="2" borderId="0" xfId="1" applyNumberFormat="1" applyFont="1" applyFill="1"/>
    <xf numFmtId="10" fontId="0" fillId="0" borderId="0" xfId="2" applyNumberFormat="1" applyFont="1" applyBorder="1" applyAlignment="1">
      <alignment horizontal="right"/>
    </xf>
    <xf numFmtId="165" fontId="0" fillId="0" borderId="0" xfId="0" applyNumberFormat="1" applyBorder="1" applyAlignment="1"/>
    <xf numFmtId="10" fontId="0" fillId="0" borderId="1" xfId="2" applyNumberFormat="1" applyFont="1" applyBorder="1" applyAlignment="1">
      <alignment horizontal="center"/>
    </xf>
    <xf numFmtId="165" fontId="0" fillId="0" borderId="0" xfId="1" applyNumberFormat="1" applyFont="1" applyBorder="1"/>
    <xf numFmtId="167" fontId="0" fillId="0" borderId="1" xfId="2" applyNumberFormat="1" applyFont="1" applyBorder="1" applyAlignment="1">
      <alignment horizontal="right"/>
    </xf>
    <xf numFmtId="165" fontId="0" fillId="0" borderId="1" xfId="1" applyNumberFormat="1" applyFont="1" applyBorder="1" applyAlignment="1">
      <alignment horizontal="right"/>
    </xf>
    <xf numFmtId="0" fontId="2" fillId="0" borderId="1" xfId="0" applyFont="1" applyBorder="1"/>
    <xf numFmtId="168" fontId="0" fillId="0" borderId="0" xfId="0" applyNumberFormat="1"/>
    <xf numFmtId="44" fontId="0" fillId="0" borderId="0" xfId="0" applyNumberFormat="1"/>
    <xf numFmtId="167" fontId="0" fillId="0" borderId="0" xfId="2" applyNumberFormat="1" applyFont="1"/>
    <xf numFmtId="10" fontId="0" fillId="0" borderId="0" xfId="2" applyNumberFormat="1" applyFont="1" applyAlignment="1">
      <alignment horizontal="center"/>
    </xf>
    <xf numFmtId="0" fontId="0" fillId="0" borderId="0" xfId="0" applyFill="1" applyBorder="1"/>
    <xf numFmtId="165" fontId="0" fillId="0" borderId="0" xfId="0" applyNumberFormat="1"/>
    <xf numFmtId="170" fontId="0" fillId="2" borderId="0" xfId="0" applyNumberFormat="1" applyFill="1"/>
    <xf numFmtId="166" fontId="0" fillId="0" borderId="0" xfId="0" applyNumberFormat="1"/>
    <xf numFmtId="4" fontId="0" fillId="0" borderId="0" xfId="0" applyNumberFormat="1"/>
    <xf numFmtId="4" fontId="2" fillId="0" borderId="0" xfId="0" applyNumberFormat="1" applyFont="1"/>
    <xf numFmtId="43" fontId="0" fillId="0" borderId="0" xfId="3" applyFont="1"/>
    <xf numFmtId="170" fontId="0" fillId="0" borderId="0" xfId="0" applyNumberFormat="1"/>
    <xf numFmtId="166" fontId="0" fillId="2" borderId="0" xfId="0" applyNumberFormat="1" applyFill="1"/>
    <xf numFmtId="166" fontId="0" fillId="0" borderId="0" xfId="0" applyNumberFormat="1" applyFill="1"/>
    <xf numFmtId="164" fontId="0" fillId="0" borderId="0" xfId="1" applyFont="1"/>
    <xf numFmtId="164" fontId="0" fillId="0" borderId="0" xfId="1" applyNumberFormat="1" applyFont="1"/>
    <xf numFmtId="0" fontId="0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/>
    <xf numFmtId="0" fontId="2" fillId="0" borderId="4" xfId="0" applyFont="1" applyBorder="1"/>
    <xf numFmtId="165" fontId="0" fillId="0" borderId="4" xfId="1" applyNumberFormat="1" applyFont="1" applyBorder="1"/>
    <xf numFmtId="171" fontId="0" fillId="0" borderId="0" xfId="0" applyNumberFormat="1"/>
    <xf numFmtId="171" fontId="0" fillId="0" borderId="0" xfId="1" applyNumberFormat="1" applyFont="1"/>
    <xf numFmtId="172" fontId="0" fillId="0" borderId="0" xfId="0" applyNumberFormat="1"/>
    <xf numFmtId="173" fontId="0" fillId="0" borderId="0" xfId="2" applyNumberFormat="1" applyFont="1"/>
    <xf numFmtId="44" fontId="0" fillId="0" borderId="0" xfId="1" applyNumberFormat="1" applyFont="1" applyBorder="1" applyAlignment="1">
      <alignment horizontal="center"/>
    </xf>
    <xf numFmtId="169" fontId="0" fillId="0" borderId="0" xfId="2" applyNumberFormat="1" applyFont="1" applyBorder="1" applyAlignment="1">
      <alignment horizontal="right"/>
    </xf>
    <xf numFmtId="167" fontId="0" fillId="0" borderId="0" xfId="0" applyNumberFormat="1"/>
    <xf numFmtId="0" fontId="5" fillId="0" borderId="0" xfId="0" applyFont="1" applyFill="1" applyBorder="1"/>
    <xf numFmtId="167" fontId="5" fillId="0" borderId="0" xfId="2" applyNumberFormat="1" applyFont="1"/>
    <xf numFmtId="165" fontId="5" fillId="0" borderId="0" xfId="0" applyNumberFormat="1" applyFont="1"/>
    <xf numFmtId="169" fontId="0" fillId="0" borderId="0" xfId="2" applyNumberFormat="1" applyFont="1"/>
    <xf numFmtId="164" fontId="0" fillId="0" borderId="0" xfId="1" applyNumberFormat="1" applyFont="1" applyBorder="1" applyAlignment="1">
      <alignment horizontal="right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165" fontId="6" fillId="0" borderId="0" xfId="1" applyNumberFormat="1" applyFont="1" applyBorder="1" applyAlignment="1">
      <alignment horizontal="center"/>
    </xf>
    <xf numFmtId="165" fontId="2" fillId="0" borderId="0" xfId="1" applyNumberFormat="1" applyFont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9" fontId="2" fillId="3" borderId="0" xfId="2" applyFont="1" applyFill="1" applyBorder="1" applyAlignment="1">
      <alignment horizontal="center"/>
    </xf>
  </cellXfs>
  <cellStyles count="4">
    <cellStyle name="Millares" xfId="3" builtinId="3"/>
    <cellStyle name="Moneda" xfId="1" builtinId="4"/>
    <cellStyle name="Normal" xfId="0" builtinId="0"/>
    <cellStyle name="Porcentaje" xfId="2" builtinId="5"/>
  </cellStyles>
  <dxfs count="26"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180509%20au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Lebac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Excel">
  <a:themeElements>
    <a:clrScheme name="CC">
      <a:dk1>
        <a:srgbClr val="59594F"/>
      </a:dk1>
      <a:lt1>
        <a:sysClr val="window" lastClr="FFFFFF"/>
      </a:lt1>
      <a:dk2>
        <a:srgbClr val="CE6116"/>
      </a:dk2>
      <a:lt2>
        <a:srgbClr val="151929"/>
      </a:lt2>
      <a:accent1>
        <a:srgbClr val="E87D1E"/>
      </a:accent1>
      <a:accent2>
        <a:srgbClr val="8D5615"/>
      </a:accent2>
      <a:accent3>
        <a:srgbClr val="9BB0B0"/>
      </a:accent3>
      <a:accent4>
        <a:srgbClr val="EDBE86"/>
      </a:accent4>
      <a:accent5>
        <a:srgbClr val="C3D0D0"/>
      </a:accent5>
      <a:accent6>
        <a:srgbClr val="597B7C"/>
      </a:accent6>
      <a:hlink>
        <a:srgbClr val="0000FF"/>
      </a:hlink>
      <a:folHlink>
        <a:srgbClr val="800080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6BBD3-5A95-4153-8FF3-9B92F62DC466}">
  <sheetPr codeName="Hoja2"/>
  <dimension ref="B3:V62"/>
  <sheetViews>
    <sheetView showGridLines="0" tabSelected="1" zoomScale="90" zoomScaleNormal="90" workbookViewId="0">
      <selection activeCell="M3" sqref="M3"/>
    </sheetView>
  </sheetViews>
  <sheetFormatPr baseColWidth="10" defaultRowHeight="14.25" x14ac:dyDescent="0.2"/>
  <cols>
    <col min="1" max="1" width="4" customWidth="1"/>
    <col min="2" max="2" width="9.75" bestFit="1" customWidth="1"/>
    <col min="3" max="3" width="5.375" customWidth="1"/>
    <col min="4" max="4" width="16.125" customWidth="1"/>
    <col min="5" max="5" width="20.25" bestFit="1" customWidth="1"/>
    <col min="6" max="6" width="13.25" bestFit="1" customWidth="1"/>
    <col min="7" max="7" width="13.375" bestFit="1" customWidth="1"/>
    <col min="8" max="8" width="10.75" bestFit="1" customWidth="1"/>
    <col min="9" max="9" width="12.625" bestFit="1" customWidth="1"/>
    <col min="10" max="10" width="11.375" customWidth="1"/>
    <col min="11" max="11" width="16.75" bestFit="1" customWidth="1"/>
    <col min="12" max="12" width="28.375" bestFit="1" customWidth="1"/>
    <col min="13" max="13" width="22.875" bestFit="1" customWidth="1"/>
    <col min="14" max="14" width="24" bestFit="1" customWidth="1"/>
    <col min="15" max="15" width="23.125" bestFit="1" customWidth="1"/>
    <col min="16" max="16" width="9.25" bestFit="1" customWidth="1"/>
    <col min="17" max="17" width="9.5" bestFit="1" customWidth="1"/>
    <col min="18" max="18" width="6.625" bestFit="1" customWidth="1"/>
    <col min="19" max="19" width="12.625" bestFit="1" customWidth="1"/>
    <col min="20" max="20" width="12.375" bestFit="1" customWidth="1"/>
  </cols>
  <sheetData>
    <row r="3" spans="2:16" x14ac:dyDescent="0.2">
      <c r="M3">
        <v>1861397606.79</v>
      </c>
    </row>
    <row r="6" spans="2:16" ht="15" x14ac:dyDescent="0.25">
      <c r="B6" s="69" t="s">
        <v>30</v>
      </c>
      <c r="C6" s="69"/>
      <c r="D6" s="69"/>
      <c r="E6" s="69"/>
      <c r="F6" s="69"/>
      <c r="G6" s="69"/>
      <c r="H6" s="69"/>
      <c r="J6" s="66" t="s">
        <v>49</v>
      </c>
      <c r="K6" s="66"/>
      <c r="L6" s="66"/>
      <c r="M6" s="66"/>
      <c r="N6" s="66"/>
      <c r="O6" s="66"/>
      <c r="P6" s="66"/>
    </row>
    <row r="7" spans="2:16" ht="15" x14ac:dyDescent="0.25">
      <c r="B7" s="8" t="s">
        <v>2</v>
      </c>
      <c r="C7" s="64" t="s">
        <v>60</v>
      </c>
      <c r="D7" s="8" t="s">
        <v>31</v>
      </c>
      <c r="E7" s="8" t="s">
        <v>28</v>
      </c>
      <c r="F7" s="8" t="s">
        <v>65</v>
      </c>
      <c r="G7" s="8" t="s">
        <v>32</v>
      </c>
      <c r="H7" s="8" t="s">
        <v>29</v>
      </c>
      <c r="J7" s="8" t="s">
        <v>37</v>
      </c>
      <c r="K7" s="8" t="s">
        <v>3</v>
      </c>
      <c r="L7" s="8" t="s">
        <v>17</v>
      </c>
      <c r="M7" s="8" t="s">
        <v>38</v>
      </c>
      <c r="N7" s="8" t="s">
        <v>35</v>
      </c>
      <c r="O7" s="8" t="s">
        <v>36</v>
      </c>
      <c r="P7" s="8" t="s">
        <v>39</v>
      </c>
    </row>
    <row r="8" spans="2:16" x14ac:dyDescent="0.2">
      <c r="B8" s="1">
        <v>1</v>
      </c>
      <c r="C8" s="61" t="s">
        <v>61</v>
      </c>
      <c r="D8" s="9">
        <v>1500000</v>
      </c>
      <c r="E8" s="10">
        <v>22.6</v>
      </c>
      <c r="F8" s="1">
        <f>IF(AND(D8&gt;0,E8&gt;0),IF(C8="C",$L$21,$L$20),"")</f>
        <v>22.763300000000001</v>
      </c>
      <c r="G8" s="31">
        <f>+IF(E8&gt;0,IF(C8="C",F8/E8-1,E8/F8-1),"")</f>
        <v>7.2256637168142124E-3</v>
      </c>
      <c r="H8" s="2">
        <f t="shared" ref="H8:H15" si="0">+IFERROR(G8*D8,)</f>
        <v>10838.495575221319</v>
      </c>
      <c r="J8" s="1">
        <v>1</v>
      </c>
      <c r="K8" t="s">
        <v>62</v>
      </c>
      <c r="L8" s="20">
        <v>74506949.515799999</v>
      </c>
      <c r="M8" s="40">
        <v>99.238699999999994</v>
      </c>
      <c r="N8" s="40">
        <v>99.208100000000002</v>
      </c>
      <c r="O8" s="4">
        <f t="shared" ref="O8:O16" si="1">+IF(AND(L8&gt;0,M8&gt;0,N8&gt;0),N8/M8-1,"")</f>
        <v>-3.0834744913010859E-4</v>
      </c>
      <c r="P8" s="6">
        <f t="shared" ref="P8:P15" si="2">+IF(L8&gt;0,L8/SUM($L$8:$L$16),"")</f>
        <v>1</v>
      </c>
    </row>
    <row r="9" spans="2:16" x14ac:dyDescent="0.2">
      <c r="B9" s="1">
        <v>2</v>
      </c>
      <c r="C9" s="62" t="s">
        <v>61</v>
      </c>
      <c r="D9" s="9">
        <v>1500000</v>
      </c>
      <c r="E9" s="10">
        <v>22.63</v>
      </c>
      <c r="F9" s="1">
        <f t="shared" ref="F9:F15" si="3">IF(AND(D9&gt;0,E9&gt;0),IF(C9="C",$L$21,$L$20),"")</f>
        <v>22.763300000000001</v>
      </c>
      <c r="G9" s="31">
        <f t="shared" ref="G9:G15" si="4">+IF(E9&gt;0,IF(C9="C",F9/E9-1,E9/F9-1),"")</f>
        <v>5.8904109589041909E-3</v>
      </c>
      <c r="H9" s="2">
        <f t="shared" si="0"/>
        <v>8835.6164383562864</v>
      </c>
      <c r="J9" s="1">
        <v>2</v>
      </c>
      <c r="L9" s="20"/>
      <c r="M9" s="7"/>
      <c r="N9" s="40"/>
      <c r="O9" s="4" t="str">
        <f t="shared" si="1"/>
        <v/>
      </c>
      <c r="P9" s="6" t="str">
        <f t="shared" si="2"/>
        <v/>
      </c>
    </row>
    <row r="10" spans="2:16" x14ac:dyDescent="0.2">
      <c r="B10" s="1">
        <v>3</v>
      </c>
      <c r="C10" s="62" t="s">
        <v>61</v>
      </c>
      <c r="D10" s="9">
        <v>880000</v>
      </c>
      <c r="E10" s="10">
        <v>22.63</v>
      </c>
      <c r="F10" s="1">
        <f t="shared" si="3"/>
        <v>22.763300000000001</v>
      </c>
      <c r="G10" s="31">
        <f t="shared" si="4"/>
        <v>5.8904109589041909E-3</v>
      </c>
      <c r="H10" s="2">
        <f t="shared" si="0"/>
        <v>5183.5616438356883</v>
      </c>
      <c r="J10" s="1">
        <v>3</v>
      </c>
      <c r="L10" s="20"/>
      <c r="M10" s="7"/>
      <c r="N10" s="7"/>
      <c r="O10" s="6" t="str">
        <f t="shared" si="1"/>
        <v/>
      </c>
      <c r="P10" s="6" t="str">
        <f t="shared" si="2"/>
        <v/>
      </c>
    </row>
    <row r="11" spans="2:16" x14ac:dyDescent="0.2">
      <c r="B11" s="1">
        <v>4</v>
      </c>
      <c r="C11" s="62"/>
      <c r="D11" s="9"/>
      <c r="E11" s="10"/>
      <c r="F11" s="1" t="str">
        <f t="shared" si="3"/>
        <v/>
      </c>
      <c r="G11" s="31" t="str">
        <f t="shared" si="4"/>
        <v/>
      </c>
      <c r="H11" s="2">
        <f t="shared" si="0"/>
        <v>0</v>
      </c>
      <c r="J11" s="1">
        <v>4</v>
      </c>
      <c r="L11" s="20"/>
      <c r="M11" s="7"/>
      <c r="N11" s="7"/>
      <c r="O11" s="6" t="str">
        <f t="shared" si="1"/>
        <v/>
      </c>
      <c r="P11" s="6" t="str">
        <f t="shared" si="2"/>
        <v/>
      </c>
    </row>
    <row r="12" spans="2:16" x14ac:dyDescent="0.2">
      <c r="B12" s="1">
        <v>5</v>
      </c>
      <c r="C12" s="62"/>
      <c r="D12" s="9"/>
      <c r="E12" s="10"/>
      <c r="F12" s="1" t="str">
        <f t="shared" si="3"/>
        <v/>
      </c>
      <c r="G12" s="31" t="str">
        <f t="shared" si="4"/>
        <v/>
      </c>
      <c r="H12" s="2">
        <f t="shared" si="0"/>
        <v>0</v>
      </c>
      <c r="J12" s="1">
        <v>5</v>
      </c>
      <c r="L12" s="20"/>
      <c r="M12" s="7"/>
      <c r="N12" s="7"/>
      <c r="O12" s="6" t="str">
        <f t="shared" si="1"/>
        <v/>
      </c>
      <c r="P12" s="6" t="str">
        <f t="shared" si="2"/>
        <v/>
      </c>
    </row>
    <row r="13" spans="2:16" x14ac:dyDescent="0.2">
      <c r="B13" s="1">
        <v>6</v>
      </c>
      <c r="C13" s="62"/>
      <c r="D13" s="9"/>
      <c r="E13" s="10"/>
      <c r="F13" s="1" t="str">
        <f t="shared" si="3"/>
        <v/>
      </c>
      <c r="G13" s="31" t="str">
        <f t="shared" si="4"/>
        <v/>
      </c>
      <c r="H13" s="2">
        <f t="shared" si="0"/>
        <v>0</v>
      </c>
      <c r="J13" s="1">
        <v>6</v>
      </c>
      <c r="L13" s="20"/>
      <c r="M13" s="7"/>
      <c r="N13" s="7"/>
      <c r="O13" s="6" t="str">
        <f t="shared" si="1"/>
        <v/>
      </c>
      <c r="P13" s="6" t="str">
        <f t="shared" si="2"/>
        <v/>
      </c>
    </row>
    <row r="14" spans="2:16" x14ac:dyDescent="0.2">
      <c r="B14" s="1">
        <v>7</v>
      </c>
      <c r="C14" s="62"/>
      <c r="D14" s="9"/>
      <c r="E14" s="10"/>
      <c r="F14" s="1" t="str">
        <f t="shared" si="3"/>
        <v/>
      </c>
      <c r="G14" s="31" t="str">
        <f t="shared" si="4"/>
        <v/>
      </c>
      <c r="H14" s="2">
        <f t="shared" si="0"/>
        <v>0</v>
      </c>
      <c r="J14" s="1">
        <v>7</v>
      </c>
      <c r="L14" s="20"/>
      <c r="M14" s="7"/>
      <c r="N14" s="7"/>
      <c r="O14" s="6" t="str">
        <f t="shared" si="1"/>
        <v/>
      </c>
      <c r="P14" s="6" t="str">
        <f t="shared" si="2"/>
        <v/>
      </c>
    </row>
    <row r="15" spans="2:16" x14ac:dyDescent="0.2">
      <c r="B15" s="1">
        <v>8</v>
      </c>
      <c r="C15" s="63"/>
      <c r="D15" s="9"/>
      <c r="E15" s="10"/>
      <c r="F15" s="1" t="str">
        <f t="shared" si="3"/>
        <v/>
      </c>
      <c r="G15" s="31" t="str">
        <f t="shared" si="4"/>
        <v/>
      </c>
      <c r="H15" s="2">
        <f t="shared" si="0"/>
        <v>0</v>
      </c>
      <c r="J15" s="1">
        <v>8</v>
      </c>
      <c r="L15" s="20"/>
      <c r="M15" s="7"/>
      <c r="N15" s="7"/>
      <c r="O15" s="6" t="str">
        <f t="shared" si="1"/>
        <v/>
      </c>
      <c r="P15" s="6" t="str">
        <f t="shared" si="2"/>
        <v/>
      </c>
    </row>
    <row r="16" spans="2:16" x14ac:dyDescent="0.2">
      <c r="B16" s="11" t="s">
        <v>40</v>
      </c>
      <c r="C16" s="11"/>
      <c r="D16" s="12">
        <f>+SUM(D8:D15)</f>
        <v>3880000</v>
      </c>
      <c r="E16" s="13">
        <f>+IFERROR(SUMPRODUCT($D$8:$D$15,$E$8:$E$15)/SUM(D8:D15),0)</f>
        <v>22.618402061855669</v>
      </c>
      <c r="F16" s="11">
        <f>+$L$20</f>
        <v>22.568300000000001</v>
      </c>
      <c r="G16" s="23">
        <f>+SUMPRODUCT($D$8:$D$15,$G$8:$G$15)/SUMPRODUCT($D$8:$D$15)</f>
        <v>6.4066169220137357E-3</v>
      </c>
      <c r="H16" s="12">
        <f>+SUM(H8:H15)</f>
        <v>24857.673657413296</v>
      </c>
      <c r="J16" s="1">
        <v>9</v>
      </c>
      <c r="L16" s="20"/>
      <c r="M16" s="7"/>
      <c r="N16" s="7"/>
      <c r="O16" s="6" t="str">
        <f t="shared" si="1"/>
        <v/>
      </c>
      <c r="P16" s="6"/>
    </row>
    <row r="17" spans="2:17" x14ac:dyDescent="0.2">
      <c r="B17" s="17"/>
      <c r="C17" s="17"/>
      <c r="D17" s="18"/>
      <c r="E17" s="19"/>
      <c r="F17" s="17"/>
      <c r="G17" s="17"/>
      <c r="H17" s="18"/>
      <c r="L17" s="33">
        <f>+SUM(L8:L9)</f>
        <v>74506949.515799999</v>
      </c>
    </row>
    <row r="19" spans="2:17" ht="15" x14ac:dyDescent="0.25">
      <c r="B19" s="69" t="s">
        <v>33</v>
      </c>
      <c r="C19" s="69"/>
      <c r="D19" s="69"/>
      <c r="E19" s="69"/>
      <c r="F19" s="69"/>
      <c r="G19" s="69"/>
      <c r="H19" s="69"/>
      <c r="I19" s="69"/>
      <c r="J19" s="45"/>
      <c r="K19" s="69" t="s">
        <v>42</v>
      </c>
      <c r="L19" s="69"/>
      <c r="N19" s="66" t="s">
        <v>57</v>
      </c>
      <c r="O19" s="66"/>
      <c r="P19" s="33"/>
    </row>
    <row r="20" spans="2:17" ht="15" x14ac:dyDescent="0.25">
      <c r="B20" s="15" t="s">
        <v>2</v>
      </c>
      <c r="C20" s="65" t="s">
        <v>60</v>
      </c>
      <c r="D20" s="15" t="s">
        <v>3</v>
      </c>
      <c r="E20" s="15" t="s">
        <v>31</v>
      </c>
      <c r="F20" s="15" t="s">
        <v>34</v>
      </c>
      <c r="G20" s="15" t="s">
        <v>64</v>
      </c>
      <c r="H20" s="15" t="s">
        <v>36</v>
      </c>
      <c r="I20" s="15" t="s">
        <v>41</v>
      </c>
      <c r="J20" s="44"/>
      <c r="K20" s="7" t="s">
        <v>1</v>
      </c>
      <c r="L20" s="34">
        <v>22.568300000000001</v>
      </c>
      <c r="M20" s="33"/>
      <c r="N20" s="46" t="s">
        <v>52</v>
      </c>
      <c r="O20" s="3">
        <f>+L17*L21*M27*5%</f>
        <v>-26148.234380195398</v>
      </c>
      <c r="P20" s="33"/>
    </row>
    <row r="21" spans="2:17" ht="15" x14ac:dyDescent="0.25">
      <c r="B21" s="1">
        <v>1</v>
      </c>
      <c r="C21" s="61" t="s">
        <v>63</v>
      </c>
      <c r="D21" s="7" t="s">
        <v>62</v>
      </c>
      <c r="E21" s="20">
        <f>+SUM(D8:D10)</f>
        <v>3880000</v>
      </c>
      <c r="F21" s="40">
        <v>99.186800000000005</v>
      </c>
      <c r="G21" s="41">
        <f>+IF(D21="","",IF(C21="C",VLOOKUP(D21,$K$8:$N$16,4,FALSE),VLOOKUP(D21,$K$8:$N$16,3,FALSE)))</f>
        <v>99.238699999999994</v>
      </c>
      <c r="H21" s="31">
        <f>+IF(AND(G21&gt;0,F21&gt;0),IF(C21="V",F21/G21-1,G21/F21-1),"")</f>
        <v>-5.2298145783846728E-4</v>
      </c>
      <c r="I21" s="3">
        <f t="shared" ref="I21:I28" si="5">+IFERROR(H21*E21,)</f>
        <v>-2029.168056413253</v>
      </c>
      <c r="J21" s="3"/>
      <c r="K21" s="7" t="s">
        <v>0</v>
      </c>
      <c r="L21" s="34">
        <v>22.763300000000001</v>
      </c>
      <c r="N21" s="47" t="s">
        <v>53</v>
      </c>
      <c r="O21" s="48">
        <f>I29*E16*5%</f>
        <v>-2294.8269475514589</v>
      </c>
    </row>
    <row r="22" spans="2:17" ht="15" x14ac:dyDescent="0.25">
      <c r="B22" s="1">
        <v>2</v>
      </c>
      <c r="C22" s="62"/>
      <c r="D22" s="7"/>
      <c r="E22" s="20"/>
      <c r="F22" s="7"/>
      <c r="G22" s="41" t="str">
        <f t="shared" ref="G22:G28" si="6">+IF(D22="","",IF(C22="C",VLOOKUP(D22,$K$8:$N$16,4,FALSE),VLOOKUP(D22,$K$8:$N$16,3,FALSE)))</f>
        <v/>
      </c>
      <c r="H22" s="5" t="str">
        <f t="shared" ref="H22:H28" si="7">+IF(AND(G22&gt;0,F22&gt;0),G22/F22-1,"")</f>
        <v/>
      </c>
      <c r="I22" s="3">
        <f t="shared" si="5"/>
        <v>0</v>
      </c>
      <c r="J22" s="3"/>
      <c r="N22" s="46" t="s">
        <v>54</v>
      </c>
      <c r="O22" s="33">
        <f>+SUM(O20:O21)</f>
        <v>-28443.061327746858</v>
      </c>
    </row>
    <row r="23" spans="2:17" x14ac:dyDescent="0.2">
      <c r="B23" s="1">
        <v>3</v>
      </c>
      <c r="C23" s="62"/>
      <c r="D23" s="7"/>
      <c r="E23" s="20"/>
      <c r="F23" s="7"/>
      <c r="G23" s="41" t="str">
        <f t="shared" si="6"/>
        <v/>
      </c>
      <c r="H23" s="5" t="str">
        <f t="shared" si="7"/>
        <v/>
      </c>
      <c r="I23" s="3">
        <f t="shared" si="5"/>
        <v>0</v>
      </c>
      <c r="J23" s="3"/>
      <c r="Q23" s="35"/>
    </row>
    <row r="24" spans="2:17" ht="15" x14ac:dyDescent="0.25">
      <c r="B24" s="1">
        <v>4</v>
      </c>
      <c r="C24" s="62"/>
      <c r="D24" s="7"/>
      <c r="E24" s="7"/>
      <c r="F24" s="7"/>
      <c r="G24" s="41" t="str">
        <f t="shared" si="6"/>
        <v/>
      </c>
      <c r="H24" s="5" t="str">
        <f t="shared" si="7"/>
        <v/>
      </c>
      <c r="I24" s="3">
        <f t="shared" si="5"/>
        <v>0</v>
      </c>
      <c r="J24" s="3"/>
      <c r="L24" s="70" t="s">
        <v>55</v>
      </c>
      <c r="M24" s="70"/>
      <c r="N24" s="70"/>
    </row>
    <row r="25" spans="2:17" ht="15" x14ac:dyDescent="0.25">
      <c r="B25" s="1">
        <v>5</v>
      </c>
      <c r="C25" s="62"/>
      <c r="D25" s="7"/>
      <c r="E25" s="7"/>
      <c r="F25" s="7"/>
      <c r="G25" s="41" t="str">
        <f t="shared" si="6"/>
        <v/>
      </c>
      <c r="H25" s="5" t="str">
        <f t="shared" si="7"/>
        <v/>
      </c>
      <c r="I25" s="3">
        <f t="shared" si="5"/>
        <v>0</v>
      </c>
      <c r="J25" s="3"/>
      <c r="L25" s="16" t="s">
        <v>27</v>
      </c>
      <c r="M25" s="68">
        <f>+SUM(L8:L16)+$D$34</f>
        <v>74506949.515799999</v>
      </c>
      <c r="N25" s="68"/>
      <c r="O25" s="33"/>
      <c r="P25" s="33"/>
    </row>
    <row r="26" spans="2:17" x14ac:dyDescent="0.2">
      <c r="B26" s="1">
        <v>6</v>
      </c>
      <c r="C26" s="62"/>
      <c r="D26" s="7"/>
      <c r="E26" s="7"/>
      <c r="F26" s="7"/>
      <c r="G26" s="41" t="str">
        <f t="shared" si="6"/>
        <v/>
      </c>
      <c r="H26" s="5" t="str">
        <f t="shared" si="7"/>
        <v/>
      </c>
      <c r="I26" s="3">
        <f t="shared" si="5"/>
        <v>0</v>
      </c>
      <c r="J26" s="3"/>
      <c r="L26" s="16" t="s">
        <v>46</v>
      </c>
      <c r="M26" s="54">
        <f>+L21/L20-1</f>
        <v>8.6404381366784744E-3</v>
      </c>
      <c r="N26" s="18">
        <f>+M26*M25</f>
        <v>643772.68804389611</v>
      </c>
      <c r="P26" s="30"/>
    </row>
    <row r="27" spans="2:17" x14ac:dyDescent="0.2">
      <c r="B27" s="1">
        <v>7</v>
      </c>
      <c r="C27" s="62"/>
      <c r="D27" s="7"/>
      <c r="E27" s="7"/>
      <c r="F27" s="7"/>
      <c r="G27" s="41" t="str">
        <f t="shared" si="6"/>
        <v/>
      </c>
      <c r="H27" s="5" t="str">
        <f t="shared" si="7"/>
        <v/>
      </c>
      <c r="I27" s="3">
        <f t="shared" si="5"/>
        <v>0</v>
      </c>
      <c r="J27" s="3"/>
      <c r="L27" s="16" t="s">
        <v>47</v>
      </c>
      <c r="M27" s="54">
        <f>+SUMPRODUCT($O$8:$O$16,$P$8:$P$16)</f>
        <v>-3.0834744913010859E-4</v>
      </c>
      <c r="N27" s="53">
        <f>+M27*L17</f>
        <v>-22974.02782566271</v>
      </c>
      <c r="P27" s="33"/>
    </row>
    <row r="28" spans="2:17" x14ac:dyDescent="0.2">
      <c r="B28" s="1">
        <v>8</v>
      </c>
      <c r="C28" s="63"/>
      <c r="D28" s="7"/>
      <c r="E28" s="7"/>
      <c r="F28" s="7"/>
      <c r="G28" s="41" t="str">
        <f t="shared" si="6"/>
        <v/>
      </c>
      <c r="H28" s="5" t="str">
        <f t="shared" si="7"/>
        <v/>
      </c>
      <c r="I28" s="3">
        <f t="shared" si="5"/>
        <v>0</v>
      </c>
      <c r="J28" s="3"/>
      <c r="K28" s="16"/>
      <c r="L28" s="16" t="s">
        <v>43</v>
      </c>
      <c r="M28" s="54">
        <f>+(1+M26)*(1+M27)-1</f>
        <v>8.3294264304896171E-3</v>
      </c>
      <c r="N28" s="24"/>
    </row>
    <row r="29" spans="2:17" ht="15" x14ac:dyDescent="0.25">
      <c r="B29" s="11" t="s">
        <v>40</v>
      </c>
      <c r="C29" s="11"/>
      <c r="D29" s="14"/>
      <c r="E29" s="12">
        <f>+SUM(E21:E28)</f>
        <v>3880000</v>
      </c>
      <c r="F29" s="13"/>
      <c r="G29" s="11"/>
      <c r="H29" s="23">
        <f>+IFERROR(SUMPRODUCT($E$21:$E$28,$H$21:$H$28)/SUMPRODUCT($E$21:$E$28),0)</f>
        <v>-5.2298145783846728E-4</v>
      </c>
      <c r="I29" s="12">
        <f>+SUM(I21:I28)</f>
        <v>-2029.168056413253</v>
      </c>
      <c r="J29" s="18"/>
      <c r="L29" s="16" t="s">
        <v>44</v>
      </c>
      <c r="M29" s="68">
        <f>+L17*(1+M28)</f>
        <v>75127549.670352057</v>
      </c>
      <c r="N29" s="68"/>
      <c r="O29" s="33"/>
    </row>
    <row r="30" spans="2:17" x14ac:dyDescent="0.2">
      <c r="L30" s="16" t="s">
        <v>45</v>
      </c>
      <c r="M30" s="60">
        <f>+H16+I29</f>
        <v>22828.505601000041</v>
      </c>
      <c r="N30" s="22"/>
      <c r="P30" s="3"/>
    </row>
    <row r="31" spans="2:17" x14ac:dyDescent="0.2">
      <c r="L31" s="16" t="s">
        <v>48</v>
      </c>
      <c r="M31" s="21">
        <f>+M30/M25</f>
        <v>3.0639431287089551E-4</v>
      </c>
      <c r="N31" s="16"/>
      <c r="P31" s="33"/>
    </row>
    <row r="32" spans="2:17" ht="15" x14ac:dyDescent="0.25">
      <c r="E32" s="35"/>
      <c r="L32" s="16" t="s">
        <v>56</v>
      </c>
      <c r="M32" s="68">
        <f>+M25+N26+N27+M30</f>
        <v>75150576.681619227</v>
      </c>
      <c r="N32" s="68"/>
      <c r="P32" s="28"/>
    </row>
    <row r="33" spans="4:17" ht="15" x14ac:dyDescent="0.25">
      <c r="E33" s="3"/>
      <c r="F33" s="43"/>
      <c r="G33" s="42"/>
      <c r="L33" s="16" t="s">
        <v>50</v>
      </c>
      <c r="M33" s="67">
        <f>+O22/L20</f>
        <v>-1260.310317026398</v>
      </c>
      <c r="N33" s="67"/>
      <c r="P33" s="29"/>
    </row>
    <row r="34" spans="4:17" ht="15" x14ac:dyDescent="0.25">
      <c r="D34" s="3"/>
      <c r="E34" s="33"/>
      <c r="L34" s="32" t="s">
        <v>51</v>
      </c>
      <c r="M34" s="68">
        <f>+M32-M33</f>
        <v>75151836.991936252</v>
      </c>
      <c r="N34" s="68"/>
    </row>
    <row r="35" spans="4:17" ht="15" x14ac:dyDescent="0.25">
      <c r="E35" s="33"/>
      <c r="F35" s="59"/>
      <c r="G35" s="33"/>
      <c r="L35" s="56" t="s">
        <v>59</v>
      </c>
      <c r="M35" s="57">
        <f>+M32/M25-1</f>
        <v>8.6384850004190827E-3</v>
      </c>
      <c r="N35" s="58">
        <f>+M32-M25</f>
        <v>643627.1658192277</v>
      </c>
    </row>
    <row r="36" spans="4:17" ht="15" x14ac:dyDescent="0.25">
      <c r="E36" s="33"/>
      <c r="G36" s="33"/>
      <c r="H36" s="35"/>
      <c r="L36" s="27" t="s">
        <v>58</v>
      </c>
      <c r="M36" s="25">
        <f>+M34/M25-1</f>
        <v>8.6554003395280521E-3</v>
      </c>
      <c r="N36" s="26">
        <f>+M32-M25</f>
        <v>643627.1658192277</v>
      </c>
    </row>
    <row r="37" spans="4:17" x14ac:dyDescent="0.2">
      <c r="F37" s="4"/>
      <c r="M37" s="51"/>
    </row>
    <row r="38" spans="4:17" x14ac:dyDescent="0.2">
      <c r="M38" s="55"/>
    </row>
    <row r="39" spans="4:17" ht="15" x14ac:dyDescent="0.25">
      <c r="E39" s="49"/>
      <c r="F39" s="50"/>
      <c r="M39" s="30"/>
      <c r="O39" s="36"/>
      <c r="P39" s="36"/>
      <c r="Q39" s="37"/>
    </row>
    <row r="40" spans="4:17" ht="15" x14ac:dyDescent="0.25">
      <c r="E40" s="50"/>
      <c r="M40" s="3"/>
      <c r="O40" s="36"/>
      <c r="P40" s="36"/>
      <c r="Q40" s="37"/>
    </row>
    <row r="41" spans="4:17" x14ac:dyDescent="0.2">
      <c r="M41" s="52"/>
      <c r="O41" s="36"/>
      <c r="P41" s="36"/>
      <c r="Q41" s="36"/>
    </row>
    <row r="42" spans="4:17" ht="15" x14ac:dyDescent="0.25">
      <c r="M42" s="30"/>
      <c r="O42" s="36"/>
      <c r="P42" s="36"/>
      <c r="Q42" s="37"/>
    </row>
    <row r="43" spans="4:17" ht="15" x14ac:dyDescent="0.25">
      <c r="Q43" s="37"/>
    </row>
    <row r="45" spans="4:17" x14ac:dyDescent="0.2">
      <c r="Q45" s="36"/>
    </row>
    <row r="46" spans="4:17" x14ac:dyDescent="0.2">
      <c r="Q46" s="30"/>
    </row>
    <row r="50" spans="16:22" x14ac:dyDescent="0.2">
      <c r="P50" s="36"/>
      <c r="Q50" s="4"/>
      <c r="R50" s="36"/>
      <c r="T50" s="36"/>
      <c r="U50" s="39"/>
      <c r="V50" s="30"/>
    </row>
    <row r="51" spans="16:22" x14ac:dyDescent="0.2">
      <c r="P51" s="36"/>
      <c r="Q51" s="4"/>
      <c r="R51" s="36"/>
      <c r="T51" s="36"/>
      <c r="U51" s="39"/>
      <c r="V51" s="30"/>
    </row>
    <row r="52" spans="16:22" x14ac:dyDescent="0.2">
      <c r="P52" s="36"/>
      <c r="Q52" s="4"/>
      <c r="R52" s="36"/>
      <c r="U52" s="39"/>
    </row>
    <row r="53" spans="16:22" x14ac:dyDescent="0.2">
      <c r="P53" s="36"/>
      <c r="Q53" s="4"/>
      <c r="R53" s="36"/>
      <c r="T53" s="36"/>
      <c r="U53" s="39"/>
      <c r="V53" s="30"/>
    </row>
    <row r="54" spans="16:22" ht="15" x14ac:dyDescent="0.25">
      <c r="P54" s="37"/>
    </row>
    <row r="58" spans="16:22" x14ac:dyDescent="0.2">
      <c r="P58" s="38"/>
    </row>
    <row r="59" spans="16:22" x14ac:dyDescent="0.2">
      <c r="P59" s="38"/>
    </row>
    <row r="60" spans="16:22" x14ac:dyDescent="0.2">
      <c r="P60" s="38"/>
    </row>
    <row r="61" spans="16:22" x14ac:dyDescent="0.2">
      <c r="P61" s="38"/>
    </row>
    <row r="62" spans="16:22" x14ac:dyDescent="0.2">
      <c r="P62" s="38"/>
    </row>
  </sheetData>
  <mergeCells count="11">
    <mergeCell ref="J6:P6"/>
    <mergeCell ref="M33:N33"/>
    <mergeCell ref="M34:N34"/>
    <mergeCell ref="N19:O19"/>
    <mergeCell ref="B6:H6"/>
    <mergeCell ref="M32:N32"/>
    <mergeCell ref="M29:N29"/>
    <mergeCell ref="L24:N24"/>
    <mergeCell ref="M25:N25"/>
    <mergeCell ref="B19:I19"/>
    <mergeCell ref="K19:L19"/>
  </mergeCells>
  <conditionalFormatting sqref="H16">
    <cfRule type="cellIs" dxfId="25" priority="29" operator="lessThan">
      <formula>0</formula>
    </cfRule>
    <cfRule type="cellIs" dxfId="24" priority="30" operator="greaterThan">
      <formula>0</formula>
    </cfRule>
  </conditionalFormatting>
  <conditionalFormatting sqref="M31">
    <cfRule type="cellIs" dxfId="23" priority="23" operator="lessThan">
      <formula>0</formula>
    </cfRule>
    <cfRule type="cellIs" dxfId="22" priority="24" operator="greaterThan">
      <formula>0</formula>
    </cfRule>
  </conditionalFormatting>
  <conditionalFormatting sqref="M36">
    <cfRule type="cellIs" dxfId="21" priority="25" operator="lessThan">
      <formula>0</formula>
    </cfRule>
    <cfRule type="cellIs" dxfId="20" priority="26" operator="greaterThan">
      <formula>0</formula>
    </cfRule>
  </conditionalFormatting>
  <conditionalFormatting sqref="M28">
    <cfRule type="cellIs" dxfId="19" priority="21" operator="lessThan">
      <formula>0</formula>
    </cfRule>
    <cfRule type="cellIs" dxfId="18" priority="22" operator="greaterThan">
      <formula>0</formula>
    </cfRule>
  </conditionalFormatting>
  <conditionalFormatting sqref="M26">
    <cfRule type="cellIs" dxfId="17" priority="19" operator="lessThan">
      <formula>0</formula>
    </cfRule>
    <cfRule type="cellIs" dxfId="16" priority="20" operator="greaterThan">
      <formula>0</formula>
    </cfRule>
  </conditionalFormatting>
  <conditionalFormatting sqref="M27">
    <cfRule type="cellIs" dxfId="15" priority="17" operator="lessThan">
      <formula>0</formula>
    </cfRule>
    <cfRule type="cellIs" dxfId="14" priority="18" operator="greaterThan">
      <formula>0</formula>
    </cfRule>
  </conditionalFormatting>
  <conditionalFormatting sqref="N26">
    <cfRule type="cellIs" dxfId="13" priority="15" operator="lessThan">
      <formula>0</formula>
    </cfRule>
    <cfRule type="cellIs" dxfId="12" priority="16" operator="greaterThan">
      <formula>0</formula>
    </cfRule>
  </conditionalFormatting>
  <conditionalFormatting sqref="N27">
    <cfRule type="cellIs" dxfId="11" priority="13" operator="lessThan">
      <formula>0</formula>
    </cfRule>
    <cfRule type="cellIs" dxfId="10" priority="14" operator="greaterThan">
      <formula>0</formula>
    </cfRule>
  </conditionalFormatting>
  <conditionalFormatting sqref="M30">
    <cfRule type="cellIs" dxfId="9" priority="11" operator="lessThan">
      <formula>0</formula>
    </cfRule>
    <cfRule type="cellIs" dxfId="8" priority="12" operator="greaterThan">
      <formula>0</formula>
    </cfRule>
  </conditionalFormatting>
  <conditionalFormatting sqref="G16">
    <cfRule type="cellIs" dxfId="7" priority="9" operator="lessThan">
      <formula>0</formula>
    </cfRule>
    <cfRule type="cellIs" dxfId="6" priority="10" operator="greaterThan">
      <formula>0</formula>
    </cfRule>
  </conditionalFormatting>
  <conditionalFormatting sqref="N36">
    <cfRule type="cellIs" dxfId="5" priority="1" operator="lessThan">
      <formula>0</formula>
    </cfRule>
    <cfRule type="cellIs" dxfId="4" priority="2" operator="greaterThan">
      <formula>0</formula>
    </cfRule>
  </conditionalFormatting>
  <conditionalFormatting sqref="H29">
    <cfRule type="cellIs" dxfId="3" priority="5" operator="lessThan">
      <formula>0</formula>
    </cfRule>
    <cfRule type="cellIs" dxfId="2" priority="6" operator="greaterThan">
      <formula>0</formula>
    </cfRule>
  </conditionalFormatting>
  <conditionalFormatting sqref="I29:J29"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92D07F7-5792-48B1-A782-7A4DA50EBF53}">
          <x14:formula1>
            <xm:f>'lista Lebacs'!$B$2:$B$10</xm:f>
          </x14:formula1>
          <xm:sqref>K8:K16 D22:D28</xm:sqref>
        </x14:dataValidation>
        <x14:dataValidation type="list" allowBlank="1" showInputMessage="1" showErrorMessage="1" xr:uid="{F0024328-AD01-4582-BE35-573BA2B2A517}">
          <x14:formula1>
            <xm:f>'[20180509 aux.xlsx]lista Lebacs'!#REF!</xm:f>
          </x14:formula1>
          <xm:sqref>D21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5"/>
  <dimension ref="A1:D10"/>
  <sheetViews>
    <sheetView workbookViewId="0">
      <selection activeCell="B38" sqref="B38"/>
    </sheetView>
  </sheetViews>
  <sheetFormatPr baseColWidth="10" defaultRowHeight="14.25" x14ac:dyDescent="0.2"/>
  <cols>
    <col min="1" max="1" width="15" bestFit="1" customWidth="1"/>
    <col min="2" max="2" width="16.75" bestFit="1" customWidth="1"/>
    <col min="3" max="4" width="12" bestFit="1" customWidth="1"/>
  </cols>
  <sheetData>
    <row r="1" spans="1:4" x14ac:dyDescent="0.2">
      <c r="A1" t="s">
        <v>4</v>
      </c>
      <c r="B1" t="s">
        <v>5</v>
      </c>
      <c r="C1" t="s">
        <v>6</v>
      </c>
      <c r="D1" t="s">
        <v>7</v>
      </c>
    </row>
    <row r="2" spans="1:4" x14ac:dyDescent="0.2">
      <c r="A2" t="s">
        <v>8</v>
      </c>
      <c r="B2" t="str">
        <f>+ "LEBAC "&amp;C2</f>
        <v>LEBAC 20-12-2017</v>
      </c>
      <c r="C2" t="s">
        <v>18</v>
      </c>
      <c r="D2" t="str">
        <f ca="1">IF(TODAY()&gt;=C2,"Vencida","Vigente")</f>
        <v>Vigente</v>
      </c>
    </row>
    <row r="3" spans="1:4" x14ac:dyDescent="0.2">
      <c r="A3" t="s">
        <v>9</v>
      </c>
      <c r="B3" t="str">
        <f t="shared" ref="B3:B10" si="0">+ "LEBAC "&amp;C3</f>
        <v>LEBAC 17-01-2018</v>
      </c>
      <c r="C3" t="s">
        <v>19</v>
      </c>
      <c r="D3" t="str">
        <f t="shared" ref="D3:D10" ca="1" si="1">IF(TODAY()&gt;=C3,"Vencida","Vigente")</f>
        <v>Vigente</v>
      </c>
    </row>
    <row r="4" spans="1:4" x14ac:dyDescent="0.2">
      <c r="A4" t="s">
        <v>10</v>
      </c>
      <c r="B4" t="str">
        <f t="shared" si="0"/>
        <v>LEBAC 21-02-2018</v>
      </c>
      <c r="C4" t="s">
        <v>20</v>
      </c>
      <c r="D4" t="str">
        <f t="shared" ca="1" si="1"/>
        <v>Vigente</v>
      </c>
    </row>
    <row r="5" spans="1:4" x14ac:dyDescent="0.2">
      <c r="A5" t="s">
        <v>11</v>
      </c>
      <c r="B5" t="str">
        <f t="shared" si="0"/>
        <v>LEBAC 21-03-2018</v>
      </c>
      <c r="C5" t="s">
        <v>21</v>
      </c>
      <c r="D5" t="str">
        <f t="shared" ca="1" si="1"/>
        <v>Vigente</v>
      </c>
    </row>
    <row r="6" spans="1:4" x14ac:dyDescent="0.2">
      <c r="A6" t="s">
        <v>12</v>
      </c>
      <c r="B6" t="str">
        <f t="shared" si="0"/>
        <v>LEBAC 18-04-2018</v>
      </c>
      <c r="C6" t="s">
        <v>22</v>
      </c>
      <c r="D6" t="str">
        <f t="shared" ca="1" si="1"/>
        <v>Vigente</v>
      </c>
    </row>
    <row r="7" spans="1:4" x14ac:dyDescent="0.2">
      <c r="A7" t="s">
        <v>13</v>
      </c>
      <c r="B7" t="str">
        <f t="shared" si="0"/>
        <v>LEBAC 16-05-2018</v>
      </c>
      <c r="C7" t="s">
        <v>23</v>
      </c>
      <c r="D7" t="str">
        <f t="shared" ca="1" si="1"/>
        <v>Vigente</v>
      </c>
    </row>
    <row r="8" spans="1:4" x14ac:dyDescent="0.2">
      <c r="A8" t="s">
        <v>14</v>
      </c>
      <c r="B8" t="str">
        <f t="shared" si="0"/>
        <v>LEBAC 21-06-2018</v>
      </c>
      <c r="C8" t="s">
        <v>24</v>
      </c>
      <c r="D8" t="str">
        <f t="shared" ca="1" si="1"/>
        <v>Vigente</v>
      </c>
    </row>
    <row r="9" spans="1:4" x14ac:dyDescent="0.2">
      <c r="A9" t="s">
        <v>15</v>
      </c>
      <c r="B9" t="str">
        <f t="shared" si="0"/>
        <v>LEBAC 18-07-2018</v>
      </c>
      <c r="C9" t="s">
        <v>25</v>
      </c>
      <c r="D9" t="str">
        <f t="shared" ca="1" si="1"/>
        <v>Vigente</v>
      </c>
    </row>
    <row r="10" spans="1:4" x14ac:dyDescent="0.2">
      <c r="A10" t="s">
        <v>16</v>
      </c>
      <c r="B10" t="str">
        <f t="shared" si="0"/>
        <v>LEBAC 15-08-2018</v>
      </c>
      <c r="C10" t="s">
        <v>26</v>
      </c>
      <c r="D10" t="str">
        <f t="shared" ca="1" si="1"/>
        <v>Vigente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Calculo rentabilidad</vt:lpstr>
      <vt:lpstr>lista Lebacs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Suarez B.</dc:creator>
  <cp:lastModifiedBy>Diego Posch Ponce</cp:lastModifiedBy>
  <dcterms:created xsi:type="dcterms:W3CDTF">2017-12-06T21:03:22Z</dcterms:created>
  <dcterms:modified xsi:type="dcterms:W3CDTF">2018-05-22T12:58:51Z</dcterms:modified>
</cp:coreProperties>
</file>