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D10D27E7-BF9A-473E-B7A6-E3BA2ADD32D5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L17" i="4"/>
  <c r="O8" i="4"/>
  <c r="P8" i="4"/>
  <c r="P9" i="4"/>
  <c r="P10" i="4"/>
  <c r="P11" i="4"/>
  <c r="P12" i="4"/>
  <c r="P13" i="4"/>
  <c r="P14" i="4"/>
  <c r="P15" i="4"/>
  <c r="M27" i="4"/>
  <c r="M26" i="4"/>
  <c r="M28" i="4"/>
  <c r="M29" i="4"/>
  <c r="F9" i="4"/>
  <c r="F10" i="4"/>
  <c r="F11" i="4"/>
  <c r="F12" i="4"/>
  <c r="F13" i="4"/>
  <c r="F14" i="4"/>
  <c r="F15" i="4"/>
  <c r="F8" i="4"/>
  <c r="G22" i="4"/>
  <c r="G23" i="4"/>
  <c r="G24" i="4"/>
  <c r="G25" i="4"/>
  <c r="G26" i="4"/>
  <c r="G27" i="4"/>
  <c r="G2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8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G21" i="4"/>
  <c r="H21" i="4"/>
  <c r="I21" i="4"/>
  <c r="I29" i="4"/>
  <c r="E16" i="4"/>
  <c r="O21" i="4"/>
  <c r="H8" i="4"/>
  <c r="M25" i="4"/>
  <c r="O9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N27" i="4"/>
  <c r="G16" i="4"/>
  <c r="H16" i="4"/>
  <c r="H29" i="4"/>
  <c r="O20" i="4"/>
  <c r="M30" i="4"/>
  <c r="M31" i="4"/>
  <c r="O22" i="4"/>
  <c r="M33" i="4"/>
  <c r="M32" i="4"/>
  <c r="M34" i="4"/>
  <c r="M36" i="4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<sst xmlns="http://schemas.openxmlformats.org/spreadsheetml/2006/main" count="75" uniqueCount="66">
  <si>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</si>
  <si>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</si>
  <si>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</si>
  <si>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</si>
  <si>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</si>
  <si>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</si>
  <si>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</si>
  <si>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</si>
  <si>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</si>
  <si>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</si>
  <si>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</si>
  <si>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</si>
  <si>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</si>
  <si>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</si>
  <si>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</si>
  <si>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</si>
  <si>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</si>
  <si>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</si>
  <si>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</si>
  <si>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</si>
  <si>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</si>
  <si>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</si>
  <si>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</si>
  <si>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</si>
  <si>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</si>
  <si>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</si>
  <si>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</si>
  <si>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</si>
  <si>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</si>
  <si>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</si>
  <si>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</si>
  <si>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</si>
  <si>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</si>
  <si>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</si>
  <si>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</si>
  <si>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</si>
  <si>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</si>
  <si>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</si>
  <si>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</si>
  <si>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</si>
  <si>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</si>
  <si>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</si>
  <si>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</si>
  <si>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</si>
  <si>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</si>
  <si>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</si>
  <si>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</si>
  <si>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</si>
  <si>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</si>
  <si>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</si>
  <si>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</si>
  <si>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</si>
  <si>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</si>
  <si>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</si>
  <si>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</si>
  <si>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</si>
  <si>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</si>
  <si>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</si>
  <si>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</si>
  <si>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</si>
  <si>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</si>
  <si>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</si>
  <si>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>LEBAC 16-05-2018</t>
  </si>
  <si>
    <t>V</t>
  </si>
  <si>
    <t>PX valorizacion</t>
  </si>
  <si>
    <t>FX valorizacion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</si>
</sst>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511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 rentabilidad"/>
      <sheetName val="lista Lebacs"/>
      <sheetName val="Retornos"/>
      <sheetName val="YTD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D21" sqref="D21:F21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65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 t="s">
        <v>63</v>
      </c>
      <c r="D8" s="9">
        <v>2000000</v>
      </c>
      <c r="E8" s="10">
        <v>22.61</v>
      </c>
      <c r="F8" s="1">
        <f>IF(AND(D8&gt;0,E8&gt;0),IF(C8="C",$L$21,$L$20),"")</f>
        <v>22.630500000000001</v>
      </c>
      <c r="G8" s="31">
        <f>+IF(E8&gt;0,IF(C8="C",F8/E8-1,E8/F8-1),"")</f>
        <v>-9.0585713970092741E-4</v>
      </c>
      <c r="H8" s="2">
        <f t="shared" ref="H8:H15" si="0">+IFERROR(G8*D8,)</f>
        <v>-1811.7142794018548</v>
      </c>
      <c r="J8" s="1">
        <v>1</v>
      </c>
      <c r="K8" t="s">
        <v>62</v>
      </c>
      <c r="L8" s="20">
        <v>71238009.285600007</v>
      </c>
      <c r="M8" s="40">
        <v>99.208100000000002</v>
      </c>
      <c r="N8" s="40">
        <v>99.317800000000005</v>
      </c>
      <c r="O8" s="4">
        <f t="shared" ref="O8:O16" si="1">+IF(AND(L8&gt;0,M8&gt;0,N8&gt;0),N8/M8-1,"")</f>
        <v>1.1057564856096214E-3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 t="s">
        <v>63</v>
      </c>
      <c r="D9" s="9">
        <v>1850000</v>
      </c>
      <c r="E9" s="10">
        <v>22.67</v>
      </c>
      <c r="F9" s="1">
        <f t="shared" ref="F9:F15" si="3">IF(AND(D9&gt;0,E9&gt;0),IF(C9="C",$L$21,$L$20),"")</f>
        <v>22.630500000000001</v>
      </c>
      <c r="G9" s="31">
        <f t="shared" ref="G9:G15" si="4">+IF(E9&gt;0,IF(C9="C",F9/E9-1,E9/F9-1),"")</f>
        <v>1.7454320496674836E-3</v>
      </c>
      <c r="H9" s="2">
        <f t="shared" si="0"/>
        <v>3229.0492918848445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 t="s">
        <v>63</v>
      </c>
      <c r="D10" s="9">
        <v>2000000</v>
      </c>
      <c r="E10" s="10">
        <v>22.68</v>
      </c>
      <c r="F10" s="1">
        <f t="shared" si="3"/>
        <v>22.630500000000001</v>
      </c>
      <c r="G10" s="31">
        <f t="shared" si="4"/>
        <v>2.1873135812287003E-3</v>
      </c>
      <c r="H10" s="2">
        <f t="shared" si="0"/>
        <v>4374.627162457401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5850000</v>
      </c>
      <c r="E16" s="13">
        <f>+IFERROR(SUMPRODUCT($D$8:$D$15,$E$8:$E$15)/SUM(D8:D15),0)</f>
        <v>22.652905982905985</v>
      </c>
      <c r="F16" s="11">
        <f>+$L$20</f>
        <v>22.630500000000001</v>
      </c>
      <c r="G16" s="23">
        <f>+SUMPRODUCT($D$8:$D$15,$G$8:$G$15)/SUMPRODUCT($D$8:$D$15)</f>
        <v>9.9007900426331457E-4</v>
      </c>
      <c r="H16" s="12">
        <f>+SUM(H8:H15)</f>
        <v>5791.9621749403905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71238009.285600007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31</v>
      </c>
      <c r="F20" s="15" t="s">
        <v>34</v>
      </c>
      <c r="G20" s="15" t="s">
        <v>64</v>
      </c>
      <c r="H20" s="15" t="s">
        <v>36</v>
      </c>
      <c r="I20" s="15" t="s">
        <v>41</v>
      </c>
      <c r="J20" s="44"/>
      <c r="K20" s="7" t="s">
        <v>1</v>
      </c>
      <c r="L20" s="34">
        <v>22.630500000000001</v>
      </c>
      <c r="M20" s="33"/>
      <c r="N20" s="46" t="s">
        <v>52</v>
      </c>
      <c r="O20" s="3">
        <f>+L17*L21*M27*5%</f>
        <v>88887.383145200525</v>
      </c>
      <c r="P20" s="33"/>
    </row>
    <row r="21" spans="2:17" ht="15" x14ac:dyDescent="0.25">
      <c r="B21" s="1">
        <v>1</v>
      </c>
      <c r="C21" s="61" t="s">
        <v>61</v>
      </c>
      <c r="D21" s="7" t="s">
        <v>62</v>
      </c>
      <c r="E21" s="20">
        <f>+SUM(D8:D10)</f>
        <v>5850000</v>
      </c>
      <c r="F21" s="40">
        <v>99.29</v>
      </c>
      <c r="G21" s="41">
        <f>+IF(D21="","",IF(C21="C",VLOOKUP(D21,$K$8:$N$16,4,FALSE),VLOOKUP(D21,$K$8:$N$16,3,FALSE)))</f>
        <v>99.317800000000005</v>
      </c>
      <c r="H21" s="31">
        <f>+IF(AND(G21&gt;0,F21&gt;0),IF(C21="V",F21/G21-1,G21/F21-1),"")</f>
        <v>2.799879141908157E-4</v>
      </c>
      <c r="I21" s="3">
        <f t="shared" ref="I21:I28" si="5">+IFERROR(H21*E21,)</f>
        <v>1637.9292980162718</v>
      </c>
      <c r="J21" s="3"/>
      <c r="K21" s="7" t="s">
        <v>0</v>
      </c>
      <c r="L21" s="34">
        <v>22.568300000000001</v>
      </c>
      <c r="N21" s="47" t="s">
        <v>53</v>
      </c>
      <c r="O21" s="48">
        <f>I29*E16*5%</f>
        <v>1855.1929197304901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 t="shared" ref="G22:G28" si="6">+IF(D22="","",IF(C22="C",VLOOKUP(D22,$K$8:$N$16,4,FALSE),VLOOKUP(D22,$K$8:$N$16,3,FALSE)))</f>
        <v/>
      </c>
      <c r="H22" s="5" t="str">
        <f t="shared" ref="H22:H28" si="7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90742.57606493101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si="6"/>
        <v/>
      </c>
      <c r="H23" s="5" t="str">
        <f t="shared" si="7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6"/>
        <v/>
      </c>
      <c r="H24" s="5" t="str">
        <f t="shared" si="7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6"/>
        <v/>
      </c>
      <c r="H25" s="5" t="str">
        <f t="shared" si="7"/>
        <v/>
      </c>
      <c r="I25" s="3">
        <f t="shared" si="5"/>
        <v>0</v>
      </c>
      <c r="J25" s="3"/>
      <c r="L25" s="16" t="s">
        <v>27</v>
      </c>
      <c r="M25" s="68">
        <f>+SUM(L8:L16)+$D$34</f>
        <v>71238009.285600007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6"/>
        <v/>
      </c>
      <c r="H26" s="5" t="str">
        <f t="shared" si="7"/>
        <v/>
      </c>
      <c r="I26" s="3">
        <f t="shared" si="5"/>
        <v>0</v>
      </c>
      <c r="J26" s="3"/>
      <c r="L26" s="16" t="s">
        <v>46</v>
      </c>
      <c r="M26" s="54">
        <f>+L21/L20-1</f>
        <v>-2.7485031263119186E-3</v>
      </c>
      <c r="N26" s="18">
        <f>+M26*M25</f>
        <v>-195797.89123370912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6"/>
        <v/>
      </c>
      <c r="H27" s="5" t="str">
        <f t="shared" si="7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1.1057564856096214E-3</v>
      </c>
      <c r="N27" s="53">
        <f>+M27*L17</f>
        <v>78771.890789470635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6"/>
        <v/>
      </c>
      <c r="H28" s="5" t="str">
        <f t="shared" si="7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-1.6457858158599459E-3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5850000</v>
      </c>
      <c r="F29" s="13"/>
      <c r="G29" s="11"/>
      <c r="H29" s="23">
        <f>+IFERROR(SUMPRODUCT($E$21:$E$28,$H$21:$H$28)/SUMPRODUCT($E$21:$E$28),0)</f>
        <v>2.799879141908157E-4</v>
      </c>
      <c r="I29" s="12">
        <f>+SUM(I21:I28)</f>
        <v>1637.9292980162718</v>
      </c>
      <c r="J29" s="18"/>
      <c r="L29" s="16" t="s">
        <v>44</v>
      </c>
      <c r="M29" s="68">
        <f>+L17*(1+M28)</f>
        <v>71120766.780367672</v>
      </c>
      <c r="N29" s="68"/>
      <c r="O29" s="33"/>
    </row>
    <row r="30" spans="2:17" x14ac:dyDescent="0.2">
      <c r="L30" s="16" t="s">
        <v>45</v>
      </c>
      <c r="M30" s="60">
        <f>+H16+I29</f>
        <v>7429.8914729566623</v>
      </c>
      <c r="N30" s="22"/>
      <c r="P30" s="3"/>
    </row>
    <row r="31" spans="2:17" x14ac:dyDescent="0.2">
      <c r="L31" s="16" t="s">
        <v>48</v>
      </c>
      <c r="M31" s="21">
        <f>+M30/M25</f>
        <v>1.0429673074060106E-4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71128413.176628709</v>
      </c>
      <c r="N32" s="68"/>
      <c r="P32" s="28"/>
    </row>
    <row r="33" spans="4:17" ht="15" x14ac:dyDescent="0.25">
      <c r="E33" s="3"/>
      <c r="F33" s="43"/>
      <c r="G33" s="42"/>
      <c r="L33" s="16" t="s">
        <v>50</v>
      </c>
      <c r="M33" s="67">
        <f>+O22/L20</f>
        <v>4009.7468489397497</v>
      </c>
      <c r="N33" s="67"/>
      <c r="P33" s="29"/>
    </row>
    <row r="34" spans="4:17" ht="15" x14ac:dyDescent="0.25">
      <c r="D34" s="3"/>
      <c r="E34" s="33"/>
      <c r="L34" s="32" t="s">
        <v>51</v>
      </c>
      <c r="M34" s="68">
        <f>+M32-M33</f>
        <v>71124403.429779768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-1.5384499099618809E-3</v>
      </c>
      <c r="N35" s="58">
        <f>+M32-M25</f>
        <v>-109596.10897129774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-1.59473653123543E-3</v>
      </c>
      <c r="N36" s="26">
        <f>+M32-M25</f>
        <v>-109596.10897129774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K8:K16 D22:D28</xm:sqref>
        </x14:dataValidation>
        <x14:dataValidation type="list" allowBlank="1" showInputMessage="1" showErrorMessage="1" xr:uid="{BEE69488-5C6D-4FE0-8650-A0B74B69241F}">
          <x14:formula1>
            <xm:f>'[20180510 aux.xlsx]lista Lebacs'!#REF!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2018-05-17T21:47:27Z</dcterms:modified>
</cp:coreProperties>
</file>