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96CF3A96-99F9-4BE4-BA1C-ACDA2608BD2B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L17" i="4"/>
  <c r="O8" i="4"/>
  <c r="P8" i="4"/>
  <c r="P9" i="4"/>
  <c r="P10" i="4"/>
  <c r="P11" i="4"/>
  <c r="P12" i="4"/>
  <c r="P13" i="4"/>
  <c r="P14" i="4"/>
  <c r="P15" i="4"/>
  <c r="M27" i="4"/>
  <c r="M26" i="4"/>
  <c r="M28" i="4"/>
  <c r="M29" i="4"/>
  <c r="F9" i="4"/>
  <c r="F10" i="4"/>
  <c r="F11" i="4"/>
  <c r="F12" i="4"/>
  <c r="F13" i="4"/>
  <c r="F14" i="4"/>
  <c r="F15" i="4"/>
  <c r="F8" i="4"/>
  <c r="G22" i="4"/>
  <c r="G23" i="4"/>
  <c r="G24" i="4"/>
  <c r="G25" i="4"/>
  <c r="G26" i="4"/>
  <c r="G27" i="4"/>
  <c r="G2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8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G21" i="4"/>
  <c r="H21" i="4"/>
  <c r="I21" i="4"/>
  <c r="I29" i="4"/>
  <c r="E16" i="4"/>
  <c r="O21" i="4"/>
  <c r="H8" i="4"/>
  <c r="M25" i="4"/>
  <c r="O9" i="4"/>
  <c r="O10" i="4"/>
  <c r="O11" i="4"/>
  <c r="O12" i="4"/>
  <c r="O13" i="4"/>
  <c r="O14" i="4"/>
  <c r="O15" i="4"/>
  <c r="O16" i="4"/>
  <c r="F16" i="4"/>
  <c r="D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N27" i="4"/>
  <c r="G16" i="4"/>
  <c r="H16" i="4"/>
  <c r="H29" i="4"/>
  <c r="O20" i="4"/>
  <c r="M30" i="4"/>
  <c r="M31" i="4"/>
  <c r="O22" i="4"/>
  <c r="M33" i="4"/>
  <c r="M32" i="4"/>
  <c r="M34" i="4"/>
  <c r="M36" i="4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<sst xmlns="http://schemas.openxmlformats.org/spreadsheetml/2006/main" count="75" uniqueCount="66">
  <si>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</si>
  <si>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</si>
  <si>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</si>
  <si>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</si>
  <si>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</si>
  <si>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</si>
  <si>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</si>
  <si>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</si>
  <si>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</si>
  <si>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</si>
  <si>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</si>
  <si>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</si>
  <si>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</si>
  <si>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</si>
  <si>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</si>
  <si>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</si>
  <si>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</si>
  <si>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</si>
  <si>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</si>
  <si>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</si>
  <si>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</si>
  <si>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</si>
  <si>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</si>
  <si>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</si>
  <si>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</si>
  <si>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</si>
  <si>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</si>
  <si>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</si>
  <si>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</si>
  <si>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</si>
  <si>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</si>
  <si>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</si>
  <si>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</si>
  <si>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</si>
  <si>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</si>
  <si>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</si>
  <si>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</si>
  <si>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</si>
  <si>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</si>
  <si>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</si>
  <si>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</si>
  <si>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</si>
  <si>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</si>
  <si>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</si>
  <si>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</si>
  <si>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</si>
  <si>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</si>
  <si>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</si>
  <si>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</si>
  <si>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</si>
  <si>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</si>
  <si>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</si>
  <si>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</si>
  <si>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</si>
  <si>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</si>
  <si>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</si>
  <si>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</si>
  <si>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</si>
  <si>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</si>
  <si>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</si>
  <si>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</si>
  <si>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</si>
  <si>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>LEBAC 16-05-2018</t>
  </si>
  <si>
    <t>V</t>
  </si>
  <si>
    <t>PX valorizacion</t>
  </si>
  <si>
    <t>FX valorizacion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</si>
</sst>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0511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 rentabilidad"/>
      <sheetName val="lista Lebacs"/>
      <sheetName val="Retornos"/>
      <sheetName val="YTD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G33" sqref="G33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69" t="s">
        <v>30</v>
      </c>
      <c r="C6" s="69"/>
      <c r="D6" s="69"/>
      <c r="E6" s="69"/>
      <c r="F6" s="69"/>
      <c r="G6" s="69"/>
      <c r="H6" s="69"/>
      <c r="J6" s="66" t="s">
        <v>49</v>
      </c>
      <c r="K6" s="66"/>
      <c r="L6" s="66"/>
      <c r="M6" s="66"/>
      <c r="N6" s="66"/>
      <c r="O6" s="66"/>
      <c r="P6" s="66"/>
    </row>
    <row r="7" spans="2:16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65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1" t="s">
        <v>63</v>
      </c>
      <c r="D8" s="9">
        <v>1500000</v>
      </c>
      <c r="E8" s="10">
        <v>23.11</v>
      </c>
      <c r="F8" s="1">
        <f>IF(AND(D8&gt;0,E8&gt;0),IF(C8="C",$L$21,$L$20),"")</f>
        <v>23.2333</v>
      </c>
      <c r="G8" s="31">
        <f>+IF(E8&gt;0,IF(C8="C",F8/E8-1,E8/F8-1),"")</f>
        <v>-5.3070377432392624E-3</v>
      </c>
      <c r="H8" s="2">
        <f t="shared" ref="H8:H15" si="0">+IFERROR(G8*D8,)</f>
        <v>-7960.5566148588932</v>
      </c>
      <c r="J8" s="1">
        <v>1</v>
      </c>
      <c r="K8" t="s">
        <v>62</v>
      </c>
      <c r="L8" s="20">
        <v>76978266.080699995</v>
      </c>
      <c r="M8" s="40">
        <v>99.317800000000005</v>
      </c>
      <c r="N8" s="40">
        <v>99.659099999999995</v>
      </c>
      <c r="O8" s="4">
        <f t="shared" ref="O8:O16" si="1">+IF(AND(L8&gt;0,M8&gt;0,N8&gt;0),N8/M8-1,"")</f>
        <v>3.4364434169906755E-3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2" t="s">
        <v>63</v>
      </c>
      <c r="D9" s="9">
        <v>1500000</v>
      </c>
      <c r="E9" s="10">
        <v>23.35</v>
      </c>
      <c r="F9" s="1">
        <f t="shared" ref="F9:F15" si="3">IF(AND(D9&gt;0,E9&gt;0),IF(C9="C",$L$21,$L$20),"")</f>
        <v>23.2333</v>
      </c>
      <c r="G9" s="31">
        <f t="shared" ref="G9:G15" si="4">+IF(E9&gt;0,IF(C9="C",F9/E9-1,E9/F9-1),"")</f>
        <v>5.0229627302191826E-3</v>
      </c>
      <c r="H9" s="2">
        <f t="shared" si="0"/>
        <v>7534.444095328774</v>
      </c>
      <c r="J9" s="1">
        <v>2</v>
      </c>
      <c r="L9" s="20"/>
      <c r="M9" s="7"/>
      <c r="N9" s="40"/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2" t="s">
        <v>63</v>
      </c>
      <c r="D10" s="9">
        <v>1200000</v>
      </c>
      <c r="E10" s="10">
        <v>23.4</v>
      </c>
      <c r="F10" s="1">
        <f t="shared" si="3"/>
        <v>23.2333</v>
      </c>
      <c r="G10" s="31">
        <f t="shared" si="4"/>
        <v>7.1750461621895578E-3</v>
      </c>
      <c r="H10" s="2">
        <f t="shared" si="0"/>
        <v>8610.0553946274686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4200000</v>
      </c>
      <c r="E16" s="13">
        <f>+IFERROR(SUMPRODUCT($D$8:$D$15,$E$8:$E$15)/SUM(D8:D15),0)</f>
        <v>23.278571428571428</v>
      </c>
      <c r="F16" s="11">
        <f>+$L$20</f>
        <v>23.2333</v>
      </c>
      <c r="G16" s="23">
        <f>+SUMPRODUCT($D$8:$D$15,$G$8:$G$15)/SUMPRODUCT($D$8:$D$15)</f>
        <v>1.9485578274041307E-3</v>
      </c>
      <c r="H16" s="12">
        <f>+SUM(H8:H15)</f>
        <v>8183.9428750973493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76978266.080699995</v>
      </c>
    </row>
    <row r="19" spans="2:17" ht="15" x14ac:dyDescent="0.25">
      <c r="B19" s="69" t="s">
        <v>33</v>
      </c>
      <c r="C19" s="69"/>
      <c r="D19" s="69"/>
      <c r="E19" s="69"/>
      <c r="F19" s="69"/>
      <c r="G19" s="69"/>
      <c r="H19" s="69"/>
      <c r="I19" s="69"/>
      <c r="J19" s="45"/>
      <c r="K19" s="69" t="s">
        <v>42</v>
      </c>
      <c r="L19" s="69"/>
      <c r="N19" s="66" t="s">
        <v>57</v>
      </c>
      <c r="O19" s="66"/>
      <c r="P19" s="33"/>
    </row>
    <row r="20" spans="2:17" ht="15" x14ac:dyDescent="0.25">
      <c r="B20" s="15" t="s">
        <v>2</v>
      </c>
      <c r="C20" s="65" t="s">
        <v>60</v>
      </c>
      <c r="D20" s="15" t="s">
        <v>3</v>
      </c>
      <c r="E20" s="15" t="s">
        <v>31</v>
      </c>
      <c r="F20" s="15" t="s">
        <v>34</v>
      </c>
      <c r="G20" s="15" t="s">
        <v>64</v>
      </c>
      <c r="H20" s="15" t="s">
        <v>36</v>
      </c>
      <c r="I20" s="15" t="s">
        <v>41</v>
      </c>
      <c r="J20" s="44"/>
      <c r="K20" s="7" t="s">
        <v>1</v>
      </c>
      <c r="L20" s="34">
        <v>23.2333</v>
      </c>
      <c r="M20" s="33"/>
      <c r="N20" s="46" t="s">
        <v>52</v>
      </c>
      <c r="O20" s="3">
        <f>+L17*L21*M27*5%</f>
        <v>299323.95543852699</v>
      </c>
      <c r="P20" s="33"/>
    </row>
    <row r="21" spans="2:17" ht="15" x14ac:dyDescent="0.25">
      <c r="B21" s="1">
        <v>1</v>
      </c>
      <c r="C21" s="61" t="s">
        <v>61</v>
      </c>
      <c r="D21" s="7" t="s">
        <v>62</v>
      </c>
      <c r="E21" s="20">
        <f>+SUM(D8:D10)</f>
        <v>4200000</v>
      </c>
      <c r="F21" s="40">
        <v>99.144400000000005</v>
      </c>
      <c r="G21" s="41">
        <f>+IF(D21="","",IF(C21="C",VLOOKUP(D21,$K$8:$N$16,4,FALSE),VLOOKUP(D21,$K$8:$N$16,3,FALSE)))</f>
        <v>99.659099999999995</v>
      </c>
      <c r="H21" s="31">
        <f>+IF(AND(G21&gt;0,F21&gt;0),IF(C21="V",F21/G21-1,G21/F21-1),"")</f>
        <v>5.1914177704437403E-3</v>
      </c>
      <c r="I21" s="3">
        <f t="shared" ref="I21:I28" si="5">+IFERROR(H21*E21,)</f>
        <v>21803.954635863709</v>
      </c>
      <c r="J21" s="3"/>
      <c r="K21" s="7" t="s">
        <v>0</v>
      </c>
      <c r="L21" s="34">
        <v>22.630500000000001</v>
      </c>
      <c r="N21" s="47" t="s">
        <v>53</v>
      </c>
      <c r="O21" s="48">
        <f>I29*E16*5%</f>
        <v>25378.245770814225</v>
      </c>
    </row>
    <row r="22" spans="2:17" ht="15" x14ac:dyDescent="0.25">
      <c r="B22" s="1">
        <v>2</v>
      </c>
      <c r="C22" s="62"/>
      <c r="D22" s="7"/>
      <c r="E22" s="20"/>
      <c r="F22" s="7"/>
      <c r="G22" s="41" t="str">
        <f t="shared" ref="G22:G28" si="6">+IF(D22="","",IF(C22="C",VLOOKUP(D22,$K$8:$N$16,4,FALSE),VLOOKUP(D22,$K$8:$N$16,3,FALSE)))</f>
        <v/>
      </c>
      <c r="H22" s="5" t="str">
        <f t="shared" ref="H22:H28" si="7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324702.20120934123</v>
      </c>
    </row>
    <row r="23" spans="2:17" x14ac:dyDescent="0.2">
      <c r="B23" s="1">
        <v>3</v>
      </c>
      <c r="C23" s="62"/>
      <c r="D23" s="7"/>
      <c r="E23" s="20"/>
      <c r="F23" s="7"/>
      <c r="G23" s="41" t="str">
        <f t="shared" si="6"/>
        <v/>
      </c>
      <c r="H23" s="5" t="str">
        <f t="shared" si="7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/>
      <c r="D24" s="7"/>
      <c r="E24" s="7"/>
      <c r="F24" s="7"/>
      <c r="G24" s="41" t="str">
        <f t="shared" si="6"/>
        <v/>
      </c>
      <c r="H24" s="5" t="str">
        <f t="shared" si="7"/>
        <v/>
      </c>
      <c r="I24" s="3">
        <f t="shared" si="5"/>
        <v>0</v>
      </c>
      <c r="J24" s="3"/>
      <c r="L24" s="70" t="s">
        <v>55</v>
      </c>
      <c r="M24" s="70"/>
      <c r="N24" s="70"/>
    </row>
    <row r="25" spans="2:17" ht="15" x14ac:dyDescent="0.25">
      <c r="B25" s="1">
        <v>5</v>
      </c>
      <c r="C25" s="62"/>
      <c r="D25" s="7"/>
      <c r="E25" s="7"/>
      <c r="F25" s="7"/>
      <c r="G25" s="41" t="str">
        <f t="shared" si="6"/>
        <v/>
      </c>
      <c r="H25" s="5" t="str">
        <f t="shared" si="7"/>
        <v/>
      </c>
      <c r="I25" s="3">
        <f t="shared" si="5"/>
        <v>0</v>
      </c>
      <c r="J25" s="3"/>
      <c r="L25" s="16" t="s">
        <v>27</v>
      </c>
      <c r="M25" s="68">
        <f>+SUM(L8:L16)+$D$34</f>
        <v>76978266.080699995</v>
      </c>
      <c r="N25" s="68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6"/>
        <v/>
      </c>
      <c r="H26" s="5" t="str">
        <f t="shared" si="7"/>
        <v/>
      </c>
      <c r="I26" s="3">
        <f t="shared" si="5"/>
        <v>0</v>
      </c>
      <c r="J26" s="3"/>
      <c r="L26" s="16" t="s">
        <v>46</v>
      </c>
      <c r="M26" s="54">
        <f>+L21/L20-1</f>
        <v>-2.5945517855836209E-2</v>
      </c>
      <c r="N26" s="18">
        <f>+M26*M25</f>
        <v>-1997240.9771081125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6"/>
        <v/>
      </c>
      <c r="H27" s="5" t="str">
        <f t="shared" si="7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3.4364434169906755E-3</v>
      </c>
      <c r="N27" s="53">
        <f>+M27*L17</f>
        <v>264531.45572437812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6"/>
        <v/>
      </c>
      <c r="H28" s="5" t="str">
        <f t="shared" si="7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-2.2598234742881584E-2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4200000</v>
      </c>
      <c r="F29" s="13"/>
      <c r="G29" s="11"/>
      <c r="H29" s="23">
        <f>+IFERROR(SUMPRODUCT($E$21:$E$28,$H$21:$H$28)/SUMPRODUCT($E$21:$E$28),0)</f>
        <v>5.1914177704437403E-3</v>
      </c>
      <c r="I29" s="12">
        <f>+SUM(I21:I28)</f>
        <v>21803.954635863709</v>
      </c>
      <c r="J29" s="18"/>
      <c r="L29" s="16" t="s">
        <v>44</v>
      </c>
      <c r="M29" s="68">
        <f>+L17*(1+M28)</f>
        <v>75238693.153708339</v>
      </c>
      <c r="N29" s="68"/>
      <c r="O29" s="33"/>
    </row>
    <row r="30" spans="2:17" x14ac:dyDescent="0.2">
      <c r="L30" s="16" t="s">
        <v>45</v>
      </c>
      <c r="M30" s="60">
        <f>+H16+I29</f>
        <v>29987.897510961058</v>
      </c>
      <c r="N30" s="22"/>
      <c r="P30" s="3"/>
    </row>
    <row r="31" spans="2:17" x14ac:dyDescent="0.2">
      <c r="L31" s="16" t="s">
        <v>48</v>
      </c>
      <c r="M31" s="21">
        <f>+M30/M25</f>
        <v>3.895631720195323E-4</v>
      </c>
      <c r="N31" s="16"/>
      <c r="P31" s="33"/>
    </row>
    <row r="32" spans="2:17" ht="15" x14ac:dyDescent="0.25">
      <c r="E32" s="35"/>
      <c r="L32" s="16" t="s">
        <v>56</v>
      </c>
      <c r="M32" s="68">
        <f>+M25+N26+N27+M30</f>
        <v>75275544.456827223</v>
      </c>
      <c r="N32" s="68"/>
      <c r="P32" s="28"/>
    </row>
    <row r="33" spans="4:17" ht="15" x14ac:dyDescent="0.25">
      <c r="E33" s="3"/>
      <c r="F33" s="43"/>
      <c r="G33" s="42"/>
      <c r="L33" s="16" t="s">
        <v>50</v>
      </c>
      <c r="M33" s="67">
        <f>+O22/L20</f>
        <v>13975.724550939438</v>
      </c>
      <c r="N33" s="67"/>
      <c r="P33" s="29"/>
    </row>
    <row r="34" spans="4:17" ht="15" x14ac:dyDescent="0.25">
      <c r="D34" s="3"/>
      <c r="E34" s="33"/>
      <c r="L34" s="32" t="s">
        <v>51</v>
      </c>
      <c r="M34" s="68">
        <f>+M32-M33</f>
        <v>75261568.732276291</v>
      </c>
      <c r="N34" s="68"/>
    </row>
    <row r="35" spans="4:17" ht="15" x14ac:dyDescent="0.25">
      <c r="E35" s="33"/>
      <c r="F35" s="59"/>
      <c r="G35" s="33"/>
      <c r="L35" s="56" t="s">
        <v>59</v>
      </c>
      <c r="M35" s="57">
        <f>+M32/M25-1</f>
        <v>-2.2119511266825986E-2</v>
      </c>
      <c r="N35" s="58">
        <f>+M32-M25</f>
        <v>-1702721.6238727719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-2.2301065428312006E-2</v>
      </c>
      <c r="N36" s="26">
        <f>+M32-M25</f>
        <v>-1702721.6238727719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K8:K16 D22:D28</xm:sqref>
        </x14:dataValidation>
        <x14:dataValidation type="list" allowBlank="1" showInputMessage="1" showErrorMessage="1" xr:uid="{11BBA12E-35AB-42DA-A320-319A415C3AB0}">
          <x14:formula1>
            <xm:f>'[20180511 aux.xlsx]lista Lebacs'!#REF!</xm:f>
          </x14:formula1>
          <xm:sqref>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2018-05-17T21:48:21Z</dcterms:modified>
</cp:coreProperties>
</file>