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Retornos\"/>
    </mc:Choice>
  </mc:AlternateContent>
  <xr:revisionPtr revIDLastSave="0" documentId="13_ncr:1_{31B7C464-E3BD-4575-A6F9-A2772EF6EA0D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L17" i="4"/>
  <c r="O8" i="4"/>
  <c r="P8" i="4"/>
  <c r="P9" i="4"/>
  <c r="P10" i="4"/>
  <c r="P11" i="4"/>
  <c r="P12" i="4"/>
  <c r="P13" i="4"/>
  <c r="P14" i="4"/>
  <c r="P15" i="4"/>
  <c r="M27" i="4"/>
  <c r="M26" i="4"/>
  <c r="M28" i="4"/>
  <c r="M29" i="4"/>
  <c r="F9" i="4"/>
  <c r="F10" i="4"/>
  <c r="F11" i="4"/>
  <c r="F12" i="4"/>
  <c r="F13" i="4"/>
  <c r="F14" i="4"/>
  <c r="F15" i="4"/>
  <c r="F8" i="4"/>
  <c r="G22" i="4"/>
  <c r="G23" i="4"/>
  <c r="G24" i="4"/>
  <c r="G25" i="4"/>
  <c r="G26" i="4"/>
  <c r="G27" i="4"/>
  <c r="G2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8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G21" i="4"/>
  <c r="H21" i="4"/>
  <c r="I21" i="4"/>
  <c r="I29" i="4"/>
  <c r="E16" i="4"/>
  <c r="O21" i="4"/>
  <c r="H8" i="4"/>
  <c r="M25" i="4"/>
  <c r="O9" i="4"/>
  <c r="O10" i="4"/>
  <c r="O11" i="4"/>
  <c r="O12" i="4"/>
  <c r="O13" i="4"/>
  <c r="O14" i="4"/>
  <c r="O15" i="4"/>
  <c r="O16" i="4"/>
  <c r="F16" i="4"/>
  <c r="D16" i="4"/>
  <c r="N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N27" i="4"/>
  <c r="G16" i="4"/>
  <c r="H16" i="4"/>
  <c r="H29" i="4"/>
  <c r="O20" i="4"/>
  <c r="M30" i="4"/>
  <c r="M31" i="4"/>
  <c r="O22" i="4"/>
  <c r="M33" i="4"/>
  <c r="M32" i="4"/>
  <c r="M34" i="4"/>
  <c r="M36" i="4"/>
  <c r="N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C7" authorId="0" shapeId="0" xr:uid="{52A57300-B093-4367-9A58-F35F6A351967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Diego Posch Ponce:
Tipo de Operación es respecto a los dolares. Si Vendo dólar compro ARS lenar con "V". Si compro USD vendo ARS "C"</t>
        </r>
      </text>
    </comment>
    <comment ref="C20" authorId="0" shapeId="0" xr:uid="{9FA84BC0-EBA2-4C4F-BE75-B15A3FF69002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Si vendi USD para comprar lebac("C").Si compre ARS vendiendo lebacs ("V")</t>
        </r>
      </text>
    </commen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
Para el caso de las ventas ve la valorización respecto al precio del día anterior. Y para las compras ve el precio con que cerramos ese día el instrumento.</t>
        </r>
      </text>
    </comment>
  </commentList>
</comments>
</file>

<file path=xl/sharedStrings.xml><?xml version="1.0" encoding="utf-8"?>
<sst xmlns="http://schemas.openxmlformats.org/spreadsheetml/2006/main" count="73" uniqueCount="66">
  <si>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</si>
  <si>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</si>
  <si>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</si>
  <si>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</si>
  <si>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</si>
  <si>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</si>
  <si>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</si>
  <si>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</si>
  <si>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</si>
  <si>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</si>
  <si>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</si>
  <si>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</si>
  <si>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</si>
  <si>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</si>
  <si>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</si>
  <si>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</si>
  <si>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</si>
  <si>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</si>
  <si>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</si>
  <si>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</si>
  <si>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</si>
  <si>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</si>
  <si>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</si>
  <si>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</si>
  <si>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</si>
  <si>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</si>
  <si>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</si>
  <si>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</si>
  <si>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</si>
  <si>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</si>
  <si>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</si>
  <si>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</si>
  <si>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</si>
  <si>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</si>
  <si>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</si>
  <si>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</si>
  <si>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</si>
  <si>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</si>
  <si>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</si>
  <si>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</si>
  <si>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</si>
  <si>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</si>
  <si>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</si>
  <si>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</si>
  <si>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</si>
  <si>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</si>
  <si>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</si>
  <si>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</si>
  <si>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</si>
  <si>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</si>
  <si>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</si>
  <si>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</si>
  <si>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</si>
  <si>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</si>
  <si>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</si>
  <si>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</si>
  <si>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</si>
  <si>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</si>
  <si>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</si>
  <si>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</si>
  <si>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</si>
  <si>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</si>
  <si>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>LEBAC 16-05-2018</t>
  </si>
  <si>
    <t>V</t>
  </si>
  <si>
    <t>PX valorizacion</t>
  </si>
  <si>
    <t>FX valorizacion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</si>
</sst>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#,##0.0000"/>
    <numFmt numFmtId="171" formatCode="_-&quot;$&quot;\ * #,##0.000_-;\-&quot;$&quot;\ * #,##0.000_-;_-&quot;$&quot;\ * &quot;-&quot;??_-;_-@_-"/>
    <numFmt numFmtId="172" formatCode="0.00000%"/>
    <numFmt numFmtId="173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Arial"/>
      <family val="2"/>
      <scheme val="minor"/>
    </font>
    <font>
      <b/>
      <sz val="11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0" borderId="0" xfId="0" applyFill="1" applyBorder="1"/>
    <xf numFmtId="165" fontId="0" fillId="0" borderId="0" xfId="0" applyNumberFormat="1"/>
    <xf numFmtId="170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0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165" fontId="0" fillId="0" borderId="4" xfId="1" applyNumberFormat="1" applyFont="1" applyBorder="1"/>
    <xf numFmtId="171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5" fillId="0" borderId="0" xfId="0" applyFont="1" applyFill="1" applyBorder="1"/>
    <xf numFmtId="167" fontId="5" fillId="0" borderId="0" xfId="2" applyNumberFormat="1" applyFont="1"/>
    <xf numFmtId="165" fontId="5" fillId="0" borderId="0" xfId="0" applyNumberFormat="1" applyFont="1"/>
    <xf numFmtId="169" fontId="0" fillId="0" borderId="0" xfId="2" applyNumberFormat="1" applyFont="1"/>
    <xf numFmtId="164" fontId="0" fillId="0" borderId="0" xfId="1" applyNumberFormat="1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0511%20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rentabilidad"/>
      <sheetName val="lista Lebacs"/>
      <sheetName val="Retornos"/>
      <sheetName val="YT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G32" sqref="G32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3.25" bestFit="1" customWidth="1"/>
    <col min="7" max="7" width="13.375" bestFit="1" customWidth="1"/>
    <col min="8" max="8" width="10.75" bestFit="1" customWidth="1"/>
    <col min="9" max="9" width="12.62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69" t="s">
        <v>30</v>
      </c>
      <c r="C6" s="69"/>
      <c r="D6" s="69"/>
      <c r="E6" s="69"/>
      <c r="F6" s="69"/>
      <c r="G6" s="69"/>
      <c r="H6" s="69"/>
      <c r="J6" s="66" t="s">
        <v>49</v>
      </c>
      <c r="K6" s="66"/>
      <c r="L6" s="66"/>
      <c r="M6" s="66"/>
      <c r="N6" s="66"/>
      <c r="O6" s="66"/>
      <c r="P6" s="66"/>
    </row>
    <row r="7" spans="2:16" ht="15" x14ac:dyDescent="0.25">
      <c r="B7" s="8" t="s">
        <v>2</v>
      </c>
      <c r="C7" s="64" t="s">
        <v>60</v>
      </c>
      <c r="D7" s="8" t="s">
        <v>31</v>
      </c>
      <c r="E7" s="8" t="s">
        <v>28</v>
      </c>
      <c r="F7" s="8" t="s">
        <v>65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61" t="s">
        <v>63</v>
      </c>
      <c r="D8" s="9">
        <v>350000</v>
      </c>
      <c r="E8" s="10">
        <v>24.97</v>
      </c>
      <c r="F8" s="1">
        <f>IF(AND(D8&gt;0,E8&gt;0),IF(C8="C",$L$21,$L$20),"")</f>
        <v>24.7683</v>
      </c>
      <c r="G8" s="31">
        <f>+IF(E8&gt;0,IF(C8="C",F8/E8-1,E8/F8-1),"")</f>
        <v>8.1434737143848412E-3</v>
      </c>
      <c r="H8" s="2">
        <f t="shared" ref="H8:H15" si="0">+IFERROR(G8*D8,)</f>
        <v>2850.2158000346944</v>
      </c>
      <c r="J8" s="1">
        <v>1</v>
      </c>
      <c r="K8" t="s">
        <v>62</v>
      </c>
      <c r="L8" s="20">
        <v>79468857.576800004</v>
      </c>
      <c r="M8" s="40">
        <v>99.659099999999995</v>
      </c>
      <c r="N8" s="40">
        <v>100</v>
      </c>
      <c r="O8" s="4">
        <f t="shared" ref="O8:O16" si="1">+IF(AND(L8&gt;0,M8&gt;0,N8&gt;0),N8/M8-1,"")</f>
        <v>3.4206610334630572E-3</v>
      </c>
      <c r="P8" s="6">
        <f t="shared" ref="P8:P15" si="2">+IF(L8&gt;0,L8/SUM($L$8:$L$16),"")</f>
        <v>1</v>
      </c>
    </row>
    <row r="9" spans="2:16" x14ac:dyDescent="0.2">
      <c r="B9" s="1">
        <v>2</v>
      </c>
      <c r="C9" s="62"/>
      <c r="D9" s="9"/>
      <c r="E9" s="10"/>
      <c r="F9" s="1" t="str">
        <f t="shared" ref="F9:F15" si="3">IF(AND(D9&gt;0,E9&gt;0),IF(C9="C",$L$21,$L$20),"")</f>
        <v/>
      </c>
      <c r="G9" s="31" t="str">
        <f t="shared" ref="G9:G15" si="4">+IF(E9&gt;0,IF(C9="C",F9/E9-1,E9/F9-1),"")</f>
        <v/>
      </c>
      <c r="H9" s="2">
        <f t="shared" si="0"/>
        <v>0</v>
      </c>
      <c r="J9" s="1">
        <v>2</v>
      </c>
      <c r="L9" s="20"/>
      <c r="M9" s="7"/>
      <c r="N9" s="40"/>
      <c r="O9" s="4" t="str">
        <f t="shared" si="1"/>
        <v/>
      </c>
      <c r="P9" s="6" t="str">
        <f t="shared" si="2"/>
        <v/>
      </c>
    </row>
    <row r="10" spans="2:16" x14ac:dyDescent="0.2">
      <c r="B10" s="1">
        <v>3</v>
      </c>
      <c r="C10" s="62"/>
      <c r="D10" s="9"/>
      <c r="E10" s="10"/>
      <c r="F10" s="1" t="str">
        <f t="shared" si="3"/>
        <v/>
      </c>
      <c r="G10" s="31" t="str">
        <f t="shared" si="4"/>
        <v/>
      </c>
      <c r="H10" s="2">
        <f t="shared" si="0"/>
        <v>0</v>
      </c>
      <c r="J10" s="1">
        <v>3</v>
      </c>
      <c r="L10" s="20"/>
      <c r="M10" s="7"/>
      <c r="N10" s="7"/>
      <c r="O10" s="6" t="str">
        <f t="shared" si="1"/>
        <v/>
      </c>
      <c r="P10" s="6" t="str">
        <f t="shared" si="2"/>
        <v/>
      </c>
    </row>
    <row r="11" spans="2:16" x14ac:dyDescent="0.2">
      <c r="B11" s="1">
        <v>4</v>
      </c>
      <c r="C11" s="62"/>
      <c r="D11" s="9"/>
      <c r="E11" s="10"/>
      <c r="F11" s="1" t="str">
        <f t="shared" si="3"/>
        <v/>
      </c>
      <c r="G11" s="31" t="str">
        <f t="shared" si="4"/>
        <v/>
      </c>
      <c r="H11" s="2">
        <f t="shared" si="0"/>
        <v>0</v>
      </c>
      <c r="J11" s="1">
        <v>4</v>
      </c>
      <c r="L11" s="20"/>
      <c r="M11" s="7"/>
      <c r="N11" s="7"/>
      <c r="O11" s="6" t="str">
        <f t="shared" si="1"/>
        <v/>
      </c>
      <c r="P11" s="6" t="str">
        <f t="shared" si="2"/>
        <v/>
      </c>
    </row>
    <row r="12" spans="2:16" x14ac:dyDescent="0.2">
      <c r="B12" s="1">
        <v>5</v>
      </c>
      <c r="C12" s="62"/>
      <c r="D12" s="9"/>
      <c r="E12" s="10"/>
      <c r="F12" s="1" t="str">
        <f t="shared" si="3"/>
        <v/>
      </c>
      <c r="G12" s="31" t="str">
        <f t="shared" si="4"/>
        <v/>
      </c>
      <c r="H12" s="2">
        <f t="shared" si="0"/>
        <v>0</v>
      </c>
      <c r="J12" s="1">
        <v>5</v>
      </c>
      <c r="L12" s="20"/>
      <c r="M12" s="7"/>
      <c r="N12" s="7"/>
      <c r="O12" s="6" t="str">
        <f t="shared" si="1"/>
        <v/>
      </c>
      <c r="P12" s="6" t="str">
        <f t="shared" si="2"/>
        <v/>
      </c>
    </row>
    <row r="13" spans="2:16" x14ac:dyDescent="0.2">
      <c r="B13" s="1">
        <v>6</v>
      </c>
      <c r="C13" s="62"/>
      <c r="D13" s="9"/>
      <c r="E13" s="10"/>
      <c r="F13" s="1" t="str">
        <f t="shared" si="3"/>
        <v/>
      </c>
      <c r="G13" s="31" t="str">
        <f t="shared" si="4"/>
        <v/>
      </c>
      <c r="H13" s="2">
        <f t="shared" si="0"/>
        <v>0</v>
      </c>
      <c r="J13" s="1">
        <v>6</v>
      </c>
      <c r="L13" s="20"/>
      <c r="M13" s="7"/>
      <c r="N13" s="7"/>
      <c r="O13" s="6" t="str">
        <f t="shared" si="1"/>
        <v/>
      </c>
      <c r="P13" s="6" t="str">
        <f t="shared" si="2"/>
        <v/>
      </c>
    </row>
    <row r="14" spans="2:16" x14ac:dyDescent="0.2">
      <c r="B14" s="1">
        <v>7</v>
      </c>
      <c r="C14" s="62"/>
      <c r="D14" s="9"/>
      <c r="E14" s="10"/>
      <c r="F14" s="1" t="str">
        <f t="shared" si="3"/>
        <v/>
      </c>
      <c r="G14" s="31" t="str">
        <f t="shared" si="4"/>
        <v/>
      </c>
      <c r="H14" s="2">
        <f t="shared" si="0"/>
        <v>0</v>
      </c>
      <c r="J14" s="1">
        <v>7</v>
      </c>
      <c r="L14" s="20"/>
      <c r="M14" s="7"/>
      <c r="N14" s="7"/>
      <c r="O14" s="6" t="str">
        <f t="shared" si="1"/>
        <v/>
      </c>
      <c r="P14" s="6" t="str">
        <f t="shared" si="2"/>
        <v/>
      </c>
    </row>
    <row r="15" spans="2:16" x14ac:dyDescent="0.2">
      <c r="B15" s="1">
        <v>8</v>
      </c>
      <c r="C15" s="63"/>
      <c r="D15" s="9"/>
      <c r="E15" s="10"/>
      <c r="F15" s="1" t="str">
        <f t="shared" si="3"/>
        <v/>
      </c>
      <c r="G15" s="31" t="str">
        <f t="shared" si="4"/>
        <v/>
      </c>
      <c r="H15" s="2">
        <f t="shared" si="0"/>
        <v>0</v>
      </c>
      <c r="J15" s="1">
        <v>8</v>
      </c>
      <c r="L15" s="20"/>
      <c r="M15" s="7"/>
      <c r="N15" s="7"/>
      <c r="O15" s="6" t="str">
        <f t="shared" si="1"/>
        <v/>
      </c>
      <c r="P15" s="6" t="str">
        <f t="shared" si="2"/>
        <v/>
      </c>
    </row>
    <row r="16" spans="2:16" x14ac:dyDescent="0.2">
      <c r="B16" s="11" t="s">
        <v>40</v>
      </c>
      <c r="C16" s="11"/>
      <c r="D16" s="12">
        <f>+SUM(D8:D15)</f>
        <v>350000</v>
      </c>
      <c r="E16" s="13">
        <f>+IFERROR(SUMPRODUCT($D$8:$D$15,$E$8:$E$15)/SUM(D8:D15),0)</f>
        <v>24.97</v>
      </c>
      <c r="F16" s="11">
        <f>+$L$20</f>
        <v>24.7683</v>
      </c>
      <c r="G16" s="23">
        <f>+SUMPRODUCT($D$8:$D$15,$G$8:$G$15)/SUMPRODUCT($D$8:$D$15)</f>
        <v>8.1434737143848412E-3</v>
      </c>
      <c r="H16" s="12">
        <f>+SUM(H8:H15)</f>
        <v>2850.2158000346944</v>
      </c>
      <c r="J16" s="1">
        <v>9</v>
      </c>
      <c r="L16" s="20"/>
      <c r="M16" s="7"/>
      <c r="N16" s="7"/>
      <c r="O16" s="6" t="str">
        <f t="shared" si="1"/>
        <v/>
      </c>
      <c r="P16" s="6"/>
    </row>
    <row r="17" spans="2:17" x14ac:dyDescent="0.2">
      <c r="B17" s="17"/>
      <c r="C17" s="17"/>
      <c r="D17" s="18"/>
      <c r="E17" s="19"/>
      <c r="F17" s="17"/>
      <c r="G17" s="17"/>
      <c r="H17" s="18"/>
      <c r="L17" s="33">
        <f>+SUM(L8:L9)</f>
        <v>79468857.576800004</v>
      </c>
    </row>
    <row r="19" spans="2:17" ht="15" x14ac:dyDescent="0.25">
      <c r="B19" s="69" t="s">
        <v>33</v>
      </c>
      <c r="C19" s="69"/>
      <c r="D19" s="69"/>
      <c r="E19" s="69"/>
      <c r="F19" s="69"/>
      <c r="G19" s="69"/>
      <c r="H19" s="69"/>
      <c r="I19" s="69"/>
      <c r="J19" s="45"/>
      <c r="K19" s="69" t="s">
        <v>42</v>
      </c>
      <c r="L19" s="69"/>
      <c r="N19" s="66" t="s">
        <v>57</v>
      </c>
      <c r="O19" s="66"/>
      <c r="P19" s="33"/>
    </row>
    <row r="20" spans="2:17" ht="15" x14ac:dyDescent="0.25">
      <c r="B20" s="15" t="s">
        <v>2</v>
      </c>
      <c r="C20" s="65" t="s">
        <v>60</v>
      </c>
      <c r="D20" s="15" t="s">
        <v>3</v>
      </c>
      <c r="E20" s="15" t="s">
        <v>31</v>
      </c>
      <c r="F20" s="15" t="s">
        <v>34</v>
      </c>
      <c r="G20" s="15" t="s">
        <v>64</v>
      </c>
      <c r="H20" s="15" t="s">
        <v>36</v>
      </c>
      <c r="I20" s="15" t="s">
        <v>41</v>
      </c>
      <c r="J20" s="44"/>
      <c r="K20" s="7" t="s">
        <v>1</v>
      </c>
      <c r="L20" s="34">
        <v>24.7683</v>
      </c>
      <c r="M20" s="33"/>
      <c r="N20" s="46" t="s">
        <v>52</v>
      </c>
      <c r="O20" s="3">
        <f>+L17*L21*M27*5%</f>
        <v>315782.39538544137</v>
      </c>
      <c r="P20" s="33"/>
    </row>
    <row r="21" spans="2:17" ht="15" x14ac:dyDescent="0.25">
      <c r="B21" s="1">
        <v>1</v>
      </c>
      <c r="C21" s="61" t="s">
        <v>61</v>
      </c>
      <c r="D21" s="7" t="s">
        <v>62</v>
      </c>
      <c r="E21" s="20">
        <f>+SUM(D8:D10)</f>
        <v>350000</v>
      </c>
      <c r="F21" s="40">
        <v>99.764899999999997</v>
      </c>
      <c r="G21" s="41">
        <f>+IF(D21="","",IF(C21="C",VLOOKUP(D21,$K$8:$N$16,4,FALSE),VLOOKUP(D21,$K$8:$N$16,3,FALSE)))</f>
        <v>100</v>
      </c>
      <c r="H21" s="31">
        <f>+IF(AND(G21&gt;0,F21&gt;0),IF(C21="V",F21/G21-1,G21/F21-1),"")</f>
        <v>2.3565402260714574E-3</v>
      </c>
      <c r="I21" s="3">
        <f t="shared" ref="I21:I28" si="5">+IFERROR(H21*E21,)</f>
        <v>824.78907912501006</v>
      </c>
      <c r="J21" s="3"/>
      <c r="K21" s="7" t="s">
        <v>0</v>
      </c>
      <c r="L21" s="34">
        <v>23.2333</v>
      </c>
      <c r="N21" s="47" t="s">
        <v>53</v>
      </c>
      <c r="O21" s="48">
        <f>I29*E16*5%</f>
        <v>1029.7491652875749</v>
      </c>
    </row>
    <row r="22" spans="2:17" ht="15" x14ac:dyDescent="0.25">
      <c r="B22" s="1">
        <v>2</v>
      </c>
      <c r="C22" s="62"/>
      <c r="D22" s="7"/>
      <c r="E22" s="20"/>
      <c r="F22" s="7"/>
      <c r="G22" s="41" t="str">
        <f t="shared" ref="G22:G28" si="6">+IF(D22="","",IF(C22="C",VLOOKUP(D22,$K$8:$N$16,4,FALSE),VLOOKUP(D22,$K$8:$N$16,3,FALSE)))</f>
        <v/>
      </c>
      <c r="H22" s="5" t="str">
        <f t="shared" ref="H22:H28" si="7">+IF(AND(G22&gt;0,F22&gt;0),G22/F22-1,"")</f>
        <v/>
      </c>
      <c r="I22" s="3">
        <f t="shared" si="5"/>
        <v>0</v>
      </c>
      <c r="J22" s="3"/>
      <c r="N22" s="46" t="s">
        <v>54</v>
      </c>
      <c r="O22" s="33">
        <f>+SUM(O20:O21)</f>
        <v>316812.14455072896</v>
      </c>
    </row>
    <row r="23" spans="2:17" x14ac:dyDescent="0.2">
      <c r="B23" s="1">
        <v>3</v>
      </c>
      <c r="C23" s="62"/>
      <c r="D23" s="7"/>
      <c r="E23" s="20"/>
      <c r="F23" s="7"/>
      <c r="G23" s="41" t="str">
        <f t="shared" si="6"/>
        <v/>
      </c>
      <c r="H23" s="5" t="str">
        <f t="shared" si="7"/>
        <v/>
      </c>
      <c r="I23" s="3">
        <f t="shared" si="5"/>
        <v>0</v>
      </c>
      <c r="J23" s="3"/>
      <c r="Q23" s="35"/>
    </row>
    <row r="24" spans="2:17" ht="15" x14ac:dyDescent="0.25">
      <c r="B24" s="1">
        <v>4</v>
      </c>
      <c r="C24" s="62"/>
      <c r="D24" s="7"/>
      <c r="E24" s="7"/>
      <c r="F24" s="7"/>
      <c r="G24" s="41" t="str">
        <f t="shared" si="6"/>
        <v/>
      </c>
      <c r="H24" s="5" t="str">
        <f t="shared" si="7"/>
        <v/>
      </c>
      <c r="I24" s="3">
        <f t="shared" si="5"/>
        <v>0</v>
      </c>
      <c r="J24" s="3"/>
      <c r="L24" s="70" t="s">
        <v>55</v>
      </c>
      <c r="M24" s="70"/>
      <c r="N24" s="70"/>
    </row>
    <row r="25" spans="2:17" ht="15" x14ac:dyDescent="0.25">
      <c r="B25" s="1">
        <v>5</v>
      </c>
      <c r="C25" s="62"/>
      <c r="D25" s="7"/>
      <c r="E25" s="7"/>
      <c r="F25" s="7"/>
      <c r="G25" s="41" t="str">
        <f t="shared" si="6"/>
        <v/>
      </c>
      <c r="H25" s="5" t="str">
        <f t="shared" si="7"/>
        <v/>
      </c>
      <c r="I25" s="3">
        <f t="shared" si="5"/>
        <v>0</v>
      </c>
      <c r="J25" s="3"/>
      <c r="L25" s="16" t="s">
        <v>27</v>
      </c>
      <c r="M25" s="68">
        <f>+SUM(L8:L16)+$D$34</f>
        <v>79468857.576800004</v>
      </c>
      <c r="N25" s="68"/>
      <c r="O25" s="33"/>
      <c r="P25" s="33"/>
    </row>
    <row r="26" spans="2:17" x14ac:dyDescent="0.2">
      <c r="B26" s="1">
        <v>6</v>
      </c>
      <c r="C26" s="62"/>
      <c r="D26" s="7"/>
      <c r="E26" s="7"/>
      <c r="F26" s="7"/>
      <c r="G26" s="41" t="str">
        <f t="shared" si="6"/>
        <v/>
      </c>
      <c r="H26" s="5" t="str">
        <f t="shared" si="7"/>
        <v/>
      </c>
      <c r="I26" s="3">
        <f t="shared" si="5"/>
        <v>0</v>
      </c>
      <c r="J26" s="3"/>
      <c r="L26" s="16" t="s">
        <v>46</v>
      </c>
      <c r="M26" s="54">
        <f>+L21/L20-1</f>
        <v>-6.1974378540311625E-2</v>
      </c>
      <c r="N26" s="18">
        <f>+M26*M25</f>
        <v>-4925033.0616307147</v>
      </c>
      <c r="P26" s="30"/>
    </row>
    <row r="27" spans="2:17" x14ac:dyDescent="0.2">
      <c r="B27" s="1">
        <v>7</v>
      </c>
      <c r="C27" s="62"/>
      <c r="D27" s="7"/>
      <c r="E27" s="7"/>
      <c r="F27" s="7"/>
      <c r="G27" s="41" t="str">
        <f t="shared" si="6"/>
        <v/>
      </c>
      <c r="H27" s="5" t="str">
        <f t="shared" si="7"/>
        <v/>
      </c>
      <c r="I27" s="3">
        <f t="shared" si="5"/>
        <v>0</v>
      </c>
      <c r="J27" s="3"/>
      <c r="L27" s="16" t="s">
        <v>47</v>
      </c>
      <c r="M27" s="54">
        <f>+SUMPRODUCT($O$8:$O$16,$P$8:$P$16)</f>
        <v>3.4206610334630572E-3</v>
      </c>
      <c r="N27" s="53">
        <f>+M27*L17</f>
        <v>271836.02448678517</v>
      </c>
      <c r="P27" s="33"/>
    </row>
    <row r="28" spans="2:17" x14ac:dyDescent="0.2">
      <c r="B28" s="1">
        <v>8</v>
      </c>
      <c r="C28" s="63"/>
      <c r="D28" s="7"/>
      <c r="E28" s="7"/>
      <c r="F28" s="7"/>
      <c r="G28" s="41" t="str">
        <f t="shared" si="6"/>
        <v/>
      </c>
      <c r="H28" s="5" t="str">
        <f t="shared" si="7"/>
        <v/>
      </c>
      <c r="I28" s="3">
        <f t="shared" si="5"/>
        <v>0</v>
      </c>
      <c r="J28" s="3"/>
      <c r="K28" s="16"/>
      <c r="L28" s="16" t="s">
        <v>43</v>
      </c>
      <c r="M28" s="54">
        <f>+(1+M26)*(1+M27)-1</f>
        <v>-5.8765710848594499E-2</v>
      </c>
      <c r="N28" s="24"/>
    </row>
    <row r="29" spans="2:17" ht="15" x14ac:dyDescent="0.25">
      <c r="B29" s="11" t="s">
        <v>40</v>
      </c>
      <c r="C29" s="11"/>
      <c r="D29" s="14"/>
      <c r="E29" s="12">
        <f>+SUM(E21:E28)</f>
        <v>350000</v>
      </c>
      <c r="F29" s="13"/>
      <c r="G29" s="11"/>
      <c r="H29" s="23">
        <f>+IFERROR(SUMPRODUCT($E$21:$E$28,$H$21:$H$28)/SUMPRODUCT($E$21:$E$28),0)</f>
        <v>2.3565402260714574E-3</v>
      </c>
      <c r="I29" s="12">
        <f>+SUM(I21:I28)</f>
        <v>824.78907912501006</v>
      </c>
      <c r="J29" s="18"/>
      <c r="L29" s="16" t="s">
        <v>44</v>
      </c>
      <c r="M29" s="68">
        <f>+L17*(1+M28)</f>
        <v>74798813.670973644</v>
      </c>
      <c r="N29" s="68"/>
      <c r="O29" s="33"/>
    </row>
    <row r="30" spans="2:17" x14ac:dyDescent="0.2">
      <c r="L30" s="16" t="s">
        <v>45</v>
      </c>
      <c r="M30" s="60">
        <f>+H16+I29</f>
        <v>3675.0048791597046</v>
      </c>
      <c r="N30" s="22"/>
      <c r="P30" s="3"/>
    </row>
    <row r="31" spans="2:17" x14ac:dyDescent="0.2">
      <c r="L31" s="16" t="s">
        <v>48</v>
      </c>
      <c r="M31" s="21">
        <f>+M30/M25</f>
        <v>4.6244591796328765E-5</v>
      </c>
      <c r="N31" s="16"/>
      <c r="P31" s="33"/>
    </row>
    <row r="32" spans="2:17" ht="15" x14ac:dyDescent="0.25">
      <c r="E32" s="35"/>
      <c r="L32" s="16" t="s">
        <v>56</v>
      </c>
      <c r="M32" s="68">
        <f>+M25+N26+N27+M30</f>
        <v>74819335.544535235</v>
      </c>
      <c r="N32" s="68"/>
      <c r="P32" s="28"/>
    </row>
    <row r="33" spans="4:17" ht="15" x14ac:dyDescent="0.25">
      <c r="E33" s="3"/>
      <c r="F33" s="43"/>
      <c r="G33" s="42"/>
      <c r="L33" s="16" t="s">
        <v>50</v>
      </c>
      <c r="M33" s="67">
        <f>+O22/L20</f>
        <v>12791.033076582929</v>
      </c>
      <c r="N33" s="67"/>
      <c r="P33" s="29"/>
    </row>
    <row r="34" spans="4:17" ht="15" x14ac:dyDescent="0.25">
      <c r="D34" s="3"/>
      <c r="E34" s="33"/>
      <c r="L34" s="32" t="s">
        <v>51</v>
      </c>
      <c r="M34" s="68">
        <f>+M32-M33</f>
        <v>74806544.51145865</v>
      </c>
      <c r="N34" s="68"/>
    </row>
    <row r="35" spans="4:17" ht="15" x14ac:dyDescent="0.25">
      <c r="E35" s="33"/>
      <c r="F35" s="59"/>
      <c r="G35" s="33"/>
      <c r="L35" s="56" t="s">
        <v>59</v>
      </c>
      <c r="M35" s="57">
        <f>+M32/M25-1</f>
        <v>-5.8507472915052205E-2</v>
      </c>
      <c r="N35" s="58">
        <f>+M32-M25</f>
        <v>-4649522.0322647691</v>
      </c>
    </row>
    <row r="36" spans="4:17" ht="15" x14ac:dyDescent="0.25">
      <c r="E36" s="33"/>
      <c r="G36" s="33"/>
      <c r="H36" s="35"/>
      <c r="L36" s="27" t="s">
        <v>58</v>
      </c>
      <c r="M36" s="25">
        <f>+M34/M25-1</f>
        <v>-5.8668429464153515E-2</v>
      </c>
      <c r="N36" s="26">
        <f>+M32-M25</f>
        <v>-4649522.0322647691</v>
      </c>
    </row>
    <row r="37" spans="4:17" x14ac:dyDescent="0.2">
      <c r="F37" s="4"/>
      <c r="M37" s="51"/>
    </row>
    <row r="38" spans="4:17" x14ac:dyDescent="0.2">
      <c r="M38" s="55"/>
    </row>
    <row r="39" spans="4:17" ht="15" x14ac:dyDescent="0.25">
      <c r="E39" s="49"/>
      <c r="F39" s="50"/>
      <c r="M39" s="30"/>
      <c r="O39" s="36"/>
      <c r="P39" s="36"/>
      <c r="Q39" s="37"/>
    </row>
    <row r="40" spans="4:17" ht="15" x14ac:dyDescent="0.25">
      <c r="E40" s="50"/>
      <c r="M40" s="3"/>
      <c r="O40" s="36"/>
      <c r="P40" s="36"/>
      <c r="Q40" s="37"/>
    </row>
    <row r="41" spans="4:17" x14ac:dyDescent="0.2">
      <c r="M41" s="52"/>
      <c r="O41" s="36"/>
      <c r="P41" s="36"/>
      <c r="Q41" s="36"/>
    </row>
    <row r="42" spans="4:17" ht="15" x14ac:dyDescent="0.25">
      <c r="M42" s="30"/>
      <c r="O42" s="36"/>
      <c r="P42" s="36"/>
      <c r="Q42" s="37"/>
    </row>
    <row r="43" spans="4:17" ht="15" x14ac:dyDescent="0.25">
      <c r="Q43" s="37"/>
    </row>
    <row r="45" spans="4:17" x14ac:dyDescent="0.2">
      <c r="Q45" s="36"/>
    </row>
    <row r="46" spans="4:17" x14ac:dyDescent="0.2">
      <c r="Q46" s="30"/>
    </row>
    <row r="50" spans="16:22" x14ac:dyDescent="0.2">
      <c r="P50" s="36"/>
      <c r="Q50" s="4"/>
      <c r="R50" s="36"/>
      <c r="T50" s="36"/>
      <c r="U50" s="39"/>
      <c r="V50" s="30"/>
    </row>
    <row r="51" spans="16:22" x14ac:dyDescent="0.2">
      <c r="P51" s="36"/>
      <c r="Q51" s="4"/>
      <c r="R51" s="36"/>
      <c r="T51" s="36"/>
      <c r="U51" s="39"/>
      <c r="V51" s="30"/>
    </row>
    <row r="52" spans="16:22" x14ac:dyDescent="0.2">
      <c r="P52" s="36"/>
      <c r="Q52" s="4"/>
      <c r="R52" s="36"/>
      <c r="U52" s="39"/>
    </row>
    <row r="53" spans="16:22" x14ac:dyDescent="0.2">
      <c r="P53" s="36"/>
      <c r="Q53" s="4"/>
      <c r="R53" s="36"/>
      <c r="T53" s="36"/>
      <c r="U53" s="39"/>
      <c r="V53" s="30"/>
    </row>
    <row r="54" spans="16:22" ht="15" x14ac:dyDescent="0.25">
      <c r="P54" s="37"/>
    </row>
    <row r="58" spans="16:22" x14ac:dyDescent="0.2">
      <c r="P58" s="38"/>
    </row>
    <row r="59" spans="16:22" x14ac:dyDescent="0.2">
      <c r="P59" s="38"/>
    </row>
    <row r="60" spans="16:22" x14ac:dyDescent="0.2">
      <c r="P60" s="38"/>
    </row>
    <row r="61" spans="16:22" x14ac:dyDescent="0.2">
      <c r="P61" s="38"/>
    </row>
    <row r="62" spans="16:22" x14ac:dyDescent="0.2">
      <c r="P62" s="38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2D07F7-5792-48B1-A782-7A4DA50EBF53}">
          <x14:formula1>
            <xm:f>'lista Lebacs'!$B$2:$B$10</xm:f>
          </x14:formula1>
          <xm:sqref>K8:K16 D22:D28</xm:sqref>
        </x14:dataValidation>
        <x14:dataValidation type="list" allowBlank="1" showInputMessage="1" showErrorMessage="1" xr:uid="{5CADD611-118B-4ABE-AA10-DD850CED84C5}">
          <x14:formula1>
            <xm:f>'[20180514 aux.xlsx]lista Lebacs'!#REF!</xm:f>
          </x14:formula1>
          <xm:sqref>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 rentabilidad</vt:lpstr>
      <vt:lpstr>lista Lebacs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2018-05-17T21:51:00Z</dcterms:modified>
</cp:coreProperties>
</file>