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2C397AAB-9B08-4A30-B4AA-11CF59D4C3F5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H22" i="4" s="1"/>
  <c r="I22" i="4" s="1"/>
  <c r="O8" i="4"/>
  <c r="O9" i="4"/>
  <c r="L17" i="4"/>
  <c r="P8" i="4"/>
  <c r="P9" i="4"/>
  <c r="P10" i="4"/>
  <c r="P11" i="4"/>
  <c r="P12" i="4"/>
  <c r="P13" i="4"/>
  <c r="P14" i="4"/>
  <c r="P15" i="4"/>
  <c r="M26" i="4"/>
  <c r="F9" i="4"/>
  <c r="F10" i="4"/>
  <c r="F11" i="4"/>
  <c r="F12" i="4"/>
  <c r="F13" i="4"/>
  <c r="F14" i="4"/>
  <c r="F15" i="4"/>
  <c r="F8" i="4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8" i="4"/>
  <c r="H8" i="4" s="1"/>
  <c r="G21" i="4"/>
  <c r="H21" i="4" s="1"/>
  <c r="E16" i="4"/>
  <c r="M25" i="4"/>
  <c r="N26" i="4" s="1"/>
  <c r="O10" i="4"/>
  <c r="O11" i="4"/>
  <c r="O12" i="4"/>
  <c r="O13" i="4"/>
  <c r="O14" i="4"/>
  <c r="O15" i="4"/>
  <c r="O16" i="4"/>
  <c r="F16" i="4"/>
  <c r="D1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G16" i="4"/>
  <c r="M27" i="4" l="1"/>
  <c r="O20" i="4" s="1"/>
  <c r="H16" i="4"/>
  <c r="H29" i="4"/>
  <c r="I21" i="4"/>
  <c r="I29" i="4" s="1"/>
  <c r="M28" i="4" l="1"/>
  <c r="M29" i="4" s="1"/>
  <c r="N27" i="4"/>
  <c r="O21" i="4"/>
  <c r="O22" i="4" s="1"/>
  <c r="M33" i="4" s="1"/>
  <c r="M30" i="4"/>
  <c r="M31" i="4" s="1"/>
  <c r="M32" i="4" l="1"/>
  <c r="M34" i="4" l="1"/>
  <c r="M36" i="4" s="1"/>
  <c r="N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<sst xmlns="http://schemas.openxmlformats.org/spreadsheetml/2006/main" count="70" uniqueCount="64">
  <si>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</si>
  <si>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</si>
  <si>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</si>
  <si>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</si>
  <si>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</si>
  <si>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</si>
  <si>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</si>
  <si>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</si>
  <si>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</si>
  <si>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</si>
  <si>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</si>
  <si>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</si>
  <si>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</si>
  <si>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</si>
  <si>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</si>
  <si>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</si>
  <si>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</si>
  <si>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</si>
  <si>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</si>
  <si>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</si>
  <si>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</si>
  <si>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</si>
  <si>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</si>
  <si>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</si>
  <si>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</si>
  <si>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</si>
  <si>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</si>
  <si>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</si>
  <si>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</si>
  <si>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</si>
  <si>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</si>
  <si>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</si>
  <si>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</si>
  <si>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</si>
  <si>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</si>
  <si>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</si>
  <si>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</si>
  <si>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</si>
  <si>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</si>
  <si>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</si>
  <si>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</si>
  <si>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</si>
  <si>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</si>
  <si>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</si>
  <si>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</si>
  <si>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</si>
  <si>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</si>
  <si>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</si>
  <si>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</si>
  <si>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</si>
  <si>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</si>
  <si>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</si>
  <si>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</si>
  <si>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</si>
  <si>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</si>
  <si>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</si>
  <si>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</si>
  <si>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</si>
  <si>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</si>
  <si>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</si>
  <si>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</si>
  <si>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PX valorizacion</t>
  </si>
  <si>
    <t>FX valorizacion</t>
  </si>
  <si>
    <t>LEBAC 21-06-2018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</si>
</sst>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515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Leba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L8" sqref="L8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69" t="s">
        <v>30</v>
      </c>
      <c r="C6" s="69"/>
      <c r="D6" s="69"/>
      <c r="E6" s="69"/>
      <c r="F6" s="69"/>
      <c r="G6" s="69"/>
      <c r="H6" s="69"/>
      <c r="J6" s="66" t="s">
        <v>49</v>
      </c>
      <c r="K6" s="66"/>
      <c r="L6" s="66"/>
      <c r="M6" s="66"/>
      <c r="N6" s="66"/>
      <c r="O6" s="66"/>
      <c r="P6" s="66"/>
    </row>
    <row r="7" spans="2:16" ht="15" x14ac:dyDescent="0.25">
      <c r="B7" s="8" t="s">
        <v>2</v>
      </c>
      <c r="C7" s="64" t="s">
        <v>60</v>
      </c>
      <c r="D7" s="8" t="s">
        <v>31</v>
      </c>
      <c r="E7" s="8" t="s">
        <v>28</v>
      </c>
      <c r="F7" s="8" t="s">
        <v>62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61"/>
      <c r="D8" s="9"/>
      <c r="E8" s="10"/>
      <c r="F8" s="1" t="str">
        <f>IF(AND(D8&gt;0,E8&gt;0),IF(C8="C",$L$21,$L$20),"")</f>
        <v/>
      </c>
      <c r="G8" s="31" t="str">
        <f>+IF(E8&gt;0,IF(C8="C",F8/E8-1,E8/F8-1),"")</f>
        <v/>
      </c>
      <c r="H8" s="2">
        <f t="shared" ref="H8:H15" si="0">+IFERROR(G8*D8,)</f>
        <v>0</v>
      </c>
      <c r="J8" s="1">
        <v>1</v>
      </c>
      <c r="K8" t="s">
        <v>63</v>
      </c>
      <c r="L8" s="20">
        <v>74558554.947799996</v>
      </c>
      <c r="M8" s="40">
        <v>97.024900000000002</v>
      </c>
      <c r="N8" s="40">
        <v>97.456000000000003</v>
      </c>
      <c r="O8" s="4">
        <f t="shared" ref="O8:O16" si="1">+IF(AND(L8&gt;0,M8&gt;0,N8&gt;0),N8/M8-1,"")</f>
        <v>4.4431893256267063E-3</v>
      </c>
      <c r="P8" s="6">
        <f t="shared" ref="P8:P15" si="2">+IF(L8&gt;0,L8/SUM($L$8:$L$16),"")</f>
        <v>1</v>
      </c>
    </row>
    <row r="9" spans="2:16" x14ac:dyDescent="0.2">
      <c r="B9" s="1">
        <v>2</v>
      </c>
      <c r="C9" s="62"/>
      <c r="D9" s="9"/>
      <c r="E9" s="10"/>
      <c r="F9" s="1" t="str">
        <f t="shared" ref="F9:F15" si="3">IF(AND(D9&gt;0,E9&gt;0),IF(C9="C",$L$21,$L$20),"")</f>
        <v/>
      </c>
      <c r="G9" s="31" t="str">
        <f t="shared" ref="G9:G15" si="4">+IF(E9&gt;0,IF(C9="C",F9/E9-1,E9/F9-1),"")</f>
        <v/>
      </c>
      <c r="H9" s="2">
        <f t="shared" si="0"/>
        <v>0</v>
      </c>
      <c r="J9" s="1">
        <v>2</v>
      </c>
      <c r="L9" s="20"/>
      <c r="M9" s="7"/>
      <c r="N9" s="40"/>
      <c r="O9" s="4" t="str">
        <f t="shared" si="1"/>
        <v/>
      </c>
      <c r="P9" s="6" t="str">
        <f t="shared" si="2"/>
        <v/>
      </c>
    </row>
    <row r="10" spans="2:16" x14ac:dyDescent="0.2">
      <c r="B10" s="1">
        <v>3</v>
      </c>
      <c r="C10" s="62"/>
      <c r="D10" s="9"/>
      <c r="E10" s="10"/>
      <c r="F10" s="1" t="str">
        <f t="shared" si="3"/>
        <v/>
      </c>
      <c r="G10" s="31" t="str">
        <f t="shared" si="4"/>
        <v/>
      </c>
      <c r="H10" s="2">
        <f t="shared" si="0"/>
        <v>0</v>
      </c>
      <c r="J10" s="1">
        <v>3</v>
      </c>
      <c r="L10" s="20"/>
      <c r="M10" s="7"/>
      <c r="N10" s="7"/>
      <c r="O10" s="6" t="str">
        <f t="shared" si="1"/>
        <v/>
      </c>
      <c r="P10" s="6" t="str">
        <f t="shared" si="2"/>
        <v/>
      </c>
    </row>
    <row r="11" spans="2:16" x14ac:dyDescent="0.2">
      <c r="B11" s="1">
        <v>4</v>
      </c>
      <c r="C11" s="62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7"/>
      <c r="O11" s="6" t="str">
        <f t="shared" si="1"/>
        <v/>
      </c>
      <c r="P11" s="6" t="str">
        <f t="shared" si="2"/>
        <v/>
      </c>
    </row>
    <row r="12" spans="2:16" x14ac:dyDescent="0.2">
      <c r="B12" s="1">
        <v>5</v>
      </c>
      <c r="C12" s="62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7"/>
      <c r="O12" s="6" t="str">
        <f t="shared" si="1"/>
        <v/>
      </c>
      <c r="P12" s="6" t="str">
        <f t="shared" si="2"/>
        <v/>
      </c>
    </row>
    <row r="13" spans="2:16" x14ac:dyDescent="0.2">
      <c r="B13" s="1">
        <v>6</v>
      </c>
      <c r="C13" s="62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7"/>
      <c r="O13" s="6" t="str">
        <f t="shared" si="1"/>
        <v/>
      </c>
      <c r="P13" s="6" t="str">
        <f t="shared" si="2"/>
        <v/>
      </c>
    </row>
    <row r="14" spans="2:16" x14ac:dyDescent="0.2">
      <c r="B14" s="1">
        <v>7</v>
      </c>
      <c r="C14" s="62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7"/>
      <c r="O14" s="6" t="str">
        <f t="shared" si="1"/>
        <v/>
      </c>
      <c r="P14" s="6" t="str">
        <f t="shared" si="2"/>
        <v/>
      </c>
    </row>
    <row r="15" spans="2:16" x14ac:dyDescent="0.2">
      <c r="B15" s="1">
        <v>8</v>
      </c>
      <c r="C15" s="63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7"/>
      <c r="O15" s="6" t="str">
        <f t="shared" si="1"/>
        <v/>
      </c>
      <c r="P15" s="6" t="str">
        <f t="shared" si="2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24.556699999999999</v>
      </c>
      <c r="G16" s="23" t="e">
        <f>+SUMPRODUCT($D$8:$D$15,$G$8:$G$15)/SUMPRODUCT($D$8:$D$15)</f>
        <v>#DIV/0!</v>
      </c>
      <c r="H16" s="12">
        <f>+SUM(H8:H15)</f>
        <v>0</v>
      </c>
      <c r="J16" s="1">
        <v>9</v>
      </c>
      <c r="L16" s="20"/>
      <c r="M16" s="7"/>
      <c r="N16" s="7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+SUM(L8:L9)</f>
        <v>74558554.947799996</v>
      </c>
    </row>
    <row r="19" spans="2:17" ht="15" x14ac:dyDescent="0.25">
      <c r="B19" s="69" t="s">
        <v>33</v>
      </c>
      <c r="C19" s="69"/>
      <c r="D19" s="69"/>
      <c r="E19" s="69"/>
      <c r="F19" s="69"/>
      <c r="G19" s="69"/>
      <c r="H19" s="69"/>
      <c r="I19" s="69"/>
      <c r="J19" s="45"/>
      <c r="K19" s="69" t="s">
        <v>42</v>
      </c>
      <c r="L19" s="69"/>
      <c r="N19" s="66" t="s">
        <v>57</v>
      </c>
      <c r="O19" s="66"/>
      <c r="P19" s="33"/>
    </row>
    <row r="20" spans="2:17" ht="15" x14ac:dyDescent="0.25">
      <c r="B20" s="15" t="s">
        <v>2</v>
      </c>
      <c r="C20" s="65" t="s">
        <v>60</v>
      </c>
      <c r="D20" s="15" t="s">
        <v>3</v>
      </c>
      <c r="E20" s="15" t="s">
        <v>31</v>
      </c>
      <c r="F20" s="15" t="s">
        <v>34</v>
      </c>
      <c r="G20" s="15" t="s">
        <v>61</v>
      </c>
      <c r="H20" s="15" t="s">
        <v>36</v>
      </c>
      <c r="I20" s="15" t="s">
        <v>41</v>
      </c>
      <c r="J20" s="44"/>
      <c r="K20" s="7" t="s">
        <v>1</v>
      </c>
      <c r="L20" s="34">
        <v>24.556699999999999</v>
      </c>
      <c r="M20" s="33"/>
      <c r="N20" s="46" t="s">
        <v>52</v>
      </c>
      <c r="O20" s="3">
        <f>+L17*L21*M27*5%</f>
        <v>404741.93496826664</v>
      </c>
      <c r="P20" s="33"/>
    </row>
    <row r="21" spans="2:17" ht="15" x14ac:dyDescent="0.25">
      <c r="B21" s="1">
        <v>1</v>
      </c>
      <c r="C21" s="61"/>
      <c r="D21" s="7"/>
      <c r="E21" s="20"/>
      <c r="F21" s="40"/>
      <c r="G21" s="41" t="str">
        <f>+IF(D21="","",IF(C21="C",VLOOKUP(D21,$K$8:$N$16,4,FALSE),VLOOKUP(D21,$K$8:$N$16,3,FALSE)))</f>
        <v/>
      </c>
      <c r="H21" s="31" t="str">
        <f>+IF(AND(G21&gt;0,F21&gt;0),IF(C21="V",F21/G21-1,G21/F21-1),"")</f>
        <v/>
      </c>
      <c r="I21" s="3">
        <f t="shared" ref="I21:I28" si="5">+IFERROR(H21*E21,)</f>
        <v>0</v>
      </c>
      <c r="J21" s="3"/>
      <c r="K21" s="7" t="s">
        <v>0</v>
      </c>
      <c r="L21" s="34">
        <v>24.435199999999998</v>
      </c>
      <c r="N21" s="47" t="s">
        <v>53</v>
      </c>
      <c r="O21" s="48">
        <f>I29*E16*5%</f>
        <v>0</v>
      </c>
    </row>
    <row r="22" spans="2:17" ht="15" x14ac:dyDescent="0.25">
      <c r="B22" s="1">
        <v>2</v>
      </c>
      <c r="C22" s="62"/>
      <c r="D22" s="7"/>
      <c r="E22" s="20"/>
      <c r="F22" s="7"/>
      <c r="G22" s="41" t="str">
        <f>+IF(D22="","",IF(C22="C",VLOOKUP(D22,$K$8:$N$16,4,FALSE),VLOOKUP(D22,$K$8:$N$16,3,FALSE)))</f>
        <v/>
      </c>
      <c r="H22" s="5" t="str">
        <f t="shared" ref="H22:H28" si="6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</f>
        <v>404741.93496826664</v>
      </c>
    </row>
    <row r="23" spans="2:17" x14ac:dyDescent="0.2">
      <c r="B23" s="1">
        <v>3</v>
      </c>
      <c r="C23" s="62"/>
      <c r="D23" s="7"/>
      <c r="E23" s="20"/>
      <c r="F23" s="7"/>
      <c r="G23" s="41" t="str">
        <f t="shared" ref="G23:G28" si="7">+IF(D23="","",IF(C23="C",VLOOKUP(D23,$K$8:$N$16,4,FALSE),VLOOKUP(D23,$K$8:$N$16,3,FALSE)))</f>
        <v/>
      </c>
      <c r="H23" s="5" t="str">
        <f t="shared" si="6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2"/>
      <c r="D24" s="7"/>
      <c r="E24" s="7"/>
      <c r="F24" s="7"/>
      <c r="G24" s="41" t="str">
        <f t="shared" si="7"/>
        <v/>
      </c>
      <c r="H24" s="5" t="str">
        <f t="shared" si="6"/>
        <v/>
      </c>
      <c r="I24" s="3">
        <f t="shared" si="5"/>
        <v>0</v>
      </c>
      <c r="J24" s="3"/>
      <c r="L24" s="70" t="s">
        <v>55</v>
      </c>
      <c r="M24" s="70"/>
      <c r="N24" s="70"/>
    </row>
    <row r="25" spans="2:17" ht="15" x14ac:dyDescent="0.25">
      <c r="B25" s="1">
        <v>5</v>
      </c>
      <c r="C25" s="62"/>
      <c r="D25" s="7"/>
      <c r="E25" s="7"/>
      <c r="F25" s="7"/>
      <c r="G25" s="41" t="str">
        <f t="shared" si="7"/>
        <v/>
      </c>
      <c r="H25" s="5" t="str">
        <f t="shared" si="6"/>
        <v/>
      </c>
      <c r="I25" s="3">
        <f t="shared" si="5"/>
        <v>0</v>
      </c>
      <c r="J25" s="3"/>
      <c r="L25" s="16" t="s">
        <v>27</v>
      </c>
      <c r="M25" s="68">
        <f>+SUM(L8:L16)+$D$34</f>
        <v>74558554.947799996</v>
      </c>
      <c r="N25" s="68"/>
      <c r="O25" s="33"/>
      <c r="P25" s="33"/>
    </row>
    <row r="26" spans="2:17" x14ac:dyDescent="0.2">
      <c r="B26" s="1">
        <v>6</v>
      </c>
      <c r="C26" s="62"/>
      <c r="D26" s="7"/>
      <c r="E26" s="7"/>
      <c r="F26" s="7"/>
      <c r="G26" s="41" t="str">
        <f t="shared" si="7"/>
        <v/>
      </c>
      <c r="H26" s="5" t="str">
        <f t="shared" si="6"/>
        <v/>
      </c>
      <c r="I26" s="3">
        <f t="shared" si="5"/>
        <v>0</v>
      </c>
      <c r="J26" s="3"/>
      <c r="L26" s="16" t="s">
        <v>46</v>
      </c>
      <c r="M26" s="54">
        <f>+L21/L20-1</f>
        <v>-4.9477332051945933E-3</v>
      </c>
      <c r="N26" s="18">
        <f>+M26*M25</f>
        <v>-368895.8380465557</v>
      </c>
      <c r="P26" s="30"/>
    </row>
    <row r="27" spans="2:17" x14ac:dyDescent="0.2">
      <c r="B27" s="1">
        <v>7</v>
      </c>
      <c r="C27" s="62"/>
      <c r="D27" s="7"/>
      <c r="E27" s="7"/>
      <c r="F27" s="7"/>
      <c r="G27" s="41" t="str">
        <f t="shared" si="7"/>
        <v/>
      </c>
      <c r="H27" s="5" t="str">
        <f t="shared" si="6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4.4431893256267063E-3</v>
      </c>
      <c r="N27" s="53">
        <f>+M27*L17</f>
        <v>331277.77547821717</v>
      </c>
      <c r="P27" s="33"/>
    </row>
    <row r="28" spans="2:17" x14ac:dyDescent="0.2">
      <c r="B28" s="1">
        <v>8</v>
      </c>
      <c r="C28" s="63"/>
      <c r="D28" s="7"/>
      <c r="E28" s="7"/>
      <c r="F28" s="7"/>
      <c r="G28" s="41" t="str">
        <f t="shared" si="7"/>
        <v/>
      </c>
      <c r="H28" s="5" t="str">
        <f t="shared" si="6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-5.2652759493121426E-4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3">
        <f>+IFERROR(SUMPRODUCT($E$21:$E$28,$H$21:$H$28)/SUMPRODUCT($E$21:$E$28),0)</f>
        <v>0</v>
      </c>
      <c r="I29" s="12">
        <f>+SUM(I21:I28)</f>
        <v>0</v>
      </c>
      <c r="J29" s="18"/>
      <c r="L29" s="16" t="s">
        <v>44</v>
      </c>
      <c r="M29" s="68">
        <f>+L17*(1+M28)</f>
        <v>74519297.811181784</v>
      </c>
      <c r="N29" s="68"/>
      <c r="O29" s="33"/>
    </row>
    <row r="30" spans="2:17" x14ac:dyDescent="0.2">
      <c r="L30" s="16" t="s">
        <v>45</v>
      </c>
      <c r="M30" s="60">
        <f>+H16+I29</f>
        <v>0</v>
      </c>
      <c r="N30" s="22"/>
      <c r="P30" s="3"/>
    </row>
    <row r="31" spans="2:17" x14ac:dyDescent="0.2">
      <c r="L31" s="16" t="s">
        <v>48</v>
      </c>
      <c r="M31" s="21">
        <f>+M30/M25</f>
        <v>0</v>
      </c>
      <c r="N31" s="16"/>
      <c r="P31" s="33"/>
    </row>
    <row r="32" spans="2:17" ht="15" x14ac:dyDescent="0.25">
      <c r="E32" s="35"/>
      <c r="L32" s="16" t="s">
        <v>56</v>
      </c>
      <c r="M32" s="68">
        <f>+M25+N26+N27+M30</f>
        <v>74520936.885231659</v>
      </c>
      <c r="N32" s="68"/>
      <c r="P32" s="28"/>
    </row>
    <row r="33" spans="4:17" ht="15" x14ac:dyDescent="0.25">
      <c r="E33" s="3"/>
      <c r="F33" s="43"/>
      <c r="G33" s="42"/>
      <c r="L33" s="16" t="s">
        <v>50</v>
      </c>
      <c r="M33" s="67">
        <f>+O22/L20</f>
        <v>16481.935071417032</v>
      </c>
      <c r="N33" s="67"/>
      <c r="P33" s="29"/>
    </row>
    <row r="34" spans="4:17" ht="15" x14ac:dyDescent="0.25">
      <c r="D34" s="3"/>
      <c r="E34" s="33"/>
      <c r="L34" s="32" t="s">
        <v>51</v>
      </c>
      <c r="M34" s="68">
        <f>+M32-M33</f>
        <v>74504454.950160235</v>
      </c>
      <c r="N34" s="68"/>
    </row>
    <row r="35" spans="4:17" ht="15" x14ac:dyDescent="0.25">
      <c r="E35" s="33"/>
      <c r="F35" s="59"/>
      <c r="G35" s="33"/>
      <c r="L35" s="56" t="s">
        <v>59</v>
      </c>
      <c r="M35" s="57">
        <f>+M32/M25-1</f>
        <v>-5.0454387956788693E-4</v>
      </c>
      <c r="N35" s="58">
        <f>+M32-M25</f>
        <v>-37618.062568336725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-7.2560416008116135E-4</v>
      </c>
      <c r="N36" s="26">
        <f>+M32-M25</f>
        <v>-37618.062568336725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92D07F7-5792-48B1-A782-7A4DA50EBF53}">
          <x14:formula1>
            <xm:f>'lista Lebacs'!$B$2:$B$10</xm:f>
          </x14:formula1>
          <xm:sqref>K11:K16 K8 D23:D28</xm:sqref>
        </x14:dataValidation>
        <x14:dataValidation type="list" allowBlank="1" showInputMessage="1" showErrorMessage="1" xr:uid="{2D71A5B9-4604-443E-B096-B2343EC150CE}">
          <x14:formula1>
            <xm:f>'[20180515 aux.xlsx]lista Lebacs'!#REF!</xm:f>
          </x14:formula1>
          <xm:sqref>K8:K9 D21:D22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2018-05-24T23:27:09Z</dcterms:modified>
</cp:coreProperties>
</file>