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L:\Rates &amp; FX\DPP\"/>
    </mc:Choice>
  </mc:AlternateContent>
  <xr:revisionPtr revIDLastSave="0" documentId="13_ncr:1_{86C66243-B328-4DF6-9D36-5B85761DDCFD}" xr6:coauthVersionLast="34" xr6:coauthVersionMax="34" xr10:uidLastSave="{00000000-0000-0000-0000-000000000000}"/>
  <bookViews>
    <workbookView xWindow="0" yWindow="0" windowWidth="21570" windowHeight="7980" xr2:uid="{40BD790F-F2A5-416E-94EF-DA005B63D32C}"/>
  </bookViews>
  <sheets>
    <sheet name="LEBAC OCTUBRE" sheetId="2" r:id="rId1"/>
    <sheet name="LEBAC SEPTIEMBRE" sheetId="1" r:id="rId2"/>
  </sheet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2" l="1"/>
  <c r="E5" i="2"/>
  <c r="E7" i="2"/>
  <c r="F12" i="2"/>
  <c r="L13" i="2"/>
  <c r="F13" i="2"/>
  <c r="M13" i="2"/>
  <c r="N13" i="2"/>
  <c r="O13" i="2"/>
  <c r="F15" i="2"/>
  <c r="F16" i="2"/>
  <c r="G16" i="2"/>
  <c r="I16" i="2"/>
  <c r="F14" i="2"/>
  <c r="G14" i="2"/>
  <c r="I14" i="2"/>
  <c r="J16" i="2"/>
  <c r="G15" i="2"/>
  <c r="I15" i="2"/>
  <c r="J15" i="2"/>
  <c r="H16" i="2"/>
  <c r="E16" i="2"/>
  <c r="H15" i="2"/>
  <c r="O14" i="2"/>
  <c r="G13" i="2"/>
  <c r="I13" i="2"/>
  <c r="J13" i="2"/>
  <c r="E22" i="2"/>
  <c r="J14" i="2"/>
  <c r="G33" i="2"/>
  <c r="H33" i="2"/>
  <c r="G34" i="2"/>
  <c r="H34" i="2"/>
  <c r="H35" i="2"/>
  <c r="H36" i="2"/>
  <c r="J41" i="2"/>
  <c r="E4" i="2"/>
  <c r="D39" i="2"/>
  <c r="F39" i="2"/>
  <c r="E24" i="2"/>
  <c r="E26" i="2"/>
  <c r="E25" i="2"/>
  <c r="F26" i="2"/>
  <c r="F24" i="2"/>
  <c r="F22" i="2"/>
  <c r="J40" i="2"/>
  <c r="J39" i="2"/>
  <c r="G39" i="2"/>
  <c r="E39" i="2"/>
  <c r="G35" i="2"/>
  <c r="H7" i="2"/>
  <c r="F23" i="2"/>
  <c r="F27" i="2"/>
  <c r="E23" i="2"/>
  <c r="E27" i="2"/>
  <c r="G27" i="2"/>
  <c r="G26" i="2"/>
  <c r="G22" i="2"/>
  <c r="H22" i="2"/>
  <c r="E12" i="2"/>
  <c r="E14" i="2"/>
  <c r="H14" i="2"/>
  <c r="H13" i="2"/>
  <c r="G12" i="2"/>
  <c r="H12" i="2"/>
  <c r="H8" i="2"/>
  <c r="K7" i="2"/>
  <c r="N6" i="2"/>
  <c r="M5" i="2"/>
  <c r="B3" i="1"/>
  <c r="D5" i="1"/>
  <c r="D7" i="1"/>
  <c r="D11" i="1"/>
  <c r="E11" i="1"/>
  <c r="E12" i="1"/>
  <c r="E13" i="1"/>
  <c r="F13" i="1"/>
  <c r="H13" i="1"/>
  <c r="D4" i="1"/>
  <c r="C36" i="1"/>
  <c r="E36" i="1"/>
  <c r="F36" i="1"/>
  <c r="F30" i="1"/>
  <c r="G30" i="1"/>
  <c r="F31" i="1"/>
  <c r="G31" i="1"/>
  <c r="G32" i="1"/>
  <c r="G33" i="1"/>
  <c r="D19" i="1"/>
  <c r="I38" i="1"/>
  <c r="D22" i="1"/>
  <c r="D21" i="1"/>
  <c r="D23" i="1"/>
  <c r="E23" i="1"/>
  <c r="E21" i="1"/>
  <c r="E19" i="1"/>
  <c r="I37" i="1"/>
  <c r="I36" i="1"/>
  <c r="D36" i="1"/>
  <c r="G7" i="1"/>
  <c r="D13" i="1"/>
  <c r="H14" i="1"/>
  <c r="K12" i="1"/>
  <c r="L12" i="1"/>
  <c r="M6" i="1"/>
  <c r="F19" i="1"/>
  <c r="G19" i="1"/>
  <c r="F12" i="1"/>
  <c r="H12" i="1"/>
  <c r="F23" i="1"/>
  <c r="F32" i="1"/>
  <c r="D20" i="1"/>
  <c r="D24" i="1"/>
  <c r="J7" i="1"/>
  <c r="G8" i="1"/>
  <c r="E20" i="1"/>
  <c r="L5" i="1"/>
  <c r="F11" i="1"/>
  <c r="G11" i="1"/>
  <c r="E24" i="1"/>
  <c r="F24" i="1"/>
  <c r="M12" i="1"/>
  <c r="N12" i="1"/>
  <c r="N13" i="1"/>
  <c r="G12"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Diego Posch Ponce</author>
  </authors>
  <commentList>
    <comment ref="D15" authorId="0" shapeId="0" xr:uid="{49D807B4-3B2E-4A86-AA2A-CC6667927929}">
      <text>
        <r>
          <rPr>
            <b/>
            <sz val="9"/>
            <color indexed="81"/>
            <rFont val="Tahoma"/>
            <charset val="1"/>
          </rPr>
          <t>Diego Posch Ponce:</t>
        </r>
        <r>
          <rPr>
            <sz val="9"/>
            <color indexed="81"/>
            <rFont val="Tahoma"/>
            <charset val="1"/>
          </rPr>
          <t xml:space="preserve">
esto es porque Galicia nos cobra 2 centavos por hacernos el fixing MAE.</t>
        </r>
      </text>
    </comment>
  </commentList>
</comments>
</file>

<file path=xl/sharedStrings.xml><?xml version="1.0" encoding="utf-8"?>
<sst xmlns="http://schemas.openxmlformats.org/spreadsheetml/2006/main" count="104" uniqueCount="53">
  <si>
    <t>Venc Lebac</t>
  </si>
  <si>
    <t>hoy</t>
  </si>
  <si>
    <t>CLP</t>
  </si>
  <si>
    <t>spot</t>
  </si>
  <si>
    <t>fwd</t>
  </si>
  <si>
    <t>Fechas</t>
  </si>
  <si>
    <t>ARS</t>
  </si>
  <si>
    <t>Lebac</t>
  </si>
  <si>
    <t>retorno ars</t>
  </si>
  <si>
    <t>retorno usd</t>
  </si>
  <si>
    <t>retorno clp</t>
  </si>
  <si>
    <t>inicio</t>
  </si>
  <si>
    <t>fin</t>
  </si>
  <si>
    <t>dias</t>
  </si>
  <si>
    <t>retorno periodo</t>
  </si>
  <si>
    <t>retorno anual</t>
  </si>
  <si>
    <t>anualizado +2dias</t>
  </si>
  <si>
    <t>ptos</t>
  </si>
  <si>
    <t>Simulacion Hedge</t>
  </si>
  <si>
    <t>USD venta lebac</t>
  </si>
  <si>
    <t>FX MAE venc Lebac</t>
  </si>
  <si>
    <t>ARS venc forward</t>
  </si>
  <si>
    <t>USD venc fwd</t>
  </si>
  <si>
    <t>Total USD</t>
  </si>
  <si>
    <t>Calce</t>
  </si>
  <si>
    <t>cotizacion</t>
  </si>
  <si>
    <t>Precio Lebac</t>
  </si>
  <si>
    <t>Entrada</t>
  </si>
  <si>
    <t>Salida</t>
  </si>
  <si>
    <t>Size [USD]</t>
  </si>
  <si>
    <t>USDCLP</t>
  </si>
  <si>
    <t>USDARS</t>
  </si>
  <si>
    <t>Patrimonio Macro 3</t>
  </si>
  <si>
    <t>Patrimonio Macro 1.5</t>
  </si>
  <si>
    <t>Patrimonios</t>
  </si>
  <si>
    <t>Size trade</t>
  </si>
  <si>
    <t>Trade CLP</t>
  </si>
  <si>
    <t>Trade USD</t>
  </si>
  <si>
    <t>T+1</t>
  </si>
  <si>
    <t>dia</t>
  </si>
  <si>
    <t>settle lebac</t>
  </si>
  <si>
    <t>fixing</t>
  </si>
  <si>
    <t>venc</t>
  </si>
  <si>
    <t>JPM</t>
  </si>
  <si>
    <t>GOLDMAN</t>
  </si>
  <si>
    <t>Galicia</t>
  </si>
  <si>
    <t>retorno USD descalzado</t>
  </si>
  <si>
    <t>retorno CLP descalzado</t>
  </si>
  <si>
    <t>descalce Galicia MAE</t>
  </si>
  <si>
    <t>spot T+1</t>
  </si>
  <si>
    <t>fwd Goldman Sachs</t>
  </si>
  <si>
    <t>dias al venc</t>
  </si>
  <si>
    <t>mensualizado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</si>
</sst>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quot;$&quot;* #,##0.00_-;_-&quot;$&quot;* &quot;-&quot;??_-;_-@_-"/>
    <numFmt numFmtId="43" formatCode="_-* #,##0.00_-;\-* #,##0.00_-;_-* &quot;-&quot;??_-;_-@_-"/>
    <numFmt numFmtId="164" formatCode="0.0%"/>
    <numFmt numFmtId="165" formatCode="0.000%"/>
    <numFmt numFmtId="166" formatCode="0.000"/>
    <numFmt numFmtId="167" formatCode="0.0000000000"/>
    <numFmt numFmtId="168" formatCode="0.00000000"/>
    <numFmt numFmtId="169" formatCode="_-&quot;$&quot;* #,##0_-;\-&quot;$&quot;* #,##0_-;_-&quot;$&quot;* &quot;-&quot;??_-;_-@_-"/>
    <numFmt numFmtId="170" formatCode="0.0000000000%"/>
    <numFmt numFmtId="171" formatCode="_-* #,##0_-;\-* #,##0_-;_-* &quot;-&quot;??_-;_-@_-"/>
    <numFmt numFmtId="172" formatCode="[$USD]\ #,##0;\-[$USD]\ #,##0"/>
    <numFmt numFmtId="173" formatCode="_-* #,##0.00000_-;\-* #,##0.00000_-;_-* &quot;-&quot;??_-;_-@_-"/>
    <numFmt numFmtId="178" formatCode="_-* #,##0.00000000_-;\-* #,##0.00000000_-;_-* &quot;-&quot;??_-;_-@_-"/>
    <numFmt numFmtId="187" formatCode="0.0000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2">
    <border>
      <left/>
      <right/>
      <top/>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83">
    <xf numFmtId="0" fontId="0" fillId="0" borderId="0" xfId="0"/>
    <xf numFmtId="0" fontId="0" fillId="0" borderId="0" xfId="0" applyAlignment="1">
      <alignment horizontal="center"/>
    </xf>
    <xf numFmtId="164" fontId="0" fillId="0" borderId="0" xfId="1" applyNumberFormat="1" applyFont="1" applyAlignment="1">
      <alignment horizontal="center"/>
    </xf>
    <xf numFmtId="10" fontId="0" fillId="0" borderId="0" xfId="1" applyNumberFormat="1" applyFont="1" applyAlignment="1">
      <alignment horizontal="center"/>
    </xf>
    <xf numFmtId="165" fontId="0" fillId="0" borderId="0" xfId="1" applyNumberFormat="1" applyFont="1" applyAlignment="1">
      <alignment horizontal="center"/>
    </xf>
    <xf numFmtId="166" fontId="0" fillId="0" borderId="0" xfId="0" applyNumberFormat="1" applyAlignment="1">
      <alignment horizontal="center"/>
    </xf>
    <xf numFmtId="0" fontId="0" fillId="0" borderId="0" xfId="0"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168" fontId="0" fillId="0" borderId="0" xfId="0" applyNumberFormat="1" applyAlignment="1">
      <alignment horizontal="center"/>
    </xf>
    <xf numFmtId="167" fontId="0" fillId="0" borderId="0" xfId="0" applyNumberFormat="1" applyAlignment="1">
      <alignment horizontal="center"/>
    </xf>
    <xf numFmtId="14" fontId="0" fillId="0" borderId="0" xfId="0" applyNumberFormat="1" applyAlignment="1">
      <alignment horizontal="center"/>
    </xf>
    <xf numFmtId="9" fontId="0" fillId="0" borderId="0" xfId="0" applyNumberFormat="1" applyAlignment="1">
      <alignment horizontal="center"/>
    </xf>
    <xf numFmtId="0" fontId="0" fillId="0" borderId="0" xfId="0" applyNumberFormat="1" applyAlignment="1">
      <alignment horizontal="center"/>
    </xf>
    <xf numFmtId="9" fontId="0" fillId="0" borderId="0" xfId="1" applyNumberFormat="1" applyFont="1" applyAlignment="1">
      <alignment horizontal="center"/>
    </xf>
    <xf numFmtId="10" fontId="0" fillId="0" borderId="0" xfId="0" applyNumberFormat="1" applyAlignment="1">
      <alignment horizontal="center"/>
    </xf>
    <xf numFmtId="0" fontId="0" fillId="2" borderId="0" xfId="0" applyFill="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0" fillId="0" borderId="2" xfId="0" applyBorder="1" applyAlignment="1">
      <alignment horizontal="center"/>
    </xf>
    <xf numFmtId="169" fontId="0" fillId="0" borderId="0" xfId="2" applyNumberFormat="1" applyFont="1" applyAlignment="1">
      <alignment horizontal="center"/>
    </xf>
    <xf numFmtId="0" fontId="0" fillId="0" borderId="0" xfId="1" applyNumberFormat="1" applyFont="1" applyAlignment="1">
      <alignment horizontal="center"/>
    </xf>
    <xf numFmtId="1" fontId="0" fillId="0" borderId="0" xfId="0" applyNumberFormat="1" applyAlignment="1">
      <alignment horizontal="center"/>
    </xf>
    <xf numFmtId="170" fontId="0" fillId="0" borderId="0" xfId="0" applyNumberFormat="1" applyAlignment="1">
      <alignment horizontal="center"/>
    </xf>
    <xf numFmtId="169" fontId="0" fillId="0" borderId="0" xfId="0" applyNumberFormat="1" applyAlignment="1">
      <alignment horizontal="center"/>
    </xf>
    <xf numFmtId="0" fontId="0" fillId="0" borderId="6" xfId="0" applyBorder="1" applyAlignment="1">
      <alignment horizontal="center"/>
    </xf>
    <xf numFmtId="169" fontId="0" fillId="0" borderId="0" xfId="2" applyNumberFormat="1" applyFont="1" applyBorder="1" applyAlignment="1">
      <alignment horizontal="center"/>
    </xf>
    <xf numFmtId="171" fontId="0" fillId="0" borderId="0" xfId="3" applyNumberFormat="1"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169" fontId="0" fillId="0" borderId="8" xfId="2" applyNumberFormat="1" applyFont="1" applyBorder="1" applyAlignment="1">
      <alignment horizontal="center"/>
    </xf>
    <xf numFmtId="171" fontId="0" fillId="0" borderId="7" xfId="3" applyNumberFormat="1" applyFont="1" applyBorder="1" applyAlignment="1">
      <alignment horizontal="center"/>
    </xf>
    <xf numFmtId="171" fontId="0" fillId="0" borderId="8" xfId="3" applyNumberFormat="1" applyFont="1" applyBorder="1" applyAlignment="1">
      <alignment horizontal="center"/>
    </xf>
    <xf numFmtId="171" fontId="0" fillId="0" borderId="3" xfId="3" applyNumberFormat="1" applyFont="1" applyBorder="1" applyAlignment="1">
      <alignment horizontal="center"/>
    </xf>
    <xf numFmtId="43" fontId="0" fillId="0" borderId="0" xfId="3" applyNumberFormat="1" applyFont="1" applyBorder="1" applyAlignment="1">
      <alignment horizontal="center"/>
    </xf>
    <xf numFmtId="43" fontId="0" fillId="0" borderId="7" xfId="3" applyNumberFormat="1" applyFont="1" applyBorder="1" applyAlignment="1">
      <alignment horizontal="center"/>
    </xf>
    <xf numFmtId="0" fontId="0" fillId="3" borderId="0" xfId="0" applyFill="1"/>
    <xf numFmtId="0" fontId="0" fillId="3" borderId="4" xfId="0" applyFill="1" applyBorder="1" applyAlignment="1">
      <alignment horizontal="center"/>
    </xf>
    <xf numFmtId="0" fontId="0" fillId="3" borderId="5"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14" fontId="0" fillId="3" borderId="4" xfId="0" applyNumberFormat="1" applyFill="1" applyBorder="1" applyAlignment="1">
      <alignment horizontal="center"/>
    </xf>
    <xf numFmtId="171" fontId="0" fillId="3" borderId="0" xfId="3" applyNumberFormat="1" applyFont="1" applyFill="1" applyBorder="1" applyAlignment="1">
      <alignment horizontal="center"/>
    </xf>
    <xf numFmtId="171" fontId="0" fillId="3" borderId="7" xfId="3" applyNumberFormat="1" applyFont="1" applyFill="1" applyBorder="1" applyAlignment="1">
      <alignment horizontal="center"/>
    </xf>
    <xf numFmtId="0" fontId="0" fillId="3" borderId="6" xfId="0" applyFill="1" applyBorder="1" applyAlignment="1">
      <alignment horizontal="center"/>
    </xf>
    <xf numFmtId="172" fontId="0" fillId="0" borderId="0" xfId="0" applyNumberFormat="1" applyAlignment="1">
      <alignment horizontal="center"/>
    </xf>
    <xf numFmtId="172" fontId="0" fillId="0" borderId="7" xfId="2" applyNumberFormat="1" applyFont="1" applyBorder="1" applyAlignment="1">
      <alignment horizontal="center"/>
    </xf>
    <xf numFmtId="172" fontId="0" fillId="0" borderId="3" xfId="2" applyNumberFormat="1" applyFont="1" applyBorder="1" applyAlignment="1">
      <alignment horizontal="center"/>
    </xf>
    <xf numFmtId="9" fontId="0" fillId="3" borderId="0" xfId="0" applyNumberFormat="1" applyFill="1" applyBorder="1" applyAlignment="1">
      <alignment horizontal="center"/>
    </xf>
    <xf numFmtId="9" fontId="0" fillId="3" borderId="8" xfId="0" applyNumberFormat="1" applyFill="1" applyBorder="1" applyAlignment="1">
      <alignment horizontal="center"/>
    </xf>
    <xf numFmtId="43" fontId="0" fillId="0" borderId="0" xfId="3" applyFont="1" applyAlignment="1">
      <alignment horizontal="center"/>
    </xf>
    <xf numFmtId="10" fontId="0" fillId="3" borderId="5" xfId="0" applyNumberFormat="1" applyFill="1" applyBorder="1" applyAlignment="1">
      <alignment horizontal="center"/>
    </xf>
    <xf numFmtId="0" fontId="2" fillId="0" borderId="0" xfId="0" applyFont="1" applyBorder="1" applyAlignment="1">
      <alignment horizontal="center"/>
    </xf>
    <xf numFmtId="173" fontId="0" fillId="0" borderId="0" xfId="3" applyNumberFormat="1" applyFont="1" applyBorder="1" applyAlignment="1">
      <alignment horizontal="center"/>
    </xf>
    <xf numFmtId="171" fontId="0" fillId="0" borderId="0" xfId="3" applyNumberFormat="1" applyFont="1" applyAlignment="1">
      <alignment horizontal="center"/>
    </xf>
    <xf numFmtId="0" fontId="0" fillId="0" borderId="0" xfId="0" applyFont="1" applyBorder="1" applyAlignment="1">
      <alignment horizontal="center"/>
    </xf>
    <xf numFmtId="14" fontId="0" fillId="0" borderId="0" xfId="0" applyNumberFormat="1" applyFont="1" applyBorder="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1"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 fillId="0" borderId="0" xfId="0" applyFont="1" applyAlignment="1">
      <alignment horizontal="center"/>
    </xf>
    <xf numFmtId="0" fontId="0" fillId="0" borderId="1" xfId="0" applyBorder="1" applyAlignment="1">
      <alignment horizontal="center"/>
    </xf>
    <xf numFmtId="0" fontId="0" fillId="0" borderId="0" xfId="0" applyNumberFormat="1"/>
    <xf numFmtId="178" fontId="0" fillId="0" borderId="0" xfId="3" applyNumberFormat="1" applyFont="1" applyBorder="1" applyAlignment="1">
      <alignment horizontal="center"/>
    </xf>
    <xf numFmtId="10" fontId="0" fillId="0" borderId="1" xfId="1" applyNumberFormat="1" applyFont="1" applyBorder="1" applyAlignment="1">
      <alignment horizontal="center"/>
    </xf>
    <xf numFmtId="164" fontId="0" fillId="0" borderId="1" xfId="1" applyNumberFormat="1" applyFont="1" applyBorder="1" applyAlignment="1">
      <alignment horizontal="center"/>
    </xf>
    <xf numFmtId="0" fontId="0" fillId="0" borderId="0" xfId="0" applyNumberFormat="1" applyBorder="1" applyAlignment="1">
      <alignment horizontal="center"/>
    </xf>
    <xf numFmtId="0" fontId="0" fillId="0" borderId="0" xfId="0" applyFill="1"/>
    <xf numFmtId="0" fontId="0" fillId="0" borderId="0" xfId="0" applyNumberFormat="1" applyFill="1"/>
    <xf numFmtId="2" fontId="0" fillId="0" borderId="1" xfId="0" applyNumberFormat="1" applyBorder="1" applyAlignment="1">
      <alignment horizontal="center"/>
    </xf>
    <xf numFmtId="187"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left"/>
    </xf>
    <xf numFmtId="10" fontId="0" fillId="0" borderId="0" xfId="1" applyNumberFormat="1" applyFont="1" applyBorder="1" applyAlignment="1">
      <alignment horizontal="left"/>
    </xf>
  </cellXfs>
  <cellStyles count="5">
    <cellStyle name="Millares" xfId="3" builtinId="3"/>
    <cellStyle name="Millares 6" xfId="4" xr:uid="{1D2B6B41-BC70-4565-80F5-7D57838EF427}"/>
    <cellStyle name="Moneda" xfId="2" builtinId="4"/>
    <cellStyle name="Normal" xfId="0" builtinId="0"/>
    <cellStyle name="Porcentaje" xfId="1"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514349</xdr:colOff>
      <xdr:row>21</xdr:row>
      <xdr:rowOff>142875</xdr:rowOff>
    </xdr:from>
    <xdr:to>
      <xdr:col>14</xdr:col>
      <xdr:colOff>742949</xdr:colOff>
      <xdr:row>34</xdr:row>
      <xdr:rowOff>19050</xdr:rowOff>
    </xdr:to>
    <xdr:sp macro="" textlink="">
      <xdr:nvSpPr>
        <xdr:cNvPr id="2" name="CuadroTexto 1">
          <a:extLst>
            <a:ext uri="{FF2B5EF4-FFF2-40B4-BE49-F238E27FC236}">
              <a16:creationId xmlns:a16="http://schemas.microsoft.com/office/drawing/2014/main" id="{DADA44A2-3A50-4374-86AB-64730B203F72}"/>
            </a:ext>
          </a:extLst>
        </xdr:cNvPr>
        <xdr:cNvSpPr txBox="1"/>
      </xdr:nvSpPr>
      <xdr:spPr>
        <a:xfrm>
          <a:off x="9686924" y="4191000"/>
          <a:ext cx="7648575"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a:p>
          <a:endParaRPr lang="es-MX" sz="1100"/>
        </a:p>
        <a:p>
          <a:r>
            <a:rPr lang="es-MX" sz="1100"/>
            <a:t>- Forwards</a:t>
          </a:r>
          <a:r>
            <a:rPr lang="es-MX" sz="1100" baseline="0"/>
            <a:t> USDARS: hace settle en la fecha de vencimiento con Fixing de 2 días hábiles antes. Por lo que se debe tomar el forward para que haga fixing el mismo día que vence la lebac, osea vencimiento del forward debe ser el venc de la lebac + 2. La pata larga del forward tiene que ser por más doláres que el spot de la pata corta.</a:t>
          </a:r>
        </a:p>
        <a:p>
          <a:endParaRPr lang="es-MX" sz="1100" baseline="0"/>
        </a:p>
        <a:p>
          <a:r>
            <a:rPr lang="es-MX" sz="1100" baseline="0"/>
            <a:t>- Forward USDCLP:  tiene que tener vencimiento el mismo día que el forward USDARS. La pata larga tiene que ser por más dólares que la pata corta. Es el mismo dia que el fwd USDARS porque es fisico.</a:t>
          </a:r>
        </a:p>
        <a:p>
          <a:endParaRPr lang="es-MX" sz="1100" baseline="0"/>
        </a:p>
        <a:p>
          <a:r>
            <a:rPr lang="es-MX" sz="1100" baseline="0"/>
            <a:t>- Hay que pedir a Galicia que nos haga el fixing MAE el día que vence la LEBAC</a:t>
          </a:r>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238124</xdr:colOff>
      <xdr:row>15</xdr:row>
      <xdr:rowOff>171450</xdr:rowOff>
    </xdr:from>
    <xdr:to>
      <xdr:col>13</xdr:col>
      <xdr:colOff>466724</xdr:colOff>
      <xdr:row>28</xdr:row>
      <xdr:rowOff>47625</xdr:rowOff>
    </xdr:to>
    <xdr:sp macro="" textlink="">
      <xdr:nvSpPr>
        <xdr:cNvPr id="2" name="CuadroTexto 1">
          <a:extLst>
            <a:ext uri="{FF2B5EF4-FFF2-40B4-BE49-F238E27FC236}">
              <a16:creationId xmlns:a16="http://schemas.microsoft.com/office/drawing/2014/main" id="{EF824C53-B05B-4AD7-AF5A-7617E01183F9}"/>
            </a:ext>
          </a:extLst>
        </xdr:cNvPr>
        <xdr:cNvSpPr txBox="1"/>
      </xdr:nvSpPr>
      <xdr:spPr>
        <a:xfrm>
          <a:off x="8572499" y="2876550"/>
          <a:ext cx="5476875"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a:p>
          <a:endParaRPr lang="es-MX" sz="1100"/>
        </a:p>
        <a:p>
          <a:r>
            <a:rPr lang="es-MX" sz="1100"/>
            <a:t>- Forwards</a:t>
          </a:r>
          <a:r>
            <a:rPr lang="es-MX" sz="1100" baseline="0"/>
            <a:t> USDARS: hace settle en la fecha de vencimiento con Fixing de 2 días hábiles antes. Por lo que se debe tomar el forward para que haga fixing el mismo día que vence la lebac, osea vencimiento del forward debe ser el venc de la lebac + 2. La pata larga del forward tiene que ser por más doláres que el spot de la pata corta.</a:t>
          </a:r>
        </a:p>
        <a:p>
          <a:endParaRPr lang="es-MX" sz="1100" baseline="0"/>
        </a:p>
        <a:p>
          <a:r>
            <a:rPr lang="es-MX" sz="1100" baseline="0"/>
            <a:t>- Forward USDCLP:  tiene que tener vencimiento el mismo día que el forward USDARS. La pata larga tiene que ser por más dólares que la pata corta. Es el mismo dia que el fwd USDARS porque es fisico.</a:t>
          </a:r>
        </a:p>
        <a:p>
          <a:endParaRPr lang="es-MX" sz="1100" baseline="0"/>
        </a:p>
        <a:p>
          <a:r>
            <a:rPr lang="es-MX" sz="1100" baseline="0"/>
            <a:t>- Hay que pedir a Galicia que nos haga el fixing MAE el día que vence la LEBAC</a:t>
          </a: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25973-63C5-41FE-A35A-359540E99975}">
  <dimension ref="A2:S52"/>
  <sheetViews>
    <sheetView tabSelected="1" workbookViewId="0">
      <selection activeCell="I15" sqref="I15"/>
    </sheetView>
  </sheetViews>
  <sheetFormatPr baseColWidth="10" defaultRowHeight="15" x14ac:dyDescent="0.25"/>
  <cols>
    <col min="3" max="3" width="11.42578125" style="76"/>
    <col min="4" max="4" width="22.28515625" style="1" bestFit="1" customWidth="1"/>
    <col min="5" max="5" width="16.7109375" style="1" bestFit="1" customWidth="1"/>
    <col min="6" max="6" width="14.140625" style="1" bestFit="1" customWidth="1"/>
    <col min="7" max="7" width="17.85546875" style="1" bestFit="1" customWidth="1"/>
    <col min="8" max="8" width="17.28515625" style="1" bestFit="1" customWidth="1"/>
    <col min="9" max="9" width="15.42578125" style="1" customWidth="1"/>
    <col min="10" max="10" width="26.7109375" style="1" customWidth="1"/>
    <col min="11" max="11" width="32.140625" style="1" customWidth="1"/>
    <col min="12" max="12" width="19.5703125" style="1" customWidth="1"/>
    <col min="13" max="13" width="16.5703125" style="1" bestFit="1" customWidth="1"/>
    <col min="14" max="14" width="16.28515625" style="1" bestFit="1" customWidth="1"/>
    <col min="15" max="15" width="15.28515625" style="1" bestFit="1" customWidth="1"/>
    <col min="16" max="18" width="11.42578125" style="1"/>
  </cols>
  <sheetData>
    <row r="2" spans="1:19" x14ac:dyDescent="0.25">
      <c r="A2" s="37" t="s">
        <v>25</v>
      </c>
      <c r="B2" s="37" t="s">
        <v>38</v>
      </c>
    </row>
    <row r="3" spans="1:19" x14ac:dyDescent="0.25">
      <c r="A3" t="s">
        <v>39</v>
      </c>
      <c r="B3">
        <f ca="1">+WEEKDAY(TODAY())</f>
        <v>6</v>
      </c>
      <c r="D3" s="68" t="s">
        <v>5</v>
      </c>
      <c r="E3" s="68"/>
      <c r="F3" s="59"/>
      <c r="G3" s="67" t="s">
        <v>2</v>
      </c>
      <c r="H3" s="67"/>
      <c r="I3" s="59"/>
      <c r="J3" s="67" t="s">
        <v>6</v>
      </c>
      <c r="K3" s="67"/>
      <c r="L3" s="59"/>
      <c r="M3" s="67" t="s">
        <v>7</v>
      </c>
      <c r="N3" s="67"/>
    </row>
    <row r="4" spans="1:19" ht="15.75" thickBot="1" x14ac:dyDescent="0.3">
      <c r="D4" s="56" t="s">
        <v>1</v>
      </c>
      <c r="E4" s="57">
        <f ca="1">+TODAY()</f>
        <v>43315</v>
      </c>
      <c r="F4" s="59"/>
      <c r="G4" s="63"/>
      <c r="H4" s="63"/>
      <c r="I4" s="59"/>
      <c r="J4" s="63"/>
      <c r="K4" s="63"/>
      <c r="L4" s="59"/>
      <c r="M4" s="63"/>
      <c r="N4" s="63"/>
    </row>
    <row r="5" spans="1:19" ht="15.75" thickBot="1" x14ac:dyDescent="0.3">
      <c r="D5" s="1" t="s">
        <v>40</v>
      </c>
      <c r="E5" s="11">
        <f ca="1">+IF(B2="T+1",IF(B3=6,TODAY()+3,TODAY()+1),TODAY())</f>
        <v>43318</v>
      </c>
      <c r="G5" s="38" t="s">
        <v>3</v>
      </c>
      <c r="H5" s="39">
        <v>638</v>
      </c>
      <c r="J5" s="38" t="s">
        <v>49</v>
      </c>
      <c r="K5" s="39">
        <v>27.35</v>
      </c>
      <c r="M5" s="42">
        <f>+E6</f>
        <v>43390</v>
      </c>
      <c r="N5" s="52">
        <v>0.4365</v>
      </c>
    </row>
    <row r="6" spans="1:19" ht="15.75" thickBot="1" x14ac:dyDescent="0.3">
      <c r="D6" s="1" t="s">
        <v>0</v>
      </c>
      <c r="E6" s="11">
        <v>43390</v>
      </c>
      <c r="F6" s="51"/>
      <c r="G6" s="38" t="s">
        <v>17</v>
      </c>
      <c r="H6" s="39">
        <v>-0.13</v>
      </c>
      <c r="J6" s="38" t="s">
        <v>50</v>
      </c>
      <c r="K6" s="39">
        <v>29.45</v>
      </c>
      <c r="N6" s="3">
        <f ca="1">+N5*E7/365</f>
        <v>8.6104109589041092E-2</v>
      </c>
      <c r="R6" s="3"/>
    </row>
    <row r="7" spans="1:19" ht="15.75" thickBot="1" x14ac:dyDescent="0.3">
      <c r="D7" s="6" t="s">
        <v>51</v>
      </c>
      <c r="E7" s="75">
        <f ca="1">+E6-E5</f>
        <v>72</v>
      </c>
      <c r="F7" s="51"/>
      <c r="G7" s="40" t="s">
        <v>4</v>
      </c>
      <c r="H7" s="41">
        <f>+H5+H6</f>
        <v>637.87</v>
      </c>
      <c r="K7" s="3">
        <f>+K6/K5-1</f>
        <v>7.6782449725776969E-2</v>
      </c>
      <c r="N7" s="3"/>
      <c r="R7" s="3"/>
    </row>
    <row r="8" spans="1:19" x14ac:dyDescent="0.25">
      <c r="B8" s="71"/>
      <c r="C8" s="77"/>
      <c r="D8" s="60" t="s">
        <v>48</v>
      </c>
      <c r="E8" s="60">
        <v>0.02</v>
      </c>
      <c r="H8" s="3">
        <f>+H7/H5-1</f>
        <v>-2.0376175548586506E-4</v>
      </c>
      <c r="J8" s="6"/>
      <c r="N8" s="15"/>
    </row>
    <row r="9" spans="1:19" x14ac:dyDescent="0.25">
      <c r="E9" s="13"/>
      <c r="K9" s="15"/>
      <c r="L9" s="15"/>
      <c r="M9" s="15"/>
      <c r="P9" s="21"/>
      <c r="Q9" s="4"/>
    </row>
    <row r="10" spans="1:19" x14ac:dyDescent="0.25">
      <c r="E10" s="13"/>
      <c r="K10" s="15"/>
      <c r="Q10" s="51"/>
    </row>
    <row r="11" spans="1:19" x14ac:dyDescent="0.25">
      <c r="D11" s="64"/>
      <c r="E11" s="64" t="s">
        <v>11</v>
      </c>
      <c r="F11" s="64" t="s">
        <v>12</v>
      </c>
      <c r="G11" s="64" t="s">
        <v>14</v>
      </c>
      <c r="H11" s="64" t="s">
        <v>15</v>
      </c>
      <c r="I11" s="64" t="s">
        <v>16</v>
      </c>
      <c r="J11" s="80" t="s">
        <v>52</v>
      </c>
      <c r="K11" s="68" t="s">
        <v>18</v>
      </c>
      <c r="L11" s="68"/>
      <c r="M11" s="68"/>
      <c r="N11" s="68"/>
      <c r="O11" s="68"/>
      <c r="S11" s="1"/>
    </row>
    <row r="12" spans="1:19" x14ac:dyDescent="0.25">
      <c r="D12" s="59" t="s">
        <v>8</v>
      </c>
      <c r="E12" s="5">
        <f>+K5</f>
        <v>27.35</v>
      </c>
      <c r="F12" s="5">
        <f ca="1">+E12*(1+N5*E7/365)</f>
        <v>29.704947397260277</v>
      </c>
      <c r="G12" s="3">
        <f ca="1">+F12/E12-1</f>
        <v>8.6104109589041133E-2</v>
      </c>
      <c r="H12" s="14">
        <f ca="1">+G12*365/$E$7</f>
        <v>0.43650000000000022</v>
      </c>
      <c r="J12" s="80"/>
      <c r="K12" s="1" t="s">
        <v>20</v>
      </c>
      <c r="L12" s="5" t="s">
        <v>19</v>
      </c>
      <c r="M12" s="9" t="s">
        <v>21</v>
      </c>
      <c r="N12" s="1" t="s">
        <v>22</v>
      </c>
      <c r="O12" s="1" t="s">
        <v>23</v>
      </c>
      <c r="S12" s="1"/>
    </row>
    <row r="13" spans="1:19" x14ac:dyDescent="0.25">
      <c r="D13" s="59" t="s">
        <v>9</v>
      </c>
      <c r="E13" s="1">
        <v>1</v>
      </c>
      <c r="F13" s="79">
        <f ca="1">+F12/K6</f>
        <v>1.0086569574621487</v>
      </c>
      <c r="G13" s="3">
        <f t="shared" ref="G13:G16" ca="1" si="0">+F13/E13-1</f>
        <v>8.6569574621486733E-3</v>
      </c>
      <c r="H13" s="2">
        <f ca="1">+G13*365/$E$7</f>
        <v>4.3885964912281472E-2</v>
      </c>
      <c r="I13" s="3">
        <f ca="1">+G13*360/($E$7+2)</f>
        <v>4.2114928194236789E-2</v>
      </c>
      <c r="J13" s="81">
        <f ca="1">+I13/12</f>
        <v>3.5095773495197324E-3</v>
      </c>
      <c r="K13" s="1">
        <v>30</v>
      </c>
      <c r="L13" s="1">
        <f ca="1">+F12/(K13+0.002)</f>
        <v>0.99009890664823275</v>
      </c>
      <c r="M13" s="1">
        <f ca="1">+(K13-K6)*F13</f>
        <v>0.55476132660418254</v>
      </c>
      <c r="N13" s="1">
        <f ca="1">+M13/K13</f>
        <v>1.8492044220139416E-2</v>
      </c>
      <c r="O13" s="1">
        <f ca="1">+L13+N13</f>
        <v>1.0085909508683721</v>
      </c>
      <c r="S13" s="1"/>
    </row>
    <row r="14" spans="1:19" x14ac:dyDescent="0.25">
      <c r="D14" s="64" t="s">
        <v>10</v>
      </c>
      <c r="E14" s="60">
        <f>+H5</f>
        <v>638</v>
      </c>
      <c r="F14" s="78">
        <f ca="1">+F13*H7</f>
        <v>643.39201345638082</v>
      </c>
      <c r="G14" s="73">
        <f t="shared" ca="1" si="0"/>
        <v>8.4514317498132208E-3</v>
      </c>
      <c r="H14" s="74">
        <f ca="1">+G14*365/$E$7</f>
        <v>4.2844063731692021E-2</v>
      </c>
      <c r="I14" s="73">
        <f ca="1">+G14*360/($E$7+2)</f>
        <v>4.1115073377469724E-2</v>
      </c>
      <c r="J14" s="82">
        <f ca="1">+I14/12</f>
        <v>3.4262561147891438E-3</v>
      </c>
      <c r="N14" s="16" t="s">
        <v>24</v>
      </c>
      <c r="O14" s="16">
        <f ca="1">+O13-F13</f>
        <v>-6.6006593776535283E-5</v>
      </c>
      <c r="S14" s="1"/>
    </row>
    <row r="15" spans="1:19" x14ac:dyDescent="0.25">
      <c r="D15" s="59" t="s">
        <v>46</v>
      </c>
      <c r="E15" s="1">
        <v>1</v>
      </c>
      <c r="F15" s="79">
        <f ca="1">+O13</f>
        <v>1.0085909508683721</v>
      </c>
      <c r="G15" s="3">
        <f ca="1">+F15/E15-1</f>
        <v>8.5909508683721381E-3</v>
      </c>
      <c r="H15" s="2">
        <f ca="1">+G15*365/$E$7</f>
        <v>4.3551348152164313E-2</v>
      </c>
      <c r="I15" s="3">
        <f ca="1">+G15*360/($E$7+2)</f>
        <v>4.1793815035323915E-2</v>
      </c>
      <c r="J15" s="81">
        <f ca="1">+I15/12</f>
        <v>3.4828179196103263E-3</v>
      </c>
      <c r="S15" s="1"/>
    </row>
    <row r="16" spans="1:19" x14ac:dyDescent="0.25">
      <c r="D16" s="64" t="s">
        <v>47</v>
      </c>
      <c r="E16" s="60">
        <f>+H5</f>
        <v>638</v>
      </c>
      <c r="F16" s="78">
        <f ca="1">+F15*H7</f>
        <v>643.34990983040859</v>
      </c>
      <c r="G16" s="73">
        <f t="shared" ca="1" si="0"/>
        <v>8.3854386056561037E-3</v>
      </c>
      <c r="H16" s="74">
        <f ca="1">+G16*365/$E$7</f>
        <v>4.2509515153673308E-2</v>
      </c>
      <c r="I16" s="73">
        <f ca="1">+G16*360/($E$7+2)</f>
        <v>4.0794025649137804E-2</v>
      </c>
      <c r="J16" s="82">
        <f ca="1">+I16/12</f>
        <v>3.3995021374281504E-3</v>
      </c>
      <c r="S16" s="1"/>
    </row>
    <row r="17" spans="4:19" x14ac:dyDescent="0.25">
      <c r="L17" s="4"/>
      <c r="O17" s="10"/>
      <c r="S17" s="1"/>
    </row>
    <row r="18" spans="4:19" x14ac:dyDescent="0.25">
      <c r="E18" s="11"/>
      <c r="I18" s="3"/>
      <c r="O18" s="22"/>
    </row>
    <row r="19" spans="4:19" x14ac:dyDescent="0.25">
      <c r="E19" s="13"/>
      <c r="I19" s="4"/>
    </row>
    <row r="20" spans="4:19" ht="15.75" thickBot="1" x14ac:dyDescent="0.3">
      <c r="M20" s="15"/>
    </row>
    <row r="21" spans="4:19" x14ac:dyDescent="0.25">
      <c r="D21" s="61"/>
      <c r="E21" s="62" t="s">
        <v>27</v>
      </c>
      <c r="F21" s="30" t="s">
        <v>28</v>
      </c>
      <c r="H21" s="3"/>
    </row>
    <row r="22" spans="4:19" x14ac:dyDescent="0.25">
      <c r="D22" s="45" t="s">
        <v>29</v>
      </c>
      <c r="E22" s="43">
        <f>+H36</f>
        <v>5100000</v>
      </c>
      <c r="F22" s="44">
        <f ca="1">+ROUND(F26/F24,0)</f>
        <v>5144150</v>
      </c>
      <c r="G22" s="3">
        <f ca="1">+F22/E22-1</f>
        <v>8.6568627450980262E-3</v>
      </c>
      <c r="H22" s="3">
        <f ca="1">+G22*360/(E7+2)</f>
        <v>4.2114467408584995E-2</v>
      </c>
      <c r="I22" s="3"/>
      <c r="O22" s="3"/>
      <c r="P22" s="3"/>
      <c r="R22" s="11"/>
    </row>
    <row r="23" spans="4:19" x14ac:dyDescent="0.25">
      <c r="D23" s="25" t="s">
        <v>30</v>
      </c>
      <c r="E23" s="35">
        <f>+H5</f>
        <v>638</v>
      </c>
      <c r="F23" s="36">
        <f>+H7</f>
        <v>637.87</v>
      </c>
      <c r="M23" s="22"/>
      <c r="N23" s="22"/>
      <c r="R23" s="11"/>
    </row>
    <row r="24" spans="4:19" x14ac:dyDescent="0.25">
      <c r="D24" s="25" t="s">
        <v>31</v>
      </c>
      <c r="E24" s="35">
        <f>+K5</f>
        <v>27.35</v>
      </c>
      <c r="F24" s="36">
        <f>+K6</f>
        <v>29.45</v>
      </c>
      <c r="I24" s="23"/>
      <c r="N24" s="21"/>
    </row>
    <row r="25" spans="4:19" x14ac:dyDescent="0.25">
      <c r="D25" s="25" t="s">
        <v>26</v>
      </c>
      <c r="E25" s="72">
        <f ca="1">1/(1+N5*E7/365)</f>
        <v>0.92072204788763656</v>
      </c>
      <c r="F25" s="32">
        <v>1</v>
      </c>
      <c r="L25" s="4"/>
      <c r="O25" s="12"/>
    </row>
    <row r="26" spans="4:19" x14ac:dyDescent="0.25">
      <c r="D26" s="25" t="s">
        <v>6</v>
      </c>
      <c r="E26" s="27">
        <f>+E22*E24</f>
        <v>139485000</v>
      </c>
      <c r="F26" s="32">
        <f ca="1">+E26/E25</f>
        <v>151495231.7260274</v>
      </c>
      <c r="G26" s="3">
        <f ca="1">+F26/E26-1</f>
        <v>8.6104109589041133E-2</v>
      </c>
      <c r="H26" s="55"/>
      <c r="I26" s="22"/>
      <c r="O26" s="3"/>
    </row>
    <row r="27" spans="4:19" ht="15.75" thickBot="1" x14ac:dyDescent="0.3">
      <c r="D27" s="19" t="s">
        <v>2</v>
      </c>
      <c r="E27" s="33">
        <f>+E22*E23</f>
        <v>3253800000</v>
      </c>
      <c r="F27" s="34">
        <f ca="1">+F22*F23</f>
        <v>3281298960.5</v>
      </c>
      <c r="G27" s="3">
        <f ca="1">+F27/E27-1</f>
        <v>8.4513370520622466E-3</v>
      </c>
    </row>
    <row r="31" spans="4:19" ht="15.75" thickBot="1" x14ac:dyDescent="0.3">
      <c r="P31" s="12"/>
    </row>
    <row r="32" spans="4:19" x14ac:dyDescent="0.25">
      <c r="D32" s="65" t="s">
        <v>34</v>
      </c>
      <c r="E32" s="66"/>
      <c r="F32" s="62" t="s">
        <v>35</v>
      </c>
      <c r="G32" s="62" t="s">
        <v>36</v>
      </c>
      <c r="H32" s="30" t="s">
        <v>37</v>
      </c>
    </row>
    <row r="33" spans="1:19" x14ac:dyDescent="0.25">
      <c r="D33" s="25" t="s">
        <v>32</v>
      </c>
      <c r="E33" s="26">
        <v>13491396047</v>
      </c>
      <c r="F33" s="49">
        <v>0.15</v>
      </c>
      <c r="G33" s="26">
        <f>+E33*F33</f>
        <v>2023709407.05</v>
      </c>
      <c r="H33" s="47">
        <f>+G33/$H$5</f>
        <v>3171958.3182601882</v>
      </c>
      <c r="O33" s="12"/>
      <c r="P33" s="3"/>
    </row>
    <row r="34" spans="1:19" ht="15.75" thickBot="1" x14ac:dyDescent="0.3">
      <c r="D34" s="19" t="s">
        <v>33</v>
      </c>
      <c r="E34" s="31">
        <v>8037161600</v>
      </c>
      <c r="F34" s="50">
        <v>0.15</v>
      </c>
      <c r="G34" s="31">
        <f>+F34*E34</f>
        <v>1205574240</v>
      </c>
      <c r="H34" s="48">
        <f>+G34/$H$5</f>
        <v>1889614.7962382445</v>
      </c>
      <c r="P34" s="3"/>
    </row>
    <row r="35" spans="1:19" x14ac:dyDescent="0.25">
      <c r="G35" s="24">
        <f>+SUM(G33:G34)</f>
        <v>3229283647.0500002</v>
      </c>
      <c r="H35" s="46">
        <f>+SUM(H33:H34)</f>
        <v>5061573.1144984327</v>
      </c>
      <c r="L35" s="12"/>
    </row>
    <row r="36" spans="1:19" s="1" customFormat="1" x14ac:dyDescent="0.25">
      <c r="A36"/>
      <c r="B36"/>
      <c r="C36" s="76"/>
      <c r="H36" s="46">
        <f>+MROUND(H35,100000)</f>
        <v>5100000</v>
      </c>
      <c r="I36" s="20"/>
      <c r="M36" s="21"/>
      <c r="N36" s="15"/>
      <c r="O36" s="12"/>
      <c r="S36"/>
    </row>
    <row r="37" spans="1:19" s="1" customFormat="1" x14ac:dyDescent="0.25">
      <c r="A37"/>
      <c r="B37"/>
      <c r="C37" s="76"/>
      <c r="G37" s="12"/>
      <c r="J37" s="1">
        <v>3.5</v>
      </c>
      <c r="N37" s="3"/>
      <c r="O37" s="3"/>
      <c r="S37"/>
    </row>
    <row r="38" spans="1:19" s="1" customFormat="1" x14ac:dyDescent="0.25">
      <c r="A38"/>
      <c r="B38"/>
      <c r="C38" s="76"/>
      <c r="D38" s="70" t="s">
        <v>41</v>
      </c>
      <c r="E38" s="70"/>
      <c r="F38" s="70" t="s">
        <v>42</v>
      </c>
      <c r="G38" s="70"/>
      <c r="S38"/>
    </row>
    <row r="39" spans="1:19" s="1" customFormat="1" x14ac:dyDescent="0.25">
      <c r="A39"/>
      <c r="B39"/>
      <c r="C39" s="76"/>
      <c r="D39" s="13">
        <f ca="1">+E6-E4</f>
        <v>75</v>
      </c>
      <c r="E39" s="11">
        <f ca="1">+E4+D39</f>
        <v>43390</v>
      </c>
      <c r="F39" s="58">
        <f ca="1">+IF(WEEKDAY(E4+D39+2)=1,D39+4,IF(WEEKDAY(E4+D39+2)=7,D39+3,D39+2))</f>
        <v>77</v>
      </c>
      <c r="G39" s="11">
        <f ca="1">+E4+F39</f>
        <v>43392</v>
      </c>
      <c r="I39" s="13" t="s">
        <v>44</v>
      </c>
      <c r="J39" s="69" t="str">
        <f ca="1">+CONCATENATE("OFFER USDARS ",F22, " MM USD ",F39, " DIAS")</f>
        <v>OFFER USDARS 5144150 MM USD 77 DIAS</v>
      </c>
      <c r="K39" s="69"/>
      <c r="L39" s="69"/>
      <c r="S39"/>
    </row>
    <row r="40" spans="1:19" s="1" customFormat="1" x14ac:dyDescent="0.25">
      <c r="A40"/>
      <c r="B40"/>
      <c r="C40" s="76"/>
      <c r="I40" s="1" t="s">
        <v>43</v>
      </c>
      <c r="J40" s="69" t="str">
        <f ca="1">+CONCATENATE("BID FX SWAP 1*",F39, " Ambas patas físicas (pata corta: ",E22," USD,  pata larga: ",F22," USD)")</f>
        <v>BID FX SWAP 1*77 Ambas patas físicas (pata corta: 5100000 USD,  pata larga: 5144150 USD)</v>
      </c>
      <c r="K40" s="69"/>
      <c r="L40" s="69"/>
      <c r="S40"/>
    </row>
    <row r="41" spans="1:19" s="1" customFormat="1" x14ac:dyDescent="0.25">
      <c r="A41"/>
      <c r="B41"/>
      <c r="C41" s="76"/>
      <c r="I41" s="1" t="s">
        <v>45</v>
      </c>
      <c r="J41" s="69" t="str">
        <f>+CONCATENATE("COMPRO ARS PM por ",E22," y necesito monto eq en la lebac PM")</f>
        <v>COMPRO ARS PM por 5100000 y necesito monto eq en la lebac PM</v>
      </c>
      <c r="K41" s="69"/>
      <c r="L41" s="69"/>
      <c r="S41"/>
    </row>
    <row r="42" spans="1:19" s="1" customFormat="1" x14ac:dyDescent="0.25">
      <c r="A42"/>
      <c r="B42"/>
      <c r="C42" s="76"/>
      <c r="E42" s="13"/>
      <c r="S42"/>
    </row>
    <row r="52" spans="1:19" s="1" customFormat="1" x14ac:dyDescent="0.25">
      <c r="A52"/>
      <c r="B52"/>
      <c r="C52" s="76"/>
      <c r="S52"/>
    </row>
  </sheetData>
  <mergeCells count="11">
    <mergeCell ref="D38:E38"/>
    <mergeCell ref="F38:G38"/>
    <mergeCell ref="J39:L39"/>
    <mergeCell ref="J40:L40"/>
    <mergeCell ref="J41:L41"/>
    <mergeCell ref="D3:E3"/>
    <mergeCell ref="G3:H3"/>
    <mergeCell ref="J3:K3"/>
    <mergeCell ref="M3:N3"/>
    <mergeCell ref="K11:O11"/>
    <mergeCell ref="D32:E32"/>
  </mergeCells>
  <conditionalFormatting sqref="I14">
    <cfRule type="cellIs" dxfId="5" priority="3" operator="lessThan">
      <formula>0.04</formula>
    </cfRule>
    <cfRule type="cellIs" dxfId="4" priority="4" operator="greaterThan">
      <formula>0.04</formula>
    </cfRule>
  </conditionalFormatting>
  <conditionalFormatting sqref="I16">
    <cfRule type="cellIs" dxfId="1" priority="1" operator="lessThan">
      <formula>0.04</formula>
    </cfRule>
    <cfRule type="cellIs" dxfId="0" priority="2" operator="greaterThan">
      <formula>0.04</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FB7D3-923D-43A8-A74A-0ABD2E09C1E8}">
  <dimension ref="A2:R39"/>
  <sheetViews>
    <sheetView topLeftCell="A4" workbookViewId="0">
      <selection activeCell="H16" sqref="H16"/>
    </sheetView>
  </sheetViews>
  <sheetFormatPr baseColWidth="10" defaultRowHeight="15" x14ac:dyDescent="0.25"/>
  <cols>
    <col min="3" max="3" width="19.85546875" style="1" bestFit="1" customWidth="1"/>
    <col min="4" max="4" width="16.28515625" style="1" bestFit="1" customWidth="1"/>
    <col min="5" max="5" width="14.140625" style="1" bestFit="1" customWidth="1"/>
    <col min="6" max="6" width="17.85546875" style="1" bestFit="1" customWidth="1"/>
    <col min="7" max="7" width="17.28515625" style="1" bestFit="1" customWidth="1"/>
    <col min="8" max="8" width="15.42578125" style="1" customWidth="1"/>
    <col min="9" max="9" width="26.7109375" style="1" customWidth="1"/>
    <col min="10" max="10" width="32.140625" style="1" customWidth="1"/>
    <col min="11" max="11" width="19.5703125" style="1" customWidth="1"/>
    <col min="12" max="12" width="16.5703125" style="1" bestFit="1" customWidth="1"/>
    <col min="13" max="13" width="16.28515625" style="1" bestFit="1" customWidth="1"/>
    <col min="14" max="14" width="13.42578125" style="1" bestFit="1" customWidth="1"/>
    <col min="15" max="17" width="11.42578125" style="1"/>
  </cols>
  <sheetData>
    <row r="2" spans="1:18" x14ac:dyDescent="0.25">
      <c r="A2" s="37" t="s">
        <v>25</v>
      </c>
      <c r="B2" s="37" t="s">
        <v>38</v>
      </c>
    </row>
    <row r="3" spans="1:18" x14ac:dyDescent="0.25">
      <c r="A3" t="s">
        <v>39</v>
      </c>
      <c r="B3">
        <f ca="1">+WEEKDAY(TODAY())</f>
        <v>6</v>
      </c>
      <c r="C3" s="68" t="s">
        <v>5</v>
      </c>
      <c r="D3" s="68"/>
      <c r="E3" s="7"/>
      <c r="F3" s="67" t="s">
        <v>2</v>
      </c>
      <c r="G3" s="67"/>
      <c r="H3" s="7"/>
      <c r="I3" s="67" t="s">
        <v>6</v>
      </c>
      <c r="J3" s="67"/>
      <c r="K3" s="7"/>
      <c r="L3" s="67" t="s">
        <v>7</v>
      </c>
      <c r="M3" s="67"/>
    </row>
    <row r="4" spans="1:18" ht="15.75" thickBot="1" x14ac:dyDescent="0.3">
      <c r="C4" s="56" t="s">
        <v>1</v>
      </c>
      <c r="D4" s="57">
        <f ca="1">+TODAY()</f>
        <v>43315</v>
      </c>
      <c r="E4" s="7"/>
      <c r="F4" s="53"/>
      <c r="G4" s="53"/>
      <c r="H4" s="7"/>
      <c r="I4" s="53"/>
      <c r="J4" s="53"/>
      <c r="K4" s="7"/>
      <c r="L4" s="53"/>
      <c r="M4" s="53"/>
    </row>
    <row r="5" spans="1:18" ht="15.75" thickBot="1" x14ac:dyDescent="0.3">
      <c r="C5" s="1" t="s">
        <v>40</v>
      </c>
      <c r="D5" s="11">
        <f ca="1">+IF(B2="T+1",IF(B3=6,TODAY()+3,TODAY()+1),TODAY())</f>
        <v>43318</v>
      </c>
      <c r="F5" s="38" t="s">
        <v>3</v>
      </c>
      <c r="G5" s="39">
        <v>638</v>
      </c>
      <c r="I5" s="38" t="s">
        <v>3</v>
      </c>
      <c r="J5" s="39">
        <v>27.45</v>
      </c>
      <c r="L5" s="42">
        <f>+D6</f>
        <v>43362</v>
      </c>
      <c r="M5" s="52">
        <v>0.44900000000000001</v>
      </c>
    </row>
    <row r="6" spans="1:18" ht="15.75" thickBot="1" x14ac:dyDescent="0.3">
      <c r="C6" s="1" t="s">
        <v>0</v>
      </c>
      <c r="D6" s="11">
        <v>43362</v>
      </c>
      <c r="E6" s="51"/>
      <c r="F6" s="38" t="s">
        <v>17</v>
      </c>
      <c r="G6" s="39">
        <v>-0.12</v>
      </c>
      <c r="I6" s="38" t="s">
        <v>4</v>
      </c>
      <c r="J6" s="39">
        <v>28.76</v>
      </c>
      <c r="M6" s="3">
        <f ca="1">+M5*D7/365</f>
        <v>5.4126027397260273E-2</v>
      </c>
      <c r="Q6" s="3"/>
    </row>
    <row r="7" spans="1:18" ht="15.75" thickBot="1" x14ac:dyDescent="0.3">
      <c r="C7" s="17" t="s">
        <v>13</v>
      </c>
      <c r="D7" s="18">
        <f ca="1">+D6-D5</f>
        <v>44</v>
      </c>
      <c r="F7" s="40" t="s">
        <v>4</v>
      </c>
      <c r="G7" s="41">
        <f>+G5+G6</f>
        <v>637.88</v>
      </c>
      <c r="I7" s="6"/>
      <c r="J7" s="3">
        <f>+J6/J5-1</f>
        <v>4.7723132969034632E-2</v>
      </c>
      <c r="M7" s="15"/>
    </row>
    <row r="8" spans="1:18" x14ac:dyDescent="0.25">
      <c r="D8" s="13"/>
      <c r="G8" s="3">
        <f>+G7/G5-1</f>
        <v>-1.8808777429468737E-4</v>
      </c>
      <c r="J8" s="15"/>
      <c r="K8" s="15"/>
      <c r="L8" s="15"/>
      <c r="O8" s="21"/>
      <c r="P8" s="4"/>
    </row>
    <row r="9" spans="1:18" x14ac:dyDescent="0.25">
      <c r="D9" s="13"/>
      <c r="J9" s="15"/>
      <c r="P9" s="51"/>
    </row>
    <row r="10" spans="1:18" x14ac:dyDescent="0.25">
      <c r="C10" s="8"/>
      <c r="D10" s="8" t="s">
        <v>11</v>
      </c>
      <c r="E10" s="8" t="s">
        <v>12</v>
      </c>
      <c r="F10" s="8" t="s">
        <v>14</v>
      </c>
      <c r="G10" s="8" t="s">
        <v>15</v>
      </c>
      <c r="H10" s="8" t="s">
        <v>16</v>
      </c>
      <c r="J10" s="68" t="s">
        <v>18</v>
      </c>
      <c r="K10" s="68"/>
      <c r="L10" s="68"/>
      <c r="M10" s="68"/>
      <c r="N10" s="68"/>
      <c r="R10" s="1"/>
    </row>
    <row r="11" spans="1:18" x14ac:dyDescent="0.25">
      <c r="C11" s="7" t="s">
        <v>8</v>
      </c>
      <c r="D11" s="5">
        <f>+J5</f>
        <v>27.45</v>
      </c>
      <c r="E11" s="5">
        <f ca="1">+D11*(1+M5*D7/365)</f>
        <v>28.935759452054796</v>
      </c>
      <c r="F11" s="3">
        <f ca="1">+E11/D11-1</f>
        <v>5.4126027397260357E-2</v>
      </c>
      <c r="G11" s="14">
        <f ca="1">+F11*365/$D$7</f>
        <v>0.44900000000000068</v>
      </c>
      <c r="J11" s="1" t="s">
        <v>20</v>
      </c>
      <c r="K11" s="5" t="s">
        <v>19</v>
      </c>
      <c r="L11" s="9" t="s">
        <v>21</v>
      </c>
      <c r="M11" s="1" t="s">
        <v>22</v>
      </c>
      <c r="N11" s="1" t="s">
        <v>23</v>
      </c>
      <c r="R11" s="1"/>
    </row>
    <row r="12" spans="1:18" x14ac:dyDescent="0.25">
      <c r="C12" s="7" t="s">
        <v>9</v>
      </c>
      <c r="D12" s="1">
        <v>1</v>
      </c>
      <c r="E12" s="1">
        <f ca="1">+E11/J6</f>
        <v>1.0061112465943949</v>
      </c>
      <c r="F12" s="3">
        <f t="shared" ref="F12:F13" ca="1" si="0">+E12/D12-1</f>
        <v>6.1112465943948813E-3</v>
      </c>
      <c r="G12" s="2">
        <f ca="1">+F12*365/$D$7</f>
        <v>5.0695568339866631E-2</v>
      </c>
      <c r="H12" s="3">
        <f ca="1">+F12*360/($D$7+2)</f>
        <v>4.7827147260481678E-2</v>
      </c>
      <c r="I12" s="3"/>
      <c r="J12" s="1">
        <v>30</v>
      </c>
      <c r="K12" s="1">
        <f ca="1">+E11/J12</f>
        <v>0.96452531506849326</v>
      </c>
      <c r="L12" s="1">
        <f ca="1">+(J12-J6)*E12</f>
        <v>1.2475779457770482</v>
      </c>
      <c r="M12" s="1">
        <f ca="1">+L12/J12</f>
        <v>4.1585931525901607E-2</v>
      </c>
      <c r="N12" s="1">
        <f ca="1">+K12+M12</f>
        <v>1.0061112465943949</v>
      </c>
      <c r="R12" s="1"/>
    </row>
    <row r="13" spans="1:18" x14ac:dyDescent="0.25">
      <c r="C13" s="7" t="s">
        <v>10</v>
      </c>
      <c r="D13" s="1">
        <f>+G5</f>
        <v>638</v>
      </c>
      <c r="E13" s="1">
        <f ca="1">+E12*G7</f>
        <v>641.77824197763255</v>
      </c>
      <c r="F13" s="3">
        <f t="shared" ca="1" si="0"/>
        <v>5.9220093693299614E-3</v>
      </c>
      <c r="G13" s="2">
        <f ca="1">+F13*365/$D$7</f>
        <v>4.912575954103264E-2</v>
      </c>
      <c r="H13" s="3">
        <f ca="1">+F13*360/($D$7+3)</f>
        <v>4.5360071765080556E-2</v>
      </c>
      <c r="M13" s="16" t="s">
        <v>24</v>
      </c>
      <c r="N13" s="16">
        <f ca="1">+N12-E12</f>
        <v>0</v>
      </c>
      <c r="R13" s="1"/>
    </row>
    <row r="14" spans="1:18" x14ac:dyDescent="0.25">
      <c r="H14" s="3">
        <f ca="1">+H13/12</f>
        <v>3.7800059804233795E-3</v>
      </c>
      <c r="N14" s="10"/>
      <c r="R14" s="1"/>
    </row>
    <row r="15" spans="1:18" x14ac:dyDescent="0.25">
      <c r="D15" s="11"/>
      <c r="H15" s="3"/>
    </row>
    <row r="16" spans="1:18" x14ac:dyDescent="0.25">
      <c r="D16" s="13"/>
      <c r="H16" s="4"/>
    </row>
    <row r="17" spans="3:17" ht="15.75" thickBot="1" x14ac:dyDescent="0.3">
      <c r="L17" s="15"/>
    </row>
    <row r="18" spans="3:17" x14ac:dyDescent="0.25">
      <c r="C18" s="28"/>
      <c r="D18" s="29" t="s">
        <v>27</v>
      </c>
      <c r="E18" s="30" t="s">
        <v>28</v>
      </c>
      <c r="G18" s="3"/>
    </row>
    <row r="19" spans="3:17" x14ac:dyDescent="0.25">
      <c r="C19" s="45" t="s">
        <v>29</v>
      </c>
      <c r="D19" s="43">
        <f>+G33</f>
        <v>5100000</v>
      </c>
      <c r="E19" s="44">
        <f ca="1">+ROUND(E23/E21,0)</f>
        <v>5131167</v>
      </c>
      <c r="F19" s="3">
        <f ca="1">+E19/D19-1</f>
        <v>6.111176470588342E-3</v>
      </c>
      <c r="G19" s="3">
        <f ca="1">+F19*360/(D7+2)</f>
        <v>4.7826598465473984E-2</v>
      </c>
      <c r="H19" s="3"/>
      <c r="N19" s="3"/>
      <c r="O19" s="3"/>
      <c r="Q19" s="11"/>
    </row>
    <row r="20" spans="3:17" x14ac:dyDescent="0.25">
      <c r="C20" s="25" t="s">
        <v>30</v>
      </c>
      <c r="D20" s="35">
        <f>+G5</f>
        <v>638</v>
      </c>
      <c r="E20" s="36">
        <f>+G7</f>
        <v>637.88</v>
      </c>
      <c r="L20" s="22"/>
      <c r="M20" s="22"/>
      <c r="Q20" s="11"/>
    </row>
    <row r="21" spans="3:17" x14ac:dyDescent="0.25">
      <c r="C21" s="25" t="s">
        <v>31</v>
      </c>
      <c r="D21" s="35">
        <f>+J5</f>
        <v>27.45</v>
      </c>
      <c r="E21" s="36">
        <f>+J6</f>
        <v>28.76</v>
      </c>
      <c r="H21" s="23"/>
      <c r="M21" s="21"/>
    </row>
    <row r="22" spans="3:17" x14ac:dyDescent="0.25">
      <c r="C22" s="25" t="s">
        <v>26</v>
      </c>
      <c r="D22" s="54">
        <f ca="1">1/(1+M5*D7/365)</f>
        <v>0.94865317240017044</v>
      </c>
      <c r="E22" s="32">
        <v>1</v>
      </c>
      <c r="K22" s="4"/>
      <c r="N22" s="12"/>
    </row>
    <row r="23" spans="3:17" x14ac:dyDescent="0.25">
      <c r="C23" s="25" t="s">
        <v>6</v>
      </c>
      <c r="D23" s="27">
        <f>+D19*D21</f>
        <v>139995000</v>
      </c>
      <c r="E23" s="32">
        <f ca="1">+D23/D22</f>
        <v>147572373.20547947</v>
      </c>
      <c r="F23" s="3">
        <f ca="1">+E23/D23-1</f>
        <v>5.4126027397260357E-2</v>
      </c>
      <c r="G23" s="55"/>
      <c r="H23" s="22"/>
      <c r="N23" s="3"/>
    </row>
    <row r="24" spans="3:17" ht="15.75" thickBot="1" x14ac:dyDescent="0.3">
      <c r="C24" s="19" t="s">
        <v>2</v>
      </c>
      <c r="D24" s="33">
        <f>+D19*D20</f>
        <v>3253800000</v>
      </c>
      <c r="E24" s="34">
        <f ca="1">+E19*E20</f>
        <v>3273068805.96</v>
      </c>
      <c r="F24" s="3">
        <f ca="1">+E24/D24-1</f>
        <v>5.9219392587128716E-3</v>
      </c>
    </row>
    <row r="28" spans="3:17" ht="15.75" thickBot="1" x14ac:dyDescent="0.3">
      <c r="O28" s="12"/>
    </row>
    <row r="29" spans="3:17" x14ac:dyDescent="0.25">
      <c r="C29" s="65" t="s">
        <v>34</v>
      </c>
      <c r="D29" s="66"/>
      <c r="E29" s="29" t="s">
        <v>35</v>
      </c>
      <c r="F29" s="29" t="s">
        <v>36</v>
      </c>
      <c r="G29" s="30" t="s">
        <v>37</v>
      </c>
    </row>
    <row r="30" spans="3:17" x14ac:dyDescent="0.25">
      <c r="C30" s="25" t="s">
        <v>32</v>
      </c>
      <c r="D30" s="26">
        <v>13491396047</v>
      </c>
      <c r="E30" s="49">
        <v>0.15</v>
      </c>
      <c r="F30" s="26">
        <f>+D30*E30</f>
        <v>2023709407.05</v>
      </c>
      <c r="G30" s="47">
        <f>+F30/$G$5</f>
        <v>3171958.3182601882</v>
      </c>
      <c r="N30" s="12"/>
      <c r="O30" s="3"/>
    </row>
    <row r="31" spans="3:17" ht="15.75" thickBot="1" x14ac:dyDescent="0.3">
      <c r="C31" s="19" t="s">
        <v>33</v>
      </c>
      <c r="D31" s="31">
        <v>8037161600</v>
      </c>
      <c r="E31" s="50">
        <v>0.15</v>
      </c>
      <c r="F31" s="31">
        <f>+E31*D31</f>
        <v>1205574240</v>
      </c>
      <c r="G31" s="48">
        <f>+F31/$G$5</f>
        <v>1889614.7962382445</v>
      </c>
      <c r="O31" s="3"/>
    </row>
    <row r="32" spans="3:17" x14ac:dyDescent="0.25">
      <c r="F32" s="24">
        <f>+SUM(F30:F31)</f>
        <v>3229283647.0500002</v>
      </c>
      <c r="G32" s="46">
        <f>+SUM(G30:G31)</f>
        <v>5061573.1144984327</v>
      </c>
      <c r="K32" s="12"/>
    </row>
    <row r="33" spans="3:14" x14ac:dyDescent="0.25">
      <c r="G33" s="46">
        <f>+MROUND(G32,100000)</f>
        <v>5100000</v>
      </c>
      <c r="H33" s="20"/>
      <c r="L33" s="21"/>
      <c r="M33" s="15"/>
      <c r="N33" s="12"/>
    </row>
    <row r="34" spans="3:14" x14ac:dyDescent="0.25">
      <c r="F34" s="12"/>
      <c r="I34" s="1">
        <v>3.5</v>
      </c>
      <c r="M34" s="3"/>
      <c r="N34" s="3"/>
    </row>
    <row r="35" spans="3:14" x14ac:dyDescent="0.25">
      <c r="C35" s="70" t="s">
        <v>41</v>
      </c>
      <c r="D35" s="70"/>
      <c r="E35" s="70" t="s">
        <v>42</v>
      </c>
      <c r="F35" s="70"/>
    </row>
    <row r="36" spans="3:14" x14ac:dyDescent="0.25">
      <c r="C36" s="13">
        <f ca="1">+D6-D4</f>
        <v>47</v>
      </c>
      <c r="D36" s="11">
        <f ca="1">+D4+C36</f>
        <v>43362</v>
      </c>
      <c r="E36" s="58">
        <f ca="1">+IF(WEEKDAY(D4+C36+2)=1,C36+4,IF(WEEKDAY(D4+C36+2)=7,C36+3,C36+2))</f>
        <v>49</v>
      </c>
      <c r="F36" s="11">
        <f ca="1">+D4+E36</f>
        <v>43364</v>
      </c>
      <c r="H36" s="13" t="s">
        <v>44</v>
      </c>
      <c r="I36" s="69" t="str">
        <f ca="1">+CONCATENATE("OFFER USDARS ",E19, " MM USD ",E36, " DIAS")</f>
        <v>OFFER USDARS 5131167 MM USD 49 DIAS</v>
      </c>
      <c r="J36" s="69"/>
      <c r="K36" s="69"/>
    </row>
    <row r="37" spans="3:14" x14ac:dyDescent="0.25">
      <c r="H37" s="1" t="s">
        <v>43</v>
      </c>
      <c r="I37" s="69" t="str">
        <f ca="1">+CONCATENATE("BID FX SWAP 1*",E36, " Ambas patas físicas (pata corta: ",D19," USD,  pata larga: ",E19," USD)")</f>
        <v>BID FX SWAP 1*49 Ambas patas físicas (pata corta: 5100000 USD,  pata larga: 5131167 USD)</v>
      </c>
      <c r="J37" s="69"/>
      <c r="K37" s="69"/>
    </row>
    <row r="38" spans="3:14" x14ac:dyDescent="0.25">
      <c r="H38" s="1" t="s">
        <v>45</v>
      </c>
      <c r="I38" s="69" t="str">
        <f>+CONCATENATE("COMPRO ARS PM por ",D19," y necesito monto eq en la lebac PM")</f>
        <v>COMPRO ARS PM por 5100000 y necesito monto eq en la lebac PM</v>
      </c>
      <c r="J38" s="69"/>
      <c r="K38" s="69"/>
    </row>
    <row r="39" spans="3:14" x14ac:dyDescent="0.25">
      <c r="D39" s="13"/>
    </row>
  </sheetData>
  <mergeCells count="11">
    <mergeCell ref="I38:K38"/>
    <mergeCell ref="C35:D35"/>
    <mergeCell ref="E35:F35"/>
    <mergeCell ref="I36:K36"/>
    <mergeCell ref="I37:K37"/>
    <mergeCell ref="C29:D29"/>
    <mergeCell ref="F3:G3"/>
    <mergeCell ref="C3:D3"/>
    <mergeCell ref="I3:J3"/>
    <mergeCell ref="L3:M3"/>
    <mergeCell ref="J10:N10"/>
  </mergeCells>
  <conditionalFormatting sqref="H13">
    <cfRule type="cellIs" dxfId="3" priority="1" operator="lessThan">
      <formula>0.04</formula>
    </cfRule>
    <cfRule type="cellIs" dxfId="2" priority="2" operator="greaterThan">
      <formula>0.04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LEBAC OCTUBRE</vt:lpstr>
      <vt:lpstr>LEBAC SEPTIEMBRE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Posch Ponce</dc:creator>
  <cp:lastModifiedBy>Diego Posch Ponce</cp:lastModifiedBy>
  <dcterms:created xsi:type="dcterms:W3CDTF">2018-06-22T15:20:53Z</dcterms:created>
  <dcterms:modified xsi:type="dcterms:W3CDTF">2018-08-03T16:13:52Z</dcterms:modified>
</cp:coreProperties>
</file>