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L:\Rates &amp; FX\DPP\Fondo Argentino\"/>
    </mc:Choice>
  </mc:AlternateContent>
  <bookViews>
    <workbookView xWindow="0" yWindow="0" windowWidth="25530" windowHeight="10905" activeTab="6" xr2:uid="{B13C6040-C9CB-4ACF-9B31-A58104CB6937}"/>
  </bookViews>
  <sheets>
    <sheet name="0712" sheetId="6" r:id="rId1"/>
    <sheet name="0612" sheetId="1" r:id="rId2"/>
    <sheet name="Valor Mercado RF" sheetId="4" r:id="rId3"/>
    <sheet name="Hoja5" sheetId="5" r:id="rId4"/>
    <sheet name="Info instrumentos" sheetId="2" r:id="rId5"/>
    <sheet name="Valorizaciones" sheetId="3" r:id="rId6"/>
    <sheet name="Ajuste tasas" sheetId="7" r:id="rId7"/>
    <sheet name="Trading" sheetId="9" r:id="rId8"/>
    <sheet name="Devengo de reajustes" sheetId="8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9" l="1"/>
  <c r="O11" i="9"/>
  <c r="K11" i="9"/>
  <c r="Q11" i="9" s="1"/>
  <c r="P10" i="9"/>
  <c r="O10" i="9"/>
  <c r="Q10" i="9" s="1"/>
  <c r="K10" i="9"/>
  <c r="P9" i="9"/>
  <c r="O9" i="9"/>
  <c r="K9" i="9"/>
  <c r="Q9" i="9" s="1"/>
  <c r="P8" i="9"/>
  <c r="O8" i="9"/>
  <c r="O12" i="9" s="1"/>
  <c r="K8" i="9"/>
  <c r="P7" i="9"/>
  <c r="O7" i="9"/>
  <c r="K7" i="9"/>
  <c r="K12" i="9" s="1"/>
  <c r="O14" i="7"/>
  <c r="M14" i="7"/>
  <c r="M10" i="7"/>
  <c r="M11" i="7"/>
  <c r="M12" i="7"/>
  <c r="M13" i="7"/>
  <c r="J10" i="8"/>
  <c r="J11" i="8"/>
  <c r="J12" i="8"/>
  <c r="J13" i="8"/>
  <c r="I14" i="7"/>
  <c r="M9" i="7"/>
  <c r="J9" i="8"/>
  <c r="G9" i="8"/>
  <c r="I9" i="7"/>
  <c r="C9" i="8"/>
  <c r="G11" i="8"/>
  <c r="G12" i="8"/>
  <c r="G13" i="8"/>
  <c r="I13" i="8" s="1"/>
  <c r="H11" i="8"/>
  <c r="H12" i="8"/>
  <c r="I12" i="8" s="1"/>
  <c r="H13" i="8"/>
  <c r="I10" i="8"/>
  <c r="G10" i="8"/>
  <c r="H10" i="8"/>
  <c r="H9" i="8" s="1"/>
  <c r="I9" i="8" s="1"/>
  <c r="K9" i="8" s="1"/>
  <c r="I11" i="7"/>
  <c r="O11" i="7" s="1"/>
  <c r="I12" i="7"/>
  <c r="I13" i="7"/>
  <c r="I10" i="7"/>
  <c r="H35" i="6"/>
  <c r="G34" i="6"/>
  <c r="H34" i="6" s="1"/>
  <c r="O12" i="7"/>
  <c r="N10" i="7"/>
  <c r="N11" i="7"/>
  <c r="N12" i="7"/>
  <c r="N13" i="7"/>
  <c r="N9" i="7"/>
  <c r="J4" i="8"/>
  <c r="K4" i="8" s="1"/>
  <c r="I4" i="8"/>
  <c r="Q12" i="9" l="1"/>
  <c r="Q8" i="9"/>
  <c r="Q7" i="9"/>
  <c r="K13" i="8"/>
  <c r="O9" i="7"/>
  <c r="K10" i="8"/>
  <c r="K12" i="8"/>
  <c r="I11" i="8"/>
  <c r="O13" i="7"/>
  <c r="M4" i="7"/>
  <c r="L4" i="7"/>
  <c r="I4" i="7" s="1"/>
  <c r="N4" i="7" s="1"/>
  <c r="L7" i="5"/>
  <c r="L4" i="5"/>
  <c r="L5" i="5"/>
  <c r="L6" i="5"/>
  <c r="L3" i="5"/>
  <c r="J10" i="5"/>
  <c r="J3" i="5"/>
  <c r="E6" i="5"/>
  <c r="E5" i="5"/>
  <c r="E4" i="5"/>
  <c r="O7" i="6"/>
  <c r="C22" i="6"/>
  <c r="D22" i="6" s="1"/>
  <c r="C21" i="6"/>
  <c r="D21" i="6" s="1"/>
  <c r="V14" i="6"/>
  <c r="V13" i="6"/>
  <c r="C12" i="6"/>
  <c r="D11" i="6"/>
  <c r="D10" i="6"/>
  <c r="D9" i="6"/>
  <c r="D8" i="6"/>
  <c r="P7" i="6"/>
  <c r="M7" i="6"/>
  <c r="V6" i="6"/>
  <c r="V7" i="6" s="1"/>
  <c r="V12" i="6" s="1"/>
  <c r="V20" i="6" s="1"/>
  <c r="P6" i="6"/>
  <c r="M6" i="6"/>
  <c r="D6" i="6"/>
  <c r="G6" i="6" s="1"/>
  <c r="P5" i="6"/>
  <c r="F5" i="6"/>
  <c r="H5" i="6" s="1"/>
  <c r="D5" i="6"/>
  <c r="G5" i="6" s="1"/>
  <c r="R5" i="6" s="1"/>
  <c r="P4" i="6"/>
  <c r="M4" i="6"/>
  <c r="F4" i="6"/>
  <c r="H4" i="6" s="1"/>
  <c r="O4" i="6" s="1"/>
  <c r="D4" i="6"/>
  <c r="G4" i="6" s="1"/>
  <c r="K11" i="8" l="1"/>
  <c r="K15" i="8" s="1"/>
  <c r="I5" i="6"/>
  <c r="J5" i="6" s="1"/>
  <c r="P12" i="6"/>
  <c r="Q5" i="6"/>
  <c r="R6" i="6"/>
  <c r="Q6" i="6" s="1"/>
  <c r="N7" i="6"/>
  <c r="R7" i="6"/>
  <c r="Q7" i="6" s="1"/>
  <c r="I4" i="6"/>
  <c r="J4" i="6" s="1"/>
  <c r="R4" i="6"/>
  <c r="V15" i="6"/>
  <c r="W15" i="6" s="1"/>
  <c r="N4" i="6"/>
  <c r="M15" i="6"/>
  <c r="O15" i="6" s="1"/>
  <c r="M5" i="6"/>
  <c r="M12" i="6" s="1"/>
  <c r="N21" i="6" s="1"/>
  <c r="F6" i="6"/>
  <c r="H6" i="6" s="1"/>
  <c r="O6" i="6" s="1"/>
  <c r="P15" i="6"/>
  <c r="C23" i="6"/>
  <c r="O5" i="6"/>
  <c r="C24" i="6"/>
  <c r="E3" i="5"/>
  <c r="J4" i="5"/>
  <c r="J5" i="5"/>
  <c r="J6" i="5"/>
  <c r="J7" i="5"/>
  <c r="O12" i="6" l="1"/>
  <c r="O16" i="6" s="1"/>
  <c r="R15" i="6"/>
  <c r="N19" i="6"/>
  <c r="S6" i="6"/>
  <c r="N6" i="6"/>
  <c r="R12" i="6"/>
  <c r="Q4" i="6"/>
  <c r="Q12" i="6" s="1"/>
  <c r="N5" i="6"/>
  <c r="S5" i="6"/>
  <c r="S4" i="6"/>
  <c r="S7" i="6"/>
  <c r="I6" i="6"/>
  <c r="J6" i="6" s="1"/>
  <c r="J12" i="6" s="1"/>
  <c r="C25" i="6" s="1"/>
  <c r="F8" i="1"/>
  <c r="F9" i="1"/>
  <c r="F10" i="1"/>
  <c r="F11" i="1"/>
  <c r="D8" i="1"/>
  <c r="D9" i="1"/>
  <c r="D10" i="1"/>
  <c r="D11" i="1"/>
  <c r="C12" i="1"/>
  <c r="D5" i="1"/>
  <c r="D6" i="1"/>
  <c r="D7" i="1"/>
  <c r="D4" i="1"/>
  <c r="N12" i="6" l="1"/>
  <c r="N20" i="6" s="1"/>
  <c r="N22" i="6" s="1"/>
  <c r="N24" i="6" s="1"/>
  <c r="R16" i="6"/>
  <c r="S12" i="6"/>
  <c r="C26" i="6"/>
  <c r="C27" i="6"/>
  <c r="J12" i="1"/>
  <c r="P5" i="1"/>
  <c r="P6" i="1"/>
  <c r="P7" i="1"/>
  <c r="P4" i="1"/>
  <c r="C17" i="1"/>
  <c r="C22" i="1" s="1"/>
  <c r="D22" i="1" s="1"/>
  <c r="C21" i="1"/>
  <c r="V13" i="1"/>
  <c r="V14" i="1"/>
  <c r="G4" i="1"/>
  <c r="R4" i="1" s="1"/>
  <c r="G6" i="1"/>
  <c r="R6" i="1" s="1"/>
  <c r="V6" i="1"/>
  <c r="V7" i="1" s="1"/>
  <c r="V12" i="1" s="1"/>
  <c r="C29" i="6" l="1"/>
  <c r="C28" i="6"/>
  <c r="Q4" i="1"/>
  <c r="Q6" i="1"/>
  <c r="P12" i="1"/>
  <c r="M7" i="1"/>
  <c r="M6" i="1"/>
  <c r="M5" i="1"/>
  <c r="M4" i="1"/>
  <c r="M12" i="1" s="1"/>
  <c r="D21" i="1"/>
  <c r="C24" i="1"/>
  <c r="P15" i="1"/>
  <c r="M15" i="1"/>
  <c r="O15" i="1" s="1"/>
  <c r="C23" i="1"/>
  <c r="F4" i="1"/>
  <c r="H4" i="1" s="1"/>
  <c r="F7" i="1"/>
  <c r="H7" i="1" s="1"/>
  <c r="O7" i="1" s="1"/>
  <c r="F6" i="1"/>
  <c r="H6" i="1" s="1"/>
  <c r="F5" i="1"/>
  <c r="H5" i="1" s="1"/>
  <c r="O5" i="1" s="1"/>
  <c r="V20" i="1"/>
  <c r="V15" i="1"/>
  <c r="W15" i="1" s="1"/>
  <c r="G5" i="1"/>
  <c r="R5" i="1" s="1"/>
  <c r="Q5" i="1" s="1"/>
  <c r="G7" i="1"/>
  <c r="R7" i="1" s="1"/>
  <c r="Q7" i="1" s="1"/>
  <c r="Q12" i="1" l="1"/>
  <c r="R12" i="1"/>
  <c r="S5" i="1"/>
  <c r="I4" i="1"/>
  <c r="J4" i="1" s="1"/>
  <c r="O4" i="1"/>
  <c r="N19" i="1"/>
  <c r="R15" i="1"/>
  <c r="N5" i="1"/>
  <c r="N7" i="1"/>
  <c r="S7" i="1"/>
  <c r="I6" i="1"/>
  <c r="J6" i="1" s="1"/>
  <c r="O6" i="1"/>
  <c r="N21" i="1"/>
  <c r="I5" i="1"/>
  <c r="J5" i="1" s="1"/>
  <c r="I7" i="1"/>
  <c r="J7" i="1" s="1"/>
  <c r="R16" i="1" l="1"/>
  <c r="S6" i="1"/>
  <c r="N6" i="1"/>
  <c r="S4" i="1"/>
  <c r="N4" i="1"/>
  <c r="N12" i="1" s="1"/>
  <c r="N20" i="1" s="1"/>
  <c r="N22" i="1" s="1"/>
  <c r="N24" i="1" s="1"/>
  <c r="O12" i="1"/>
  <c r="O16" i="1" s="1"/>
  <c r="S12" i="1" l="1"/>
  <c r="C25" i="1"/>
  <c r="C26" i="1" s="1"/>
  <c r="C27" i="1" l="1"/>
  <c r="C28" i="1" l="1"/>
  <c r="C29" i="1"/>
  <c r="O1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I8" authorId="0" shapeId="0" xr:uid="{F3257A87-7DE7-4734-B753-00A992258587}">
      <text>
        <r>
          <rPr>
            <b/>
            <sz val="9"/>
            <color indexed="81"/>
            <rFont val="Tahoma"/>
            <charset val="1"/>
          </rPr>
          <t>Diego Posch Ponce:</t>
        </r>
        <r>
          <rPr>
            <sz val="9"/>
            <color indexed="81"/>
            <rFont val="Tahoma"/>
            <charset val="1"/>
          </rPr>
          <t xml:space="preserve">
valor mercado al FX de ayer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K6" authorId="0" shapeId="0" xr:uid="{2622B378-537D-479B-9332-65659D4B1F6F}">
      <text>
        <r>
          <rPr>
            <b/>
            <sz val="9"/>
            <color indexed="81"/>
            <rFont val="Tahoma"/>
            <charset val="1"/>
          </rPr>
          <t>Diego Posch Ponce:</t>
        </r>
        <r>
          <rPr>
            <sz val="9"/>
            <color indexed="81"/>
            <rFont val="Tahoma"/>
            <charset val="1"/>
          </rPr>
          <t xml:space="preserve">
valor mercado al FX de ayer</t>
        </r>
      </text>
    </comment>
  </commentList>
</comments>
</file>

<file path=xl/sharedStrings.xml><?xml version="1.0" encoding="utf-8"?>
<sst xmlns="http://schemas.openxmlformats.org/spreadsheetml/2006/main" count="211" uniqueCount="83">
  <si>
    <t>venc</t>
  </si>
  <si>
    <t>hoy</t>
  </si>
  <si>
    <t>plazo dias</t>
  </si>
  <si>
    <t>trade n°</t>
  </si>
  <si>
    <t>tasa</t>
  </si>
  <si>
    <t>FX</t>
  </si>
  <si>
    <t>precio</t>
  </si>
  <si>
    <t>precio compra</t>
  </si>
  <si>
    <t>retorno FX</t>
  </si>
  <si>
    <t>retorno papel</t>
  </si>
  <si>
    <t>retorno total</t>
  </si>
  <si>
    <t>precio inicio dia</t>
  </si>
  <si>
    <t>FX inicio dia</t>
  </si>
  <si>
    <t>dias BVAL</t>
  </si>
  <si>
    <t>FX fin dia</t>
  </si>
  <si>
    <t>precio fin dia</t>
  </si>
  <si>
    <t>Trade n°</t>
  </si>
  <si>
    <r>
      <t xml:space="preserve">Monto </t>
    </r>
    <r>
      <rPr>
        <b/>
        <i/>
        <sz val="11"/>
        <color theme="1"/>
        <rFont val="Arial"/>
        <family val="2"/>
        <scheme val="minor"/>
      </rPr>
      <t xml:space="preserve">trade </t>
    </r>
    <r>
      <rPr>
        <b/>
        <sz val="11"/>
        <color theme="1"/>
        <rFont val="Arial"/>
        <family val="2"/>
        <scheme val="minor"/>
      </rPr>
      <t>[USD]</t>
    </r>
  </si>
  <si>
    <r>
      <t xml:space="preserve">FX </t>
    </r>
    <r>
      <rPr>
        <b/>
        <i/>
        <sz val="11"/>
        <color theme="1"/>
        <rFont val="Arial"/>
        <family val="2"/>
        <scheme val="minor"/>
      </rPr>
      <t>trade</t>
    </r>
  </si>
  <si>
    <r>
      <t xml:space="preserve">FX </t>
    </r>
    <r>
      <rPr>
        <b/>
        <i/>
        <sz val="11"/>
        <color theme="1"/>
        <rFont val="Arial"/>
        <family val="2"/>
        <scheme val="minor"/>
      </rPr>
      <t>valuation</t>
    </r>
  </si>
  <si>
    <r>
      <t xml:space="preserve">precio </t>
    </r>
    <r>
      <rPr>
        <b/>
        <i/>
        <sz val="11"/>
        <color theme="1"/>
        <rFont val="Arial"/>
        <family val="2"/>
        <scheme val="minor"/>
      </rPr>
      <t>valuation</t>
    </r>
  </si>
  <si>
    <r>
      <t xml:space="preserve">delta </t>
    </r>
    <r>
      <rPr>
        <b/>
        <i/>
        <sz val="11"/>
        <color theme="1"/>
        <rFont val="Arial"/>
        <family val="2"/>
        <scheme val="minor"/>
      </rPr>
      <t>trading</t>
    </r>
  </si>
  <si>
    <t>Verificador trades</t>
  </si>
  <si>
    <t>Calculadora</t>
  </si>
  <si>
    <t>retorno LEBAC (ARS)</t>
  </si>
  <si>
    <t>fin-inicio</t>
  </si>
  <si>
    <t>inicio-trad</t>
  </si>
  <si>
    <t>total tasa</t>
  </si>
  <si>
    <t>total FX</t>
  </si>
  <si>
    <t>Devengo reajuste</t>
  </si>
  <si>
    <t>Fluctuacion Caja</t>
  </si>
  <si>
    <t>Ajuste tasa</t>
  </si>
  <si>
    <t>Total</t>
  </si>
  <si>
    <t>Patrimonio USD inicio dia</t>
  </si>
  <si>
    <t>(RiskAmerica cierre hoy)</t>
  </si>
  <si>
    <t>(RiskAmerica cierre ayer)</t>
  </si>
  <si>
    <t>(BCRA cierre ayer)</t>
  </si>
  <si>
    <t>(BCRA cierre hoy)</t>
  </si>
  <si>
    <t>(SIGA)</t>
  </si>
  <si>
    <t>Retorno Cartera sin trading</t>
  </si>
  <si>
    <r>
      <rPr>
        <i/>
        <sz val="11"/>
        <color theme="1"/>
        <rFont val="Arial"/>
        <family val="2"/>
        <scheme val="minor"/>
      </rPr>
      <t>Total Cartera sin trading</t>
    </r>
    <r>
      <rPr>
        <sz val="11"/>
        <color theme="1"/>
        <rFont val="Arial"/>
        <family val="2"/>
        <scheme val="minor"/>
      </rPr>
      <t xml:space="preserve"> final dia</t>
    </r>
  </si>
  <si>
    <r>
      <t xml:space="preserve">Diferencia precio </t>
    </r>
    <r>
      <rPr>
        <i/>
        <sz val="11"/>
        <color theme="1"/>
        <rFont val="Arial"/>
        <family val="2"/>
        <scheme val="minor"/>
      </rPr>
      <t>trading</t>
    </r>
  </si>
  <si>
    <r>
      <t xml:space="preserve">retorno </t>
    </r>
    <r>
      <rPr>
        <i/>
        <sz val="11"/>
        <color rgb="FF00B050"/>
        <rFont val="Arial"/>
        <family val="2"/>
        <scheme val="minor"/>
      </rPr>
      <t>trading</t>
    </r>
  </si>
  <si>
    <t>Total Cartera USD fondo</t>
  </si>
  <si>
    <t>Retorno total cartera en USD</t>
  </si>
  <si>
    <t>Retorno total cartera en %</t>
  </si>
  <si>
    <t>Descomposición y Análisis contra SIGA</t>
  </si>
  <si>
    <t>idInstrumento</t>
  </si>
  <si>
    <t>fec venc</t>
  </si>
  <si>
    <t>fecha</t>
  </si>
  <si>
    <t>Precio</t>
  </si>
  <si>
    <t>LEBAC2017</t>
  </si>
  <si>
    <t>0,08</t>
  </si>
  <si>
    <t>0,07</t>
  </si>
  <si>
    <t>0,05</t>
  </si>
  <si>
    <t>Folio</t>
  </si>
  <si>
    <t>instrumento</t>
  </si>
  <si>
    <t>valorNominal</t>
  </si>
  <si>
    <t>dias vcto</t>
  </si>
  <si>
    <t>fecha compra</t>
  </si>
  <si>
    <t>Precio Val hoy</t>
  </si>
  <si>
    <t>Valor Mercado</t>
  </si>
  <si>
    <t>Precio Anterior/trade</t>
  </si>
  <si>
    <t>Valor Anterior/trade</t>
  </si>
  <si>
    <t>Utilidad/Perdida</t>
  </si>
  <si>
    <t>valor USD</t>
  </si>
  <si>
    <t>retorno tasa</t>
  </si>
  <si>
    <t>Cantidad</t>
  </si>
  <si>
    <t>FX hoy</t>
  </si>
  <si>
    <t>FX anterior/trade</t>
  </si>
  <si>
    <t>Valor Mercado Anterior/trade</t>
  </si>
  <si>
    <t>Valor nominal</t>
  </si>
  <si>
    <t>Fecha vcto</t>
  </si>
  <si>
    <t>-</t>
  </si>
  <si>
    <t>tasa descto</t>
  </si>
  <si>
    <t>Valor hoy</t>
  </si>
  <si>
    <t>Valor Ayer</t>
  </si>
  <si>
    <t>Reajuste</t>
  </si>
  <si>
    <t>FX anterior</t>
  </si>
  <si>
    <t>Precio Anterior</t>
  </si>
  <si>
    <t>Precio trade</t>
  </si>
  <si>
    <t>este es solo el reajuste que tiene por FX</t>
  </si>
  <si>
    <t>total reajustes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</si>
</sst>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-&quot;$&quot;\ * #,##0.0_-;\-&quot;$&quot;\ * #,##0.0_-;_-&quot;$&quot;\ * &quot;-&quot;??_-;_-@_-"/>
    <numFmt numFmtId="166" formatCode="_-&quot;$&quot;\ * #,##0_-;\-&quot;$&quot;\ * #,##0_-;_-&quot;$&quot;\ * &quot;-&quot;??_-;_-@_-"/>
    <numFmt numFmtId="167" formatCode="0.000000"/>
    <numFmt numFmtId="168" formatCode="0.0000"/>
    <numFmt numFmtId="169" formatCode="0.0"/>
    <numFmt numFmtId="170" formatCode="0.000%"/>
    <numFmt numFmtId="171" formatCode="0.0000%"/>
    <numFmt numFmtId="172" formatCode="_-&quot;$&quot;\ * #,##0.000_-;\-&quot;$&quot;\ * #,##0.000_-;_-&quot;$&quot;\ * &quot;-&quot;??_-;_-@_-"/>
    <numFmt numFmtId="176" formatCode="#,##0.0000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i/>
      <sz val="11"/>
      <color rgb="FF00B050"/>
      <name val="Arial"/>
      <family val="2"/>
      <scheme val="minor"/>
    </font>
    <font>
      <sz val="11"/>
      <color theme="4" tint="0.39997558519241921"/>
      <name val="Arial"/>
      <family val="2"/>
      <scheme val="minor"/>
    </font>
    <font>
      <sz val="11"/>
      <color theme="3" tint="-0.249977111117893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0" applyNumberFormat="1"/>
    <xf numFmtId="169" fontId="0" fillId="2" borderId="0" xfId="0" applyNumberFormat="1" applyFill="1"/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2" fontId="0" fillId="0" borderId="0" xfId="0" applyNumberFormat="1"/>
    <xf numFmtId="168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70" fontId="0" fillId="0" borderId="0" xfId="2" applyNumberFormat="1" applyFont="1"/>
    <xf numFmtId="168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6" fontId="0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6" fillId="0" borderId="0" xfId="0" applyFont="1" applyAlignment="1">
      <alignment horizontal="left"/>
    </xf>
    <xf numFmtId="10" fontId="6" fillId="0" borderId="0" xfId="2" applyNumberFormat="1" applyFont="1" applyAlignment="1">
      <alignment horizontal="right"/>
    </xf>
    <xf numFmtId="10" fontId="6" fillId="0" borderId="0" xfId="2" applyNumberFormat="1" applyFont="1"/>
    <xf numFmtId="0" fontId="8" fillId="0" borderId="0" xfId="0" applyFont="1" applyAlignment="1">
      <alignment horizontal="left"/>
    </xf>
    <xf numFmtId="10" fontId="8" fillId="0" borderId="0" xfId="2" applyNumberFormat="1" applyFont="1"/>
    <xf numFmtId="164" fontId="0" fillId="0" borderId="0" xfId="1" applyNumberFormat="1" applyFont="1"/>
    <xf numFmtId="171" fontId="0" fillId="0" borderId="0" xfId="2" applyNumberFormat="1" applyFont="1"/>
    <xf numFmtId="165" fontId="0" fillId="0" borderId="1" xfId="1" applyNumberFormat="1" applyFont="1" applyBorder="1"/>
    <xf numFmtId="0" fontId="3" fillId="0" borderId="2" xfId="0" applyFont="1" applyBorder="1" applyAlignment="1">
      <alignment horizontal="center"/>
    </xf>
    <xf numFmtId="170" fontId="0" fillId="0" borderId="2" xfId="2" applyNumberFormat="1" applyFont="1" applyBorder="1"/>
    <xf numFmtId="172" fontId="0" fillId="0" borderId="3" xfId="1" applyNumberFormat="1" applyFont="1" applyBorder="1"/>
    <xf numFmtId="164" fontId="0" fillId="0" borderId="0" xfId="0" applyNumberFormat="1" applyAlignment="1">
      <alignment horizontal="right"/>
    </xf>
    <xf numFmtId="10" fontId="9" fillId="0" borderId="0" xfId="2" applyNumberFormat="1" applyFont="1"/>
    <xf numFmtId="171" fontId="0" fillId="0" borderId="0" xfId="2" applyNumberFormat="1" applyFont="1" applyAlignment="1">
      <alignment horizontal="right"/>
    </xf>
    <xf numFmtId="164" fontId="6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0" xfId="0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4" fontId="6" fillId="0" borderId="0" xfId="0" applyNumberFormat="1" applyFont="1" applyBorder="1"/>
    <xf numFmtId="0" fontId="3" fillId="0" borderId="0" xfId="0" applyFont="1"/>
    <xf numFmtId="0" fontId="0" fillId="4" borderId="0" xfId="0" applyFill="1"/>
    <xf numFmtId="170" fontId="6" fillId="4" borderId="0" xfId="2" applyNumberFormat="1" applyFont="1" applyFill="1"/>
    <xf numFmtId="166" fontId="0" fillId="4" borderId="0" xfId="1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76" fontId="0" fillId="0" borderId="0" xfId="0" applyNumberFormat="1"/>
    <xf numFmtId="3" fontId="0" fillId="0" borderId="0" xfId="0" applyNumberFormat="1" applyAlignment="1">
      <alignment horizontal="center"/>
    </xf>
    <xf numFmtId="44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1" applyNumberFormat="1" applyFont="1"/>
    <xf numFmtId="0" fontId="0" fillId="0" borderId="0" xfId="2" applyNumberFormat="1" applyFont="1"/>
    <xf numFmtId="0" fontId="3" fillId="0" borderId="7" xfId="0" applyFont="1" applyBorder="1" applyAlignment="1">
      <alignment horizontal="center"/>
    </xf>
    <xf numFmtId="171" fontId="0" fillId="0" borderId="0" xfId="0" applyNumberFormat="1"/>
    <xf numFmtId="166" fontId="3" fillId="0" borderId="0" xfId="0" applyNumberFormat="1" applyFont="1"/>
    <xf numFmtId="1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C9C9-E1FF-4CB2-9F51-8BF8CA3B9D58}">
  <dimension ref="A1:Y35"/>
  <sheetViews>
    <sheetView showGridLines="0" workbookViewId="0">
      <selection activeCell="C16" sqref="C16"/>
    </sheetView>
  </sheetViews>
  <sheetFormatPr baseColWidth="10" defaultRowHeight="14.25" x14ac:dyDescent="0.2"/>
  <cols>
    <col min="1" max="1" width="8.75" bestFit="1" customWidth="1"/>
    <col min="2" max="2" width="27.625" bestFit="1" customWidth="1"/>
    <col min="3" max="3" width="15.125" bestFit="1" customWidth="1"/>
    <col min="4" max="4" width="21.875" bestFit="1" customWidth="1"/>
    <col min="5" max="5" width="13.5" bestFit="1" customWidth="1"/>
    <col min="6" max="6" width="15.25" bestFit="1" customWidth="1"/>
    <col min="7" max="7" width="10.375" bestFit="1" customWidth="1"/>
    <col min="8" max="8" width="12.875" bestFit="1" customWidth="1"/>
    <col min="9" max="9" width="11.875" bestFit="1" customWidth="1"/>
    <col min="10" max="11" width="16.5" customWidth="1"/>
    <col min="12" max="12" width="12.625" style="50" customWidth="1"/>
    <col min="13" max="13" width="16.5" bestFit="1" customWidth="1"/>
    <col min="14" max="19" width="12.625" customWidth="1"/>
    <col min="20" max="20" width="11.875" customWidth="1"/>
    <col min="23" max="23" width="12.5" customWidth="1"/>
  </cols>
  <sheetData>
    <row r="1" spans="1:25" ht="15" x14ac:dyDescent="0.25">
      <c r="C1" s="1"/>
      <c r="D1" s="1"/>
      <c r="E1" s="1"/>
      <c r="F1" s="1"/>
      <c r="M1" s="49" t="s">
        <v>46</v>
      </c>
    </row>
    <row r="2" spans="1:25" x14ac:dyDescent="0.2">
      <c r="C2" s="1"/>
      <c r="D2" s="1"/>
      <c r="E2" s="1"/>
      <c r="F2" s="1"/>
      <c r="O2" s="14"/>
    </row>
    <row r="3" spans="1:25" ht="15" x14ac:dyDescent="0.25">
      <c r="A3" s="18" t="s">
        <v>16</v>
      </c>
      <c r="B3" s="39" t="s">
        <v>17</v>
      </c>
      <c r="C3" s="39" t="s">
        <v>18</v>
      </c>
      <c r="D3" s="39" t="s">
        <v>19</v>
      </c>
      <c r="E3" s="39" t="s">
        <v>7</v>
      </c>
      <c r="F3" s="39" t="s">
        <v>20</v>
      </c>
      <c r="G3" s="39" t="s">
        <v>8</v>
      </c>
      <c r="H3" s="39" t="s">
        <v>9</v>
      </c>
      <c r="I3" s="39" t="s">
        <v>10</v>
      </c>
      <c r="J3" s="39" t="s">
        <v>21</v>
      </c>
      <c r="K3" s="39"/>
      <c r="M3" s="40" t="s">
        <v>25</v>
      </c>
      <c r="N3" s="41" t="s">
        <v>26</v>
      </c>
      <c r="O3" s="42" t="s">
        <v>27</v>
      </c>
      <c r="P3" s="40" t="s">
        <v>25</v>
      </c>
      <c r="Q3" s="41" t="s">
        <v>26</v>
      </c>
      <c r="R3" s="42" t="s">
        <v>28</v>
      </c>
      <c r="S3" s="32"/>
      <c r="U3" s="53" t="s">
        <v>22</v>
      </c>
      <c r="V3" s="53"/>
    </row>
    <row r="4" spans="1:25" x14ac:dyDescent="0.2">
      <c r="A4" s="1">
        <v>1</v>
      </c>
      <c r="B4" s="44">
        <v>1000000</v>
      </c>
      <c r="C4" s="43">
        <v>17.2865</v>
      </c>
      <c r="D4" s="1">
        <f>$C$16</f>
        <v>17.305800000000001</v>
      </c>
      <c r="E4" s="43">
        <v>98.942800000000005</v>
      </c>
      <c r="F4" s="1">
        <f>+$C$17</f>
        <v>99.2059</v>
      </c>
      <c r="G4" s="11">
        <f>+C4/D4-1</f>
        <v>-1.1152330432572244E-3</v>
      </c>
      <c r="H4" s="11">
        <f>+F4/E4-1</f>
        <v>2.6591121334751389E-3</v>
      </c>
      <c r="I4" s="11">
        <f>+(1+G4)*(1+H4)-1</f>
        <v>1.5409135605009006E-3</v>
      </c>
      <c r="J4" s="4">
        <f>+B4*I4</f>
        <v>1540.9135605009005</v>
      </c>
      <c r="K4" s="4"/>
      <c r="M4" s="10">
        <f>+$C$17/$C$19-1</f>
        <v>2.8952835386348852E-3</v>
      </c>
      <c r="N4" s="10">
        <f>O4-M4</f>
        <v>-2.3617140515974633E-4</v>
      </c>
      <c r="O4" s="36">
        <f>H4</f>
        <v>2.6591121334751389E-3</v>
      </c>
      <c r="P4" s="10">
        <f>$C$18/$C$16-1</f>
        <v>-1.1325682719088848E-3</v>
      </c>
      <c r="Q4" s="10">
        <f>R4-P4</f>
        <v>1.7335228651660373E-5</v>
      </c>
      <c r="R4" s="36">
        <f>G4</f>
        <v>-1.1152330432572244E-3</v>
      </c>
      <c r="S4" s="33">
        <f>(1+O4)*(1+R4)-1</f>
        <v>1.5409135605009006E-3</v>
      </c>
      <c r="U4" t="s">
        <v>3</v>
      </c>
      <c r="V4">
        <v>4</v>
      </c>
    </row>
    <row r="5" spans="1:25" x14ac:dyDescent="0.2">
      <c r="A5" s="1">
        <v>2</v>
      </c>
      <c r="B5" s="44">
        <v>1000000</v>
      </c>
      <c r="C5" s="43">
        <v>17.32</v>
      </c>
      <c r="D5" s="1">
        <f t="shared" ref="D5:D11" si="0">$C$16</f>
        <v>17.305800000000001</v>
      </c>
      <c r="E5" s="43">
        <v>98.949799999999996</v>
      </c>
      <c r="F5" s="1">
        <f>+$C$17</f>
        <v>99.2059</v>
      </c>
      <c r="G5" s="11">
        <f>+C5/D5-1</f>
        <v>8.2053415617888703E-4</v>
      </c>
      <c r="H5" s="11">
        <f t="shared" ref="H5:H7" si="1">+F5/E5-1</f>
        <v>2.5881810776777758E-3</v>
      </c>
      <c r="I5" s="11">
        <f t="shared" ref="I5:I7" si="2">+(1+G5)*(1+H5)-1</f>
        <v>3.4108389248332927E-3</v>
      </c>
      <c r="J5" s="4">
        <f>+B5*I5</f>
        <v>3410.8389248332928</v>
      </c>
      <c r="K5" s="4"/>
      <c r="M5" s="10">
        <f>+$C$17/$C$19-1</f>
        <v>2.8952835386348852E-3</v>
      </c>
      <c r="N5" s="10">
        <f t="shared" ref="N5:N7" si="3">O5-M5</f>
        <v>-3.0710246095710936E-4</v>
      </c>
      <c r="O5" s="36">
        <f t="shared" ref="O5:O7" si="4">H5</f>
        <v>2.5881810776777758E-3</v>
      </c>
      <c r="P5" s="10">
        <f>$C$18/$C$16-1</f>
        <v>-1.1325682719088848E-3</v>
      </c>
      <c r="Q5" s="10">
        <f t="shared" ref="Q5:Q7" si="5">R5-P5</f>
        <v>1.9531024280877718E-3</v>
      </c>
      <c r="R5" s="36">
        <f t="shared" ref="R5:R7" si="6">G5</f>
        <v>8.2053415617888703E-4</v>
      </c>
      <c r="S5" s="33">
        <f t="shared" ref="S5:S7" si="7">(1+O5)*(1+R5)-1</f>
        <v>3.4108389248332927E-3</v>
      </c>
      <c r="U5" t="s">
        <v>0</v>
      </c>
      <c r="V5" s="6">
        <v>43089</v>
      </c>
    </row>
    <row r="6" spans="1:25" x14ac:dyDescent="0.2">
      <c r="A6" s="1">
        <v>3</v>
      </c>
      <c r="B6" s="44">
        <v>910000</v>
      </c>
      <c r="C6" s="43">
        <v>17.326000000000001</v>
      </c>
      <c r="D6" s="1">
        <f t="shared" si="0"/>
        <v>17.305800000000001</v>
      </c>
      <c r="E6" s="43">
        <v>98.949799999999996</v>
      </c>
      <c r="F6" s="1">
        <f>+$C$17</f>
        <v>99.2059</v>
      </c>
      <c r="G6" s="11">
        <f>+C6/D6-1</f>
        <v>1.1672387292120945E-3</v>
      </c>
      <c r="H6" s="11">
        <f t="shared" si="1"/>
        <v>2.5881810776777758E-3</v>
      </c>
      <c r="I6" s="11">
        <f t="shared" si="2"/>
        <v>3.7584408320818774E-3</v>
      </c>
      <c r="J6" s="4">
        <f>+B6*I6</f>
        <v>3420.1811571945086</v>
      </c>
      <c r="K6" s="4"/>
      <c r="M6" s="10">
        <f>+$C$17/$C$19-1</f>
        <v>2.8952835386348852E-3</v>
      </c>
      <c r="N6" s="10">
        <f t="shared" si="3"/>
        <v>-3.0710246095710936E-4</v>
      </c>
      <c r="O6" s="36">
        <f t="shared" si="4"/>
        <v>2.5881810776777758E-3</v>
      </c>
      <c r="P6" s="10">
        <f>$C$18/$C$16-1</f>
        <v>-1.1325682719088848E-3</v>
      </c>
      <c r="Q6" s="10">
        <f t="shared" si="5"/>
        <v>2.2998070011209792E-3</v>
      </c>
      <c r="R6" s="36">
        <f t="shared" si="6"/>
        <v>1.1672387292120945E-3</v>
      </c>
      <c r="S6" s="33">
        <f t="shared" si="7"/>
        <v>3.7584408320818774E-3</v>
      </c>
      <c r="U6" t="s">
        <v>1</v>
      </c>
      <c r="V6" s="6">
        <f ca="1">+TODAY()</f>
        <v>43076</v>
      </c>
    </row>
    <row r="7" spans="1:25" x14ac:dyDescent="0.2">
      <c r="A7" s="1">
        <v>4</v>
      </c>
      <c r="B7" s="44"/>
      <c r="C7" s="43"/>
      <c r="D7" s="1"/>
      <c r="E7" s="43"/>
      <c r="F7" s="1"/>
      <c r="G7" s="11"/>
      <c r="H7" s="11"/>
      <c r="I7" s="11"/>
      <c r="J7" s="4"/>
      <c r="K7" s="4"/>
      <c r="M7" s="10">
        <f>+$C$17/$C$19-1</f>
        <v>2.8952835386348852E-3</v>
      </c>
      <c r="N7" s="10">
        <f t="shared" si="3"/>
        <v>-2.8952835386348852E-3</v>
      </c>
      <c r="O7" s="36">
        <f t="shared" si="4"/>
        <v>0</v>
      </c>
      <c r="P7" s="10">
        <f>$C$18/$C$16-1</f>
        <v>-1.1325682719088848E-3</v>
      </c>
      <c r="Q7" s="10">
        <f t="shared" si="5"/>
        <v>1.1325682719088848E-3</v>
      </c>
      <c r="R7" s="36">
        <f t="shared" si="6"/>
        <v>0</v>
      </c>
      <c r="S7" s="33">
        <f t="shared" si="7"/>
        <v>0</v>
      </c>
      <c r="U7" t="s">
        <v>2</v>
      </c>
      <c r="V7" s="7">
        <f ca="1">+V5-V6</f>
        <v>13</v>
      </c>
    </row>
    <row r="8" spans="1:25" x14ac:dyDescent="0.2">
      <c r="A8" s="1">
        <v>5</v>
      </c>
      <c r="B8" s="44"/>
      <c r="C8" s="43"/>
      <c r="D8" s="1">
        <f t="shared" si="0"/>
        <v>17.305800000000001</v>
      </c>
      <c r="E8" s="43"/>
      <c r="F8" s="1"/>
      <c r="G8" s="11"/>
      <c r="H8" s="11"/>
      <c r="I8" s="11"/>
      <c r="J8" s="4"/>
      <c r="K8" s="4"/>
      <c r="M8" s="10"/>
      <c r="N8" s="10"/>
      <c r="O8" s="36"/>
      <c r="P8" s="10"/>
      <c r="Q8" s="10"/>
      <c r="R8" s="36"/>
      <c r="S8" s="33"/>
      <c r="V8" s="7"/>
    </row>
    <row r="9" spans="1:25" x14ac:dyDescent="0.2">
      <c r="A9" s="1">
        <v>6</v>
      </c>
      <c r="B9" s="44"/>
      <c r="C9" s="43"/>
      <c r="D9" s="1">
        <f t="shared" si="0"/>
        <v>17.305800000000001</v>
      </c>
      <c r="E9" s="43"/>
      <c r="F9" s="1"/>
      <c r="G9" s="11"/>
      <c r="H9" s="11"/>
      <c r="I9" s="11"/>
      <c r="J9" s="4"/>
      <c r="K9" s="4"/>
      <c r="M9" s="10"/>
      <c r="N9" s="10"/>
      <c r="O9" s="36"/>
      <c r="P9" s="10"/>
      <c r="Q9" s="10"/>
      <c r="R9" s="36"/>
      <c r="S9" s="33"/>
      <c r="V9" s="7"/>
    </row>
    <row r="10" spans="1:25" x14ac:dyDescent="0.2">
      <c r="A10" s="1">
        <v>7</v>
      </c>
      <c r="B10" s="44"/>
      <c r="C10" s="43"/>
      <c r="D10" s="1">
        <f t="shared" si="0"/>
        <v>17.305800000000001</v>
      </c>
      <c r="E10" s="43"/>
      <c r="F10" s="1"/>
      <c r="G10" s="11"/>
      <c r="H10" s="11"/>
      <c r="I10" s="11"/>
      <c r="J10" s="4"/>
      <c r="K10" s="4"/>
      <c r="M10" s="10"/>
      <c r="N10" s="10"/>
      <c r="O10" s="36"/>
      <c r="P10" s="10"/>
      <c r="Q10" s="10"/>
      <c r="R10" s="36"/>
      <c r="S10" s="33"/>
      <c r="V10" s="7"/>
    </row>
    <row r="11" spans="1:25" x14ac:dyDescent="0.2">
      <c r="A11" s="1">
        <v>8</v>
      </c>
      <c r="B11" s="44"/>
      <c r="C11" s="43"/>
      <c r="D11" s="1">
        <f t="shared" si="0"/>
        <v>17.305800000000001</v>
      </c>
      <c r="E11" s="43"/>
      <c r="F11" s="1"/>
      <c r="G11" s="11"/>
      <c r="H11" s="11"/>
      <c r="I11" s="11"/>
      <c r="J11" s="4"/>
      <c r="K11" s="4"/>
      <c r="M11" s="10"/>
      <c r="N11" s="10"/>
      <c r="O11" s="36"/>
      <c r="P11" s="10"/>
      <c r="Q11" s="10"/>
      <c r="R11" s="36"/>
      <c r="S11" s="33"/>
      <c r="V11" s="7"/>
    </row>
    <row r="12" spans="1:25" x14ac:dyDescent="0.2">
      <c r="C12" s="17">
        <f>+SUMPRODUCT(B4:B11,C4:C11)/SUM(B4:B11)</f>
        <v>17.310364261168385</v>
      </c>
      <c r="J12" s="38">
        <f>+SUM(J4:J11)</f>
        <v>8371.933642528702</v>
      </c>
      <c r="K12" s="48"/>
      <c r="M12" s="31">
        <f t="shared" ref="M12:N12" si="8">+SUMPRODUCT(M4:M7,$B$4:$B$7)</f>
        <v>8425.275097427515</v>
      </c>
      <c r="N12" s="31">
        <f t="shared" si="8"/>
        <v>-822.73710558782523</v>
      </c>
      <c r="O12" s="31">
        <f>+SUMPRODUCT(O4:O7,$B$4:$B$7)</f>
        <v>7602.5379918396902</v>
      </c>
      <c r="P12" s="31">
        <f t="shared" ref="P12:S12" si="9">+SUMPRODUCT(P4:P7,$B$4:$B$7)</f>
        <v>-3295.7736712548549</v>
      </c>
      <c r="Q12" s="31">
        <f t="shared" si="9"/>
        <v>4063.2620277595233</v>
      </c>
      <c r="R12" s="31">
        <f t="shared" si="9"/>
        <v>767.48835650466867</v>
      </c>
      <c r="S12" s="34">
        <f t="shared" si="9"/>
        <v>8371.933642528702</v>
      </c>
      <c r="U12" t="s">
        <v>13</v>
      </c>
      <c r="V12">
        <f ca="1">+V7-1</f>
        <v>12</v>
      </c>
    </row>
    <row r="13" spans="1:25" x14ac:dyDescent="0.2">
      <c r="C13" s="13"/>
      <c r="L13" s="51"/>
      <c r="M13" s="10"/>
      <c r="N13" s="10"/>
      <c r="O13" s="10"/>
      <c r="P13" s="10"/>
      <c r="Q13" s="10"/>
      <c r="R13" s="10"/>
      <c r="S13" s="10"/>
      <c r="U13" t="s">
        <v>4</v>
      </c>
      <c r="V13">
        <f>+VLOOKUP($V$4,$A$1:$H$7,5,FALSE)</f>
        <v>0</v>
      </c>
    </row>
    <row r="14" spans="1:25" x14ac:dyDescent="0.2">
      <c r="U14" t="s">
        <v>5</v>
      </c>
      <c r="V14">
        <f>+VLOOKUP($V$4,$A$1:$H$7,3,FALSE)</f>
        <v>0</v>
      </c>
      <c r="Y14" s="8"/>
    </row>
    <row r="15" spans="1:25" x14ac:dyDescent="0.2">
      <c r="M15" s="12">
        <f>+$C$20*$C$22</f>
        <v>30764.01185206083</v>
      </c>
      <c r="N15" s="12">
        <v>0</v>
      </c>
      <c r="O15" s="12">
        <f>N15+M15</f>
        <v>30764.01185206083</v>
      </c>
      <c r="P15" s="12">
        <f>+C20*C21</f>
        <v>-12034.173259832442</v>
      </c>
      <c r="Q15" s="12">
        <v>0</v>
      </c>
      <c r="R15" s="12">
        <f>+P15+Q15</f>
        <v>-12034.173259832442</v>
      </c>
      <c r="U15" t="s">
        <v>6</v>
      </c>
      <c r="V15" s="8">
        <f ca="1">ROUND(1/(1+V13*V7/365),6)*100</f>
        <v>100</v>
      </c>
      <c r="W15" s="9">
        <f ca="1">100000*(V15-VLOOKUP($V$4,$A$1:$H$7,7,FALSE))</f>
        <v>10000000</v>
      </c>
    </row>
    <row r="16" spans="1:25" x14ac:dyDescent="0.2">
      <c r="B16" s="20" t="s">
        <v>14</v>
      </c>
      <c r="C16" s="59">
        <v>17.305800000000001</v>
      </c>
      <c r="D16" t="s">
        <v>37</v>
      </c>
      <c r="O16" s="15">
        <f>+O12+O15</f>
        <v>38366.549843900517</v>
      </c>
      <c r="R16" s="15">
        <f>+R12+R15</f>
        <v>-11266.684903327772</v>
      </c>
    </row>
    <row r="17" spans="2:22" x14ac:dyDescent="0.2">
      <c r="B17" s="20" t="s">
        <v>15</v>
      </c>
      <c r="C17" s="59">
        <v>99.2059</v>
      </c>
      <c r="D17" t="s">
        <v>34</v>
      </c>
    </row>
    <row r="18" spans="2:22" ht="15" x14ac:dyDescent="0.25">
      <c r="B18" s="20" t="s">
        <v>12</v>
      </c>
      <c r="C18" s="45">
        <v>17.286200000000001</v>
      </c>
      <c r="D18" t="s">
        <v>36</v>
      </c>
      <c r="L18" s="52"/>
      <c r="M18" s="3"/>
      <c r="N18" s="3"/>
      <c r="O18" s="3"/>
      <c r="P18" s="3"/>
      <c r="Q18" s="3"/>
      <c r="R18" s="3"/>
      <c r="S18" s="3"/>
      <c r="T18" s="3"/>
      <c r="U18" s="53" t="s">
        <v>23</v>
      </c>
      <c r="V18" s="53"/>
    </row>
    <row r="19" spans="2:22" x14ac:dyDescent="0.2">
      <c r="B19" s="20" t="s">
        <v>11</v>
      </c>
      <c r="C19" s="45">
        <v>98.919499999999999</v>
      </c>
      <c r="D19" t="s">
        <v>35</v>
      </c>
      <c r="M19" s="3" t="s">
        <v>29</v>
      </c>
      <c r="N19" s="14">
        <f>+P15+P12</f>
        <v>-15329.946931087296</v>
      </c>
      <c r="O19" s="4"/>
      <c r="P19" s="4"/>
      <c r="Q19" s="4"/>
      <c r="R19" s="4"/>
      <c r="S19" s="4"/>
      <c r="T19" s="4"/>
      <c r="U19" s="1" t="s">
        <v>4</v>
      </c>
      <c r="V19" s="1" t="s">
        <v>6</v>
      </c>
    </row>
    <row r="20" spans="2:22" x14ac:dyDescent="0.2">
      <c r="B20" s="47" t="s">
        <v>33</v>
      </c>
      <c r="C20" s="46">
        <v>10625561</v>
      </c>
      <c r="D20" t="s">
        <v>38</v>
      </c>
      <c r="M20" s="3" t="s">
        <v>30</v>
      </c>
      <c r="N20" s="3">
        <f>Q12+N12</f>
        <v>3240.5249221716981</v>
      </c>
      <c r="O20" s="5"/>
      <c r="P20" s="5"/>
      <c r="Q20" s="5"/>
      <c r="R20" s="5"/>
      <c r="S20" s="5"/>
      <c r="T20" s="5"/>
      <c r="U20" s="2">
        <v>0.30668000000000001</v>
      </c>
      <c r="V20" s="23">
        <f ca="1">1/(1+U20*V12/365)</f>
        <v>0.99001801453053506</v>
      </c>
    </row>
    <row r="21" spans="2:22" x14ac:dyDescent="0.2">
      <c r="B21" s="24" t="s">
        <v>8</v>
      </c>
      <c r="C21" s="25">
        <f>+C18/C16-1</f>
        <v>-1.1325682719088848E-3</v>
      </c>
      <c r="D21" s="14">
        <f>C21*C20</f>
        <v>-12034.173259832442</v>
      </c>
      <c r="M21" s="4" t="s">
        <v>31</v>
      </c>
      <c r="N21" s="29">
        <f>+M12+M15</f>
        <v>39189.286949488349</v>
      </c>
    </row>
    <row r="22" spans="2:22" x14ac:dyDescent="0.2">
      <c r="B22" s="24" t="s">
        <v>24</v>
      </c>
      <c r="C22" s="25">
        <f>+C17/C19-1</f>
        <v>2.8952835386348852E-3</v>
      </c>
      <c r="D22" s="14">
        <f>C22*C20</f>
        <v>30764.01185206083</v>
      </c>
      <c r="M22" s="5" t="s">
        <v>32</v>
      </c>
      <c r="N22" s="14">
        <f>+SUM(N19:N21)</f>
        <v>27099.864940572752</v>
      </c>
    </row>
    <row r="23" spans="2:22" x14ac:dyDescent="0.2">
      <c r="B23" s="27" t="s">
        <v>39</v>
      </c>
      <c r="C23" s="28">
        <f>+(1+C21)*(1+C22)-1</f>
        <v>1.7594361604520437E-3</v>
      </c>
    </row>
    <row r="24" spans="2:22" x14ac:dyDescent="0.2">
      <c r="B24" s="20" t="s">
        <v>40</v>
      </c>
      <c r="C24" s="21">
        <f>+C20*(1+C21)*(1+C22)</f>
        <v>10644255.996248489</v>
      </c>
      <c r="D24" s="14"/>
      <c r="G24" s="16"/>
      <c r="N24" s="30">
        <f>+N22/C20</f>
        <v>2.5504408605411754E-3</v>
      </c>
    </row>
    <row r="25" spans="2:22" x14ac:dyDescent="0.2">
      <c r="B25" s="20" t="s">
        <v>41</v>
      </c>
      <c r="C25" s="35">
        <f>J12</f>
        <v>8371.933642528702</v>
      </c>
      <c r="H25" s="30"/>
    </row>
    <row r="26" spans="2:22" x14ac:dyDescent="0.2">
      <c r="B26" s="24" t="s">
        <v>42</v>
      </c>
      <c r="C26" s="26">
        <f>+C25/C20</f>
        <v>7.8790509437842412E-4</v>
      </c>
    </row>
    <row r="27" spans="2:22" x14ac:dyDescent="0.2">
      <c r="B27" s="20" t="s">
        <v>43</v>
      </c>
      <c r="C27" s="35">
        <f>C20+D21+D22+C25</f>
        <v>10652662.772234758</v>
      </c>
    </row>
    <row r="28" spans="2:22" x14ac:dyDescent="0.2">
      <c r="B28" s="20" t="s">
        <v>44</v>
      </c>
      <c r="C28" s="14">
        <f>C27-C20</f>
        <v>27101.772234758362</v>
      </c>
    </row>
    <row r="29" spans="2:22" x14ac:dyDescent="0.2">
      <c r="B29" s="20" t="s">
        <v>45</v>
      </c>
      <c r="C29" s="37">
        <f>+C27/C20-1</f>
        <v>2.5506203611045386E-3</v>
      </c>
    </row>
    <row r="34" spans="6:8" x14ac:dyDescent="0.2">
      <c r="F34" s="6">
        <v>43089</v>
      </c>
      <c r="G34" s="6">
        <f ca="1">+TODAY()</f>
        <v>43076</v>
      </c>
      <c r="H34" s="7">
        <f ca="1">+G34-F34</f>
        <v>-13</v>
      </c>
    </row>
    <row r="35" spans="6:8" x14ac:dyDescent="0.2">
      <c r="G35" s="6">
        <v>43080</v>
      </c>
      <c r="H35" s="7">
        <f>+F34-G35</f>
        <v>9</v>
      </c>
    </row>
  </sheetData>
  <mergeCells count="2">
    <mergeCell ref="U3:V3"/>
    <mergeCell ref="U18:V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FF7D-AE72-4965-B09F-7133EC90437F}">
  <dimension ref="A1:Y29"/>
  <sheetViews>
    <sheetView showGridLines="0" topLeftCell="F1" workbookViewId="0">
      <selection activeCell="N20" sqref="N20"/>
    </sheetView>
  </sheetViews>
  <sheetFormatPr baseColWidth="10" defaultRowHeight="14.25" x14ac:dyDescent="0.2"/>
  <cols>
    <col min="1" max="1" width="8.75" bestFit="1" customWidth="1"/>
    <col min="2" max="2" width="27.625" bestFit="1" customWidth="1"/>
    <col min="3" max="3" width="14.125" bestFit="1" customWidth="1"/>
    <col min="4" max="4" width="21.875" bestFit="1" customWidth="1"/>
    <col min="5" max="5" width="13.5" bestFit="1" customWidth="1"/>
    <col min="6" max="6" width="15.25" bestFit="1" customWidth="1"/>
    <col min="7" max="7" width="10.375" bestFit="1" customWidth="1"/>
    <col min="8" max="8" width="12.875" bestFit="1" customWidth="1"/>
    <col min="9" max="9" width="11.875" bestFit="1" customWidth="1"/>
    <col min="10" max="11" width="16.5" customWidth="1"/>
    <col min="12" max="12" width="12.625" style="50" customWidth="1"/>
    <col min="13" max="13" width="16.5" bestFit="1" customWidth="1"/>
    <col min="14" max="19" width="12.625" customWidth="1"/>
    <col min="20" max="20" width="11.875" customWidth="1"/>
    <col min="23" max="23" width="12.5" customWidth="1"/>
  </cols>
  <sheetData>
    <row r="1" spans="1:25" ht="15" x14ac:dyDescent="0.25">
      <c r="C1" s="1"/>
      <c r="D1" s="1"/>
      <c r="E1" s="1"/>
      <c r="F1" s="1"/>
      <c r="M1" s="49" t="s">
        <v>46</v>
      </c>
    </row>
    <row r="2" spans="1:25" x14ac:dyDescent="0.2">
      <c r="C2" s="1"/>
      <c r="D2" s="1"/>
      <c r="E2" s="1"/>
      <c r="F2" s="1"/>
      <c r="O2" s="14"/>
    </row>
    <row r="3" spans="1:25" ht="15" x14ac:dyDescent="0.25">
      <c r="A3" s="18" t="s">
        <v>16</v>
      </c>
      <c r="B3" s="19" t="s">
        <v>17</v>
      </c>
      <c r="C3" s="19" t="s">
        <v>18</v>
      </c>
      <c r="D3" s="19" t="s">
        <v>19</v>
      </c>
      <c r="E3" s="19" t="s">
        <v>7</v>
      </c>
      <c r="F3" s="19" t="s">
        <v>20</v>
      </c>
      <c r="G3" s="19" t="s">
        <v>8</v>
      </c>
      <c r="H3" s="19" t="s">
        <v>9</v>
      </c>
      <c r="I3" s="19" t="s">
        <v>10</v>
      </c>
      <c r="J3" s="19" t="s">
        <v>21</v>
      </c>
      <c r="K3" s="22"/>
      <c r="M3" s="40" t="s">
        <v>25</v>
      </c>
      <c r="N3" s="41" t="s">
        <v>26</v>
      </c>
      <c r="O3" s="42" t="s">
        <v>27</v>
      </c>
      <c r="P3" s="40" t="s">
        <v>25</v>
      </c>
      <c r="Q3" s="41" t="s">
        <v>26</v>
      </c>
      <c r="R3" s="42" t="s">
        <v>28</v>
      </c>
      <c r="S3" s="32"/>
      <c r="U3" s="53" t="s">
        <v>22</v>
      </c>
      <c r="V3" s="53"/>
    </row>
    <row r="4" spans="1:25" x14ac:dyDescent="0.2">
      <c r="A4" s="1">
        <v>1</v>
      </c>
      <c r="B4" s="44">
        <v>2000000</v>
      </c>
      <c r="C4" s="43">
        <v>17.2775</v>
      </c>
      <c r="D4" s="1">
        <f>$C$16</f>
        <v>17.286200000000001</v>
      </c>
      <c r="E4" s="43">
        <v>98.847399999999993</v>
      </c>
      <c r="F4" s="1">
        <f>+$C$17</f>
        <v>98.919499999999999</v>
      </c>
      <c r="G4" s="11">
        <f>+C4/D4-1</f>
        <v>-5.0329164304485641E-4</v>
      </c>
      <c r="H4" s="11">
        <f>+F4/E4-1</f>
        <v>7.2940714677383056E-4</v>
      </c>
      <c r="I4" s="11">
        <f>+(1+G4)*(1+H4)-1</f>
        <v>2.2574839920763701E-4</v>
      </c>
      <c r="J4" s="4">
        <f>+B4*I4</f>
        <v>451.49679841527404</v>
      </c>
      <c r="K4" s="4"/>
      <c r="M4" s="10">
        <f>+$C$17/$C$19-1</f>
        <v>7.5775510245379429E-4</v>
      </c>
      <c r="N4" s="10">
        <f>O4-M4</f>
        <v>-2.8347955679963732E-5</v>
      </c>
      <c r="O4" s="36">
        <f>H4</f>
        <v>7.2940714677383056E-4</v>
      </c>
      <c r="P4" s="10">
        <f>$C$18/$C$16-1</f>
        <v>3.7660098807139608E-3</v>
      </c>
      <c r="Q4" s="10">
        <f>R4-P4</f>
        <v>-4.2693015237588172E-3</v>
      </c>
      <c r="R4" s="36">
        <f>G4</f>
        <v>-5.0329164304485641E-4</v>
      </c>
      <c r="S4" s="33">
        <f>(1+O4)*(1+R4)-1</f>
        <v>2.2574839920763701E-4</v>
      </c>
      <c r="U4" t="s">
        <v>3</v>
      </c>
      <c r="V4">
        <v>4</v>
      </c>
    </row>
    <row r="5" spans="1:25" x14ac:dyDescent="0.2">
      <c r="A5" s="1">
        <v>2</v>
      </c>
      <c r="B5" s="44">
        <v>2000000</v>
      </c>
      <c r="C5" s="43">
        <v>17.287500000000001</v>
      </c>
      <c r="D5" s="1">
        <f t="shared" ref="D5:D11" si="0">$C$16</f>
        <v>17.286200000000001</v>
      </c>
      <c r="E5" s="43">
        <v>98.849299999999999</v>
      </c>
      <c r="F5" s="1">
        <f>+$C$17</f>
        <v>98.919499999999999</v>
      </c>
      <c r="G5" s="11">
        <f>+C5/D5-1</f>
        <v>7.5204498386050034E-5</v>
      </c>
      <c r="H5" s="11">
        <f t="shared" ref="H5:H7" si="1">+F5/E5-1</f>
        <v>7.1017194861267008E-4</v>
      </c>
      <c r="I5" s="11">
        <f t="shared" ref="I5:I7" si="2">+(1+G5)*(1+H5)-1</f>
        <v>7.8542985512397578E-4</v>
      </c>
      <c r="J5" s="4">
        <f>+B5*I5</f>
        <v>1570.8597102479516</v>
      </c>
      <c r="K5" s="4"/>
      <c r="M5" s="10">
        <f>+$C$17/$C$19-1</f>
        <v>7.5775510245379429E-4</v>
      </c>
      <c r="N5" s="10">
        <f t="shared" ref="N5:N7" si="3">O5-M5</f>
        <v>-4.7583153841124215E-5</v>
      </c>
      <c r="O5" s="36">
        <f t="shared" ref="O5:O7" si="4">H5</f>
        <v>7.1017194861267008E-4</v>
      </c>
      <c r="P5" s="10">
        <f>$C$18/$C$16-1</f>
        <v>3.7660098807139608E-3</v>
      </c>
      <c r="Q5" s="10">
        <f t="shared" ref="Q5:Q7" si="5">R5-P5</f>
        <v>-3.6908053823279108E-3</v>
      </c>
      <c r="R5" s="36">
        <f t="shared" ref="R5:R7" si="6">G5</f>
        <v>7.5204498386050034E-5</v>
      </c>
      <c r="S5" s="33">
        <f t="shared" ref="S5:S7" si="7">(1+O5)*(1+R5)-1</f>
        <v>7.8542985512397578E-4</v>
      </c>
      <c r="U5" t="s">
        <v>0</v>
      </c>
      <c r="V5" s="6">
        <v>43089</v>
      </c>
    </row>
    <row r="6" spans="1:25" x14ac:dyDescent="0.2">
      <c r="A6" s="1">
        <v>3</v>
      </c>
      <c r="B6" s="44">
        <v>2000000</v>
      </c>
      <c r="C6" s="43">
        <v>17.267499999999998</v>
      </c>
      <c r="D6" s="1">
        <f t="shared" si="0"/>
        <v>17.286200000000001</v>
      </c>
      <c r="E6" s="43">
        <v>98.869900000000001</v>
      </c>
      <c r="F6" s="1">
        <f>+$C$17</f>
        <v>98.919499999999999</v>
      </c>
      <c r="G6" s="11">
        <f>+C6/D6-1</f>
        <v>-1.0817877844756518E-3</v>
      </c>
      <c r="H6" s="11">
        <f t="shared" si="1"/>
        <v>5.0166936549955743E-4</v>
      </c>
      <c r="I6" s="11">
        <f t="shared" si="2"/>
        <v>-5.8066111876753368E-4</v>
      </c>
      <c r="J6" s="4">
        <f>+B6*I6</f>
        <v>-1161.3222375350674</v>
      </c>
      <c r="K6" s="4"/>
      <c r="M6" s="10">
        <f>+$C$17/$C$19-1</f>
        <v>7.5775510245379429E-4</v>
      </c>
      <c r="N6" s="10">
        <f t="shared" si="3"/>
        <v>-2.5608573695423686E-4</v>
      </c>
      <c r="O6" s="36">
        <f t="shared" si="4"/>
        <v>5.0166936549955743E-4</v>
      </c>
      <c r="P6" s="10">
        <f>$C$18/$C$16-1</f>
        <v>3.7660098807139608E-3</v>
      </c>
      <c r="Q6" s="10">
        <f t="shared" si="5"/>
        <v>-4.8477976651896126E-3</v>
      </c>
      <c r="R6" s="36">
        <f t="shared" si="6"/>
        <v>-1.0817877844756518E-3</v>
      </c>
      <c r="S6" s="33">
        <f t="shared" si="7"/>
        <v>-5.8066111876753368E-4</v>
      </c>
      <c r="U6" t="s">
        <v>1</v>
      </c>
      <c r="V6" s="6">
        <f ca="1">+TODAY()</f>
        <v>43076</v>
      </c>
    </row>
    <row r="7" spans="1:25" x14ac:dyDescent="0.2">
      <c r="A7" s="1">
        <v>4</v>
      </c>
      <c r="B7" s="44">
        <v>1610000</v>
      </c>
      <c r="C7" s="43">
        <v>17.301500000000001</v>
      </c>
      <c r="D7" s="1">
        <f t="shared" si="0"/>
        <v>17.286200000000001</v>
      </c>
      <c r="E7" s="43">
        <v>98.854900000000001</v>
      </c>
      <c r="F7" s="1">
        <f>+$C$17</f>
        <v>98.919499999999999</v>
      </c>
      <c r="G7" s="11">
        <f>+C7/D7-1</f>
        <v>8.8509909638911921E-4</v>
      </c>
      <c r="H7" s="11">
        <f t="shared" si="1"/>
        <v>6.5348303422485543E-4</v>
      </c>
      <c r="I7" s="11">
        <f t="shared" si="2"/>
        <v>1.5391605278569642E-3</v>
      </c>
      <c r="J7" s="4">
        <f>+B7*I7</f>
        <v>2478.0484498497126</v>
      </c>
      <c r="K7" s="4"/>
      <c r="M7" s="10">
        <f>+$C$17/$C$19-1</f>
        <v>7.5775510245379429E-4</v>
      </c>
      <c r="N7" s="10">
        <f t="shared" si="3"/>
        <v>-1.0427206822893886E-4</v>
      </c>
      <c r="O7" s="36">
        <f t="shared" si="4"/>
        <v>6.5348303422485543E-4</v>
      </c>
      <c r="P7" s="10">
        <f>$C$18/$C$16-1</f>
        <v>3.7660098807139608E-3</v>
      </c>
      <c r="Q7" s="10">
        <f t="shared" si="5"/>
        <v>-2.8809107843248416E-3</v>
      </c>
      <c r="R7" s="36">
        <f t="shared" si="6"/>
        <v>8.8509909638911921E-4</v>
      </c>
      <c r="S7" s="33">
        <f t="shared" si="7"/>
        <v>1.5391605278569642E-3</v>
      </c>
      <c r="U7" t="s">
        <v>2</v>
      </c>
      <c r="V7" s="7">
        <f ca="1">+V5-V6</f>
        <v>13</v>
      </c>
    </row>
    <row r="8" spans="1:25" x14ac:dyDescent="0.2">
      <c r="A8" s="1">
        <v>5</v>
      </c>
      <c r="B8" s="44"/>
      <c r="C8" s="43"/>
      <c r="D8" s="1">
        <f t="shared" si="0"/>
        <v>17.286200000000001</v>
      </c>
      <c r="E8" s="43"/>
      <c r="F8" s="1">
        <f t="shared" ref="F8:F11" si="8">+$C$17</f>
        <v>98.919499999999999</v>
      </c>
      <c r="G8" s="11"/>
      <c r="H8" s="11"/>
      <c r="I8" s="11"/>
      <c r="J8" s="4"/>
      <c r="K8" s="4"/>
      <c r="M8" s="10"/>
      <c r="N8" s="10"/>
      <c r="O8" s="36"/>
      <c r="P8" s="10"/>
      <c r="Q8" s="10"/>
      <c r="R8" s="36"/>
      <c r="S8" s="33"/>
      <c r="V8" s="7"/>
    </row>
    <row r="9" spans="1:25" x14ac:dyDescent="0.2">
      <c r="A9" s="1">
        <v>6</v>
      </c>
      <c r="B9" s="44"/>
      <c r="C9" s="43"/>
      <c r="D9" s="1">
        <f t="shared" si="0"/>
        <v>17.286200000000001</v>
      </c>
      <c r="E9" s="43"/>
      <c r="F9" s="1">
        <f t="shared" si="8"/>
        <v>98.919499999999999</v>
      </c>
      <c r="G9" s="11"/>
      <c r="H9" s="11"/>
      <c r="I9" s="11"/>
      <c r="J9" s="4"/>
      <c r="K9" s="4"/>
      <c r="M9" s="10"/>
      <c r="N9" s="10"/>
      <c r="O9" s="36"/>
      <c r="P9" s="10"/>
      <c r="Q9" s="10"/>
      <c r="R9" s="36"/>
      <c r="S9" s="33"/>
      <c r="V9" s="7"/>
    </row>
    <row r="10" spans="1:25" x14ac:dyDescent="0.2">
      <c r="A10" s="1">
        <v>7</v>
      </c>
      <c r="B10" s="44"/>
      <c r="C10" s="43"/>
      <c r="D10" s="1">
        <f t="shared" si="0"/>
        <v>17.286200000000001</v>
      </c>
      <c r="E10" s="43"/>
      <c r="F10" s="1">
        <f t="shared" si="8"/>
        <v>98.919499999999999</v>
      </c>
      <c r="G10" s="11"/>
      <c r="H10" s="11"/>
      <c r="I10" s="11"/>
      <c r="J10" s="4"/>
      <c r="K10" s="4"/>
      <c r="M10" s="10"/>
      <c r="N10" s="10"/>
      <c r="O10" s="36"/>
      <c r="P10" s="10"/>
      <c r="Q10" s="10"/>
      <c r="R10" s="36"/>
      <c r="S10" s="33"/>
      <c r="V10" s="7"/>
    </row>
    <row r="11" spans="1:25" x14ac:dyDescent="0.2">
      <c r="A11" s="1">
        <v>8</v>
      </c>
      <c r="B11" s="44"/>
      <c r="C11" s="43"/>
      <c r="D11" s="1">
        <f t="shared" si="0"/>
        <v>17.286200000000001</v>
      </c>
      <c r="E11" s="43"/>
      <c r="F11" s="1">
        <f t="shared" si="8"/>
        <v>98.919499999999999</v>
      </c>
      <c r="G11" s="11"/>
      <c r="H11" s="11"/>
      <c r="I11" s="11"/>
      <c r="J11" s="4"/>
      <c r="K11" s="4"/>
      <c r="M11" s="10"/>
      <c r="N11" s="10"/>
      <c r="O11" s="36"/>
      <c r="P11" s="10"/>
      <c r="Q11" s="10"/>
      <c r="R11" s="36"/>
      <c r="S11" s="33"/>
      <c r="V11" s="7"/>
    </row>
    <row r="12" spans="1:25" x14ac:dyDescent="0.2">
      <c r="C12" s="17">
        <f>+SUMPRODUCT(B4:B11,C4:C11)/SUM(B4:B11)</f>
        <v>17.28257752956636</v>
      </c>
      <c r="J12" s="38">
        <f>+SUM(J4:J11)</f>
        <v>3339.0827209778708</v>
      </c>
      <c r="K12" s="48"/>
      <c r="M12" s="31">
        <f t="shared" ref="M12:N12" si="9">+SUMPRODUCT(M4:M7,$B$4:$B$7)</f>
        <v>5766.5163296733745</v>
      </c>
      <c r="N12" s="31">
        <f t="shared" si="9"/>
        <v>-831.91172279924115</v>
      </c>
      <c r="O12" s="31">
        <f>+SUMPRODUCT(O4:O7,$B$4:$B$7)</f>
        <v>4934.6046068741334</v>
      </c>
      <c r="P12" s="31">
        <f t="shared" ref="P12:S12" si="10">+SUMPRODUCT(P4:P7,$B$4:$B$7)</f>
        <v>28659.335192233244</v>
      </c>
      <c r="Q12" s="31">
        <f t="shared" si="10"/>
        <v>-30254.075505315675</v>
      </c>
      <c r="R12" s="31">
        <f t="shared" si="10"/>
        <v>-1594.7403130824343</v>
      </c>
      <c r="S12" s="34">
        <f t="shared" si="10"/>
        <v>3339.0827209778708</v>
      </c>
      <c r="U12" t="s">
        <v>13</v>
      </c>
      <c r="V12">
        <f ca="1">+V7-1</f>
        <v>12</v>
      </c>
    </row>
    <row r="13" spans="1:25" x14ac:dyDescent="0.2">
      <c r="C13" s="13"/>
      <c r="L13" s="51"/>
      <c r="M13" s="10"/>
      <c r="N13" s="10"/>
      <c r="O13" s="10"/>
      <c r="P13" s="10"/>
      <c r="Q13" s="10"/>
      <c r="R13" s="10"/>
      <c r="S13" s="10"/>
      <c r="U13" t="s">
        <v>4</v>
      </c>
      <c r="V13">
        <f>+VLOOKUP($V$4,$A$1:$H$7,5,FALSE)</f>
        <v>98.854900000000001</v>
      </c>
    </row>
    <row r="14" spans="1:25" x14ac:dyDescent="0.2">
      <c r="U14" t="s">
        <v>5</v>
      </c>
      <c r="V14">
        <f>+VLOOKUP($V$4,$A$1:$H$7,3,FALSE)</f>
        <v>17.301500000000001</v>
      </c>
      <c r="Y14" s="8"/>
    </row>
    <row r="15" spans="1:25" x14ac:dyDescent="0.2">
      <c r="M15" s="12">
        <f>+$C$20*$C$22</f>
        <v>2272.1877796056938</v>
      </c>
      <c r="N15" s="12">
        <v>0</v>
      </c>
      <c r="O15" s="12">
        <f>N15+M15</f>
        <v>2272.1877796056938</v>
      </c>
      <c r="P15" s="12">
        <f>+C20*C21</f>
        <v>11292.674376091507</v>
      </c>
      <c r="Q15" s="12">
        <v>0</v>
      </c>
      <c r="R15" s="12">
        <f>+P15+Q15</f>
        <v>11292.674376091507</v>
      </c>
      <c r="U15" t="s">
        <v>6</v>
      </c>
      <c r="V15" s="8">
        <f ca="1">ROUND(1/(1+V13*V7/365),6)*100</f>
        <v>22.119700000000002</v>
      </c>
      <c r="W15" s="9">
        <f ca="1">100000*(V15-VLOOKUP($V$4,$A$1:$H$7,7,FALSE))</f>
        <v>2211881.4900903613</v>
      </c>
    </row>
    <row r="16" spans="1:25" x14ac:dyDescent="0.2">
      <c r="B16" s="20" t="s">
        <v>14</v>
      </c>
      <c r="C16" s="45">
        <v>17.286200000000001</v>
      </c>
      <c r="D16" t="s">
        <v>37</v>
      </c>
      <c r="O16" s="15">
        <f>+O12+O15</f>
        <v>7206.7923864798267</v>
      </c>
      <c r="R16" s="15">
        <f>+R12+R15</f>
        <v>9697.9340630090719</v>
      </c>
    </row>
    <row r="17" spans="2:22" x14ac:dyDescent="0.2">
      <c r="B17" s="20" t="s">
        <v>15</v>
      </c>
      <c r="C17" s="45">
        <f>100*0.989195</f>
        <v>98.919499999999999</v>
      </c>
      <c r="D17" t="s">
        <v>34</v>
      </c>
    </row>
    <row r="18" spans="2:22" ht="15" x14ac:dyDescent="0.25">
      <c r="B18" s="20" t="s">
        <v>12</v>
      </c>
      <c r="C18" s="45">
        <v>17.351299999999998</v>
      </c>
      <c r="D18" t="s">
        <v>36</v>
      </c>
      <c r="L18" s="52"/>
      <c r="M18" s="3"/>
      <c r="N18" s="3"/>
      <c r="O18" s="3"/>
      <c r="P18" s="3"/>
      <c r="Q18" s="3"/>
      <c r="R18" s="3"/>
      <c r="S18" s="3"/>
      <c r="T18" s="3"/>
      <c r="U18" s="53" t="s">
        <v>23</v>
      </c>
      <c r="V18" s="53"/>
    </row>
    <row r="19" spans="2:22" x14ac:dyDescent="0.2">
      <c r="B19" s="20" t="s">
        <v>11</v>
      </c>
      <c r="C19" s="45">
        <v>98.8446</v>
      </c>
      <c r="D19" t="s">
        <v>35</v>
      </c>
      <c r="M19" s="3" t="s">
        <v>29</v>
      </c>
      <c r="N19" s="14">
        <f>+P15+P12</f>
        <v>39952.009568324749</v>
      </c>
      <c r="O19" s="4"/>
      <c r="P19" s="4"/>
      <c r="Q19" s="4"/>
      <c r="R19" s="4"/>
      <c r="S19" s="4"/>
      <c r="T19" s="4"/>
      <c r="U19" s="1" t="s">
        <v>4</v>
      </c>
      <c r="V19" s="1" t="s">
        <v>6</v>
      </c>
    </row>
    <row r="20" spans="2:22" x14ac:dyDescent="0.2">
      <c r="B20" s="47" t="s">
        <v>33</v>
      </c>
      <c r="C20" s="46">
        <v>2998578</v>
      </c>
      <c r="D20" t="s">
        <v>38</v>
      </c>
      <c r="M20" s="3" t="s">
        <v>30</v>
      </c>
      <c r="N20" s="3">
        <f>Q12+N12</f>
        <v>-31085.987228114918</v>
      </c>
      <c r="O20" s="5"/>
      <c r="P20" s="5"/>
      <c r="Q20" s="5"/>
      <c r="R20" s="5"/>
      <c r="S20" s="5"/>
      <c r="T20" s="5"/>
      <c r="U20" s="2">
        <v>0.30668000000000001</v>
      </c>
      <c r="V20" s="23">
        <f ca="1">1/(1+U20*V12/365)</f>
        <v>0.99001801453053506</v>
      </c>
    </row>
    <row r="21" spans="2:22" x14ac:dyDescent="0.2">
      <c r="B21" s="24" t="s">
        <v>8</v>
      </c>
      <c r="C21" s="25">
        <f>+C18/C16-1</f>
        <v>3.7660098807139608E-3</v>
      </c>
      <c r="D21" s="14">
        <f>C21*C20</f>
        <v>11292.674376091507</v>
      </c>
      <c r="M21" s="4" t="s">
        <v>31</v>
      </c>
      <c r="N21" s="29">
        <f>+M12+M15</f>
        <v>8038.7041092790678</v>
      </c>
      <c r="O21" s="71"/>
    </row>
    <row r="22" spans="2:22" x14ac:dyDescent="0.2">
      <c r="B22" s="24" t="s">
        <v>24</v>
      </c>
      <c r="C22" s="25">
        <f>+C17/C19-1</f>
        <v>7.5775510245379429E-4</v>
      </c>
      <c r="D22" s="14">
        <f>C22*C20</f>
        <v>2272.1877796056938</v>
      </c>
      <c r="M22" s="5" t="s">
        <v>32</v>
      </c>
      <c r="N22" s="14">
        <f>+SUM(N19:N21)</f>
        <v>16904.726449488899</v>
      </c>
    </row>
    <row r="23" spans="2:22" x14ac:dyDescent="0.2">
      <c r="B23" s="27" t="s">
        <v>39</v>
      </c>
      <c r="C23" s="28">
        <f>+(1+C21)*(1+C22)-1</f>
        <v>4.5266186963708321E-3</v>
      </c>
    </row>
    <row r="24" spans="2:22" x14ac:dyDescent="0.2">
      <c r="B24" s="20" t="s">
        <v>40</v>
      </c>
      <c r="C24" s="21">
        <f>+C20*(1+C21)*(1+C22)</f>
        <v>3012151.4192373259</v>
      </c>
      <c r="D24" s="14"/>
      <c r="G24" s="16"/>
      <c r="N24" s="30">
        <f>+N22/C20</f>
        <v>5.6375810299044739E-3</v>
      </c>
    </row>
    <row r="25" spans="2:22" x14ac:dyDescent="0.2">
      <c r="B25" s="20" t="s">
        <v>41</v>
      </c>
      <c r="C25" s="35">
        <f>J12</f>
        <v>3339.0827209778708</v>
      </c>
      <c r="H25" s="30"/>
    </row>
    <row r="26" spans="2:22" x14ac:dyDescent="0.2">
      <c r="B26" s="24" t="s">
        <v>42</v>
      </c>
      <c r="C26" s="26">
        <f>+C25/C20</f>
        <v>1.1135553989183775E-3</v>
      </c>
    </row>
    <row r="27" spans="2:22" x14ac:dyDescent="0.2">
      <c r="B27" s="20" t="s">
        <v>43</v>
      </c>
      <c r="C27" s="35">
        <f>C20+D21+D22+C25</f>
        <v>3015481.944876675</v>
      </c>
      <c r="D27" s="58"/>
    </row>
    <row r="28" spans="2:22" x14ac:dyDescent="0.2">
      <c r="B28" s="20" t="s">
        <v>44</v>
      </c>
      <c r="C28" s="14">
        <f>C27-C20</f>
        <v>16903.944876675028</v>
      </c>
    </row>
    <row r="29" spans="2:22" x14ac:dyDescent="0.2">
      <c r="B29" s="20" t="s">
        <v>45</v>
      </c>
      <c r="C29" s="37">
        <f>+C27/C20-1</f>
        <v>5.6373203820860862E-3</v>
      </c>
    </row>
  </sheetData>
  <mergeCells count="2">
    <mergeCell ref="U3:V3"/>
    <mergeCell ref="U18:V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5670-5CBC-4F92-A303-B57DE505622D}">
  <dimension ref="A1"/>
  <sheetViews>
    <sheetView workbookViewId="0">
      <selection activeCell="B2" sqref="B2"/>
    </sheetView>
  </sheetViews>
  <sheetFormatPr baseColWidth="10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FE55E-58FB-41D8-A8C9-18F6C23F606B}">
  <dimension ref="B2:T10"/>
  <sheetViews>
    <sheetView workbookViewId="0">
      <selection activeCell="H19" sqref="H19"/>
    </sheetView>
  </sheetViews>
  <sheetFormatPr baseColWidth="10" defaultRowHeight="14.25" x14ac:dyDescent="0.2"/>
  <cols>
    <col min="4" max="4" width="11.875" bestFit="1" customWidth="1"/>
    <col min="5" max="5" width="11.875" customWidth="1"/>
    <col min="8" max="8" width="12.125" bestFit="1" customWidth="1"/>
    <col min="9" max="9" width="12.5" bestFit="1" customWidth="1"/>
    <col min="10" max="10" width="17.75" bestFit="1" customWidth="1"/>
    <col min="11" max="11" width="17.625" bestFit="1" customWidth="1"/>
    <col min="12" max="12" width="17.625" customWidth="1"/>
    <col min="13" max="13" width="16.5" bestFit="1" customWidth="1"/>
    <col min="14" max="14" width="13.5" bestFit="1" customWidth="1"/>
  </cols>
  <sheetData>
    <row r="2" spans="2:20" x14ac:dyDescent="0.2">
      <c r="B2" t="s">
        <v>55</v>
      </c>
      <c r="C2" t="s">
        <v>56</v>
      </c>
      <c r="D2" t="s">
        <v>47</v>
      </c>
      <c r="E2" t="s">
        <v>65</v>
      </c>
      <c r="F2" t="s">
        <v>57</v>
      </c>
      <c r="G2" t="s">
        <v>2</v>
      </c>
      <c r="H2" t="s">
        <v>59</v>
      </c>
      <c r="I2" t="s">
        <v>60</v>
      </c>
      <c r="J2" t="s">
        <v>61</v>
      </c>
      <c r="K2" t="s">
        <v>62</v>
      </c>
      <c r="L2" t="s">
        <v>66</v>
      </c>
      <c r="M2" t="s">
        <v>63</v>
      </c>
      <c r="N2" t="s">
        <v>64</v>
      </c>
    </row>
    <row r="3" spans="2:20" x14ac:dyDescent="0.2">
      <c r="B3">
        <v>78365</v>
      </c>
      <c r="C3" t="s">
        <v>51</v>
      </c>
      <c r="D3">
        <v>1</v>
      </c>
      <c r="E3">
        <f>3*10^6</f>
        <v>3000000</v>
      </c>
      <c r="F3">
        <v>52638796</v>
      </c>
      <c r="G3">
        <v>14</v>
      </c>
      <c r="H3" s="6">
        <v>43074</v>
      </c>
      <c r="I3" s="56">
        <v>98.919499999999999</v>
      </c>
      <c r="J3" s="4">
        <f>+E3*(I3/K3)</f>
        <v>3002273.2653073613</v>
      </c>
      <c r="K3" s="55">
        <v>98.8446</v>
      </c>
      <c r="L3" s="10">
        <f>+I3/K3-1</f>
        <v>7.5775510245379429E-4</v>
      </c>
      <c r="N3" s="1"/>
      <c r="S3" t="s">
        <v>52</v>
      </c>
      <c r="T3" t="s">
        <v>52</v>
      </c>
    </row>
    <row r="4" spans="2:20" x14ac:dyDescent="0.2">
      <c r="B4">
        <v>78383</v>
      </c>
      <c r="C4" t="s">
        <v>51</v>
      </c>
      <c r="D4">
        <v>1</v>
      </c>
      <c r="E4">
        <f>2*10^6</f>
        <v>2000000</v>
      </c>
      <c r="F4">
        <v>34977485</v>
      </c>
      <c r="G4">
        <v>14</v>
      </c>
      <c r="H4" s="6">
        <v>43075</v>
      </c>
      <c r="I4" s="56">
        <v>98.919499999999999</v>
      </c>
      <c r="J4" s="4">
        <f t="shared" ref="J4:J7" si="0">+I4*F4/100</f>
        <v>34599553.274575002</v>
      </c>
      <c r="K4" s="56">
        <v>98.849299999999999</v>
      </c>
      <c r="L4" s="10">
        <f t="shared" ref="L4:L6" si="1">+I4/K4-1</f>
        <v>7.1017194861267008E-4</v>
      </c>
      <c r="N4" s="54"/>
      <c r="S4" t="s">
        <v>53</v>
      </c>
      <c r="T4" t="s">
        <v>54</v>
      </c>
    </row>
    <row r="5" spans="2:20" x14ac:dyDescent="0.2">
      <c r="B5">
        <v>78384</v>
      </c>
      <c r="C5" t="s">
        <v>51</v>
      </c>
      <c r="D5">
        <v>1</v>
      </c>
      <c r="E5">
        <f>+E4</f>
        <v>2000000</v>
      </c>
      <c r="F5">
        <v>34929741</v>
      </c>
      <c r="G5">
        <v>14</v>
      </c>
      <c r="H5" s="6">
        <v>43075</v>
      </c>
      <c r="I5" s="56">
        <v>98.919499999999999</v>
      </c>
      <c r="J5" s="4">
        <f t="shared" si="0"/>
        <v>34552325.148495004</v>
      </c>
      <c r="K5" s="56">
        <v>98.869900000000001</v>
      </c>
      <c r="L5" s="10">
        <f t="shared" si="1"/>
        <v>5.0166936549955743E-4</v>
      </c>
      <c r="N5" s="54"/>
      <c r="S5" t="s">
        <v>54</v>
      </c>
      <c r="T5" t="s">
        <v>54</v>
      </c>
    </row>
    <row r="6" spans="2:20" x14ac:dyDescent="0.2">
      <c r="B6">
        <v>78382</v>
      </c>
      <c r="C6" t="s">
        <v>51</v>
      </c>
      <c r="D6">
        <v>1</v>
      </c>
      <c r="E6">
        <f>+E5</f>
        <v>2000000</v>
      </c>
      <c r="F6">
        <v>34957925</v>
      </c>
      <c r="G6">
        <v>14</v>
      </c>
      <c r="H6" s="6">
        <v>43075</v>
      </c>
      <c r="I6" s="56">
        <v>98.919499999999999</v>
      </c>
      <c r="J6" s="4">
        <f t="shared" si="0"/>
        <v>34580204.620375</v>
      </c>
      <c r="K6" s="56">
        <v>98.847399999999993</v>
      </c>
      <c r="L6" s="10">
        <f t="shared" si="1"/>
        <v>7.2940714677383056E-4</v>
      </c>
      <c r="N6" s="54"/>
      <c r="S6" t="s">
        <v>53</v>
      </c>
      <c r="T6" t="s">
        <v>54</v>
      </c>
    </row>
    <row r="7" spans="2:20" x14ac:dyDescent="0.2">
      <c r="B7">
        <v>78385</v>
      </c>
      <c r="C7" t="s">
        <v>51</v>
      </c>
      <c r="D7">
        <v>1</v>
      </c>
      <c r="E7">
        <v>1610000</v>
      </c>
      <c r="F7">
        <v>28178082</v>
      </c>
      <c r="G7">
        <v>14</v>
      </c>
      <c r="H7" s="6">
        <v>43075</v>
      </c>
      <c r="I7" s="56">
        <v>98.919499999999999</v>
      </c>
      <c r="J7" s="4">
        <f t="shared" si="0"/>
        <v>27873617.823990002</v>
      </c>
      <c r="K7" s="56">
        <v>98.854900000000001</v>
      </c>
      <c r="L7" s="10">
        <f>+I7/K7-1</f>
        <v>6.5348303422485543E-4</v>
      </c>
      <c r="N7" s="54"/>
      <c r="S7" t="s">
        <v>53</v>
      </c>
      <c r="T7" t="s">
        <v>54</v>
      </c>
    </row>
    <row r="10" spans="2:20" x14ac:dyDescent="0.2">
      <c r="J10" s="10">
        <f>+J3/E3-1</f>
        <v>7.5775510245379429E-4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E1C7-8D29-45FB-A0CB-49DD58154434}">
  <dimension ref="A1:B2"/>
  <sheetViews>
    <sheetView workbookViewId="0">
      <selection activeCell="D41" sqref="D41"/>
    </sheetView>
  </sheetViews>
  <sheetFormatPr baseColWidth="10" defaultRowHeight="14.25" x14ac:dyDescent="0.2"/>
  <cols>
    <col min="1" max="1" width="11.875" bestFit="1" customWidth="1"/>
  </cols>
  <sheetData>
    <row r="1" spans="1:2" x14ac:dyDescent="0.2">
      <c r="A1" t="s">
        <v>47</v>
      </c>
      <c r="B1" t="s">
        <v>48</v>
      </c>
    </row>
    <row r="2" spans="1:2" x14ac:dyDescent="0.2">
      <c r="A2">
        <v>1</v>
      </c>
      <c r="B2" s="6">
        <v>43089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AC844-1FD8-4DFD-84DD-354DEA1B2E10}">
  <dimension ref="A1:C12"/>
  <sheetViews>
    <sheetView workbookViewId="0">
      <selection activeCell="C3" sqref="C3"/>
    </sheetView>
  </sheetViews>
  <sheetFormatPr baseColWidth="10" defaultRowHeight="14.25" x14ac:dyDescent="0.2"/>
  <cols>
    <col min="1" max="1" width="11.875" bestFit="1" customWidth="1"/>
  </cols>
  <sheetData>
    <row r="1" spans="1:3" x14ac:dyDescent="0.2">
      <c r="A1" t="s">
        <v>47</v>
      </c>
      <c r="B1" t="s">
        <v>49</v>
      </c>
      <c r="C1" t="s">
        <v>50</v>
      </c>
    </row>
    <row r="2" spans="1:3" x14ac:dyDescent="0.2">
      <c r="A2">
        <v>1</v>
      </c>
      <c r="B2" s="6">
        <v>43074</v>
      </c>
      <c r="C2">
        <v>98.8446</v>
      </c>
    </row>
    <row r="3" spans="1:3" x14ac:dyDescent="0.2">
      <c r="A3">
        <v>1</v>
      </c>
      <c r="B3" s="6">
        <v>43075</v>
      </c>
      <c r="C3">
        <v>98.919499999999999</v>
      </c>
    </row>
    <row r="4" spans="1:3" x14ac:dyDescent="0.2">
      <c r="A4">
        <v>1</v>
      </c>
      <c r="B4" s="6">
        <v>43076</v>
      </c>
    </row>
    <row r="5" spans="1:3" x14ac:dyDescent="0.2">
      <c r="A5">
        <v>1</v>
      </c>
      <c r="B5" s="6">
        <v>43077</v>
      </c>
    </row>
    <row r="6" spans="1:3" x14ac:dyDescent="0.2">
      <c r="A6">
        <v>1</v>
      </c>
      <c r="B6" s="6">
        <v>43078</v>
      </c>
    </row>
    <row r="7" spans="1:3" x14ac:dyDescent="0.2">
      <c r="B7" s="6"/>
    </row>
    <row r="8" spans="1:3" x14ac:dyDescent="0.2">
      <c r="B8" s="6"/>
    </row>
    <row r="9" spans="1:3" x14ac:dyDescent="0.2">
      <c r="B9" s="6"/>
    </row>
    <row r="10" spans="1:3" x14ac:dyDescent="0.2">
      <c r="B10" s="6"/>
    </row>
    <row r="11" spans="1:3" x14ac:dyDescent="0.2">
      <c r="B11" s="6"/>
    </row>
    <row r="12" spans="1:3" x14ac:dyDescent="0.2">
      <c r="B1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6317A-B57E-41C9-A8D0-C675E221E3BB}">
  <dimension ref="B2:R31"/>
  <sheetViews>
    <sheetView tabSelected="1" topLeftCell="E1" workbookViewId="0">
      <selection activeCell="L10" sqref="L10:L14"/>
    </sheetView>
  </sheetViews>
  <sheetFormatPr baseColWidth="10" defaultRowHeight="14.25" x14ac:dyDescent="0.2"/>
  <cols>
    <col min="3" max="3" width="10.875" bestFit="1" customWidth="1"/>
    <col min="4" max="4" width="15.125" bestFit="1" customWidth="1"/>
    <col min="6" max="6" width="12.125" bestFit="1" customWidth="1"/>
    <col min="7" max="7" width="13.375" bestFit="1" customWidth="1"/>
    <col min="8" max="8" width="12.625" bestFit="1" customWidth="1"/>
    <col min="9" max="9" width="14.125" bestFit="1" customWidth="1"/>
    <col min="10" max="10" width="19.5" bestFit="1" customWidth="1"/>
    <col min="11" max="11" width="16" bestFit="1" customWidth="1"/>
    <col min="12" max="14" width="26.75" bestFit="1" customWidth="1"/>
    <col min="15" max="15" width="11.625" bestFit="1" customWidth="1"/>
    <col min="16" max="16" width="15" bestFit="1" customWidth="1"/>
  </cols>
  <sheetData>
    <row r="2" spans="2:18" x14ac:dyDescent="0.2">
      <c r="B2" s="64">
        <v>43074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2:18" ht="15" x14ac:dyDescent="0.25">
      <c r="B3" s="39" t="s">
        <v>55</v>
      </c>
      <c r="C3" s="39" t="s">
        <v>56</v>
      </c>
      <c r="D3" s="39" t="s">
        <v>67</v>
      </c>
      <c r="E3" s="39" t="s">
        <v>2</v>
      </c>
      <c r="F3" s="39" t="s">
        <v>59</v>
      </c>
      <c r="G3" s="39" t="s">
        <v>60</v>
      </c>
      <c r="H3" s="39" t="s">
        <v>68</v>
      </c>
      <c r="I3" s="39" t="s">
        <v>61</v>
      </c>
      <c r="J3" s="39" t="s">
        <v>62</v>
      </c>
      <c r="K3" s="39" t="s">
        <v>69</v>
      </c>
      <c r="L3" s="39" t="s">
        <v>70</v>
      </c>
      <c r="M3" s="39" t="s">
        <v>66</v>
      </c>
      <c r="N3" s="39" t="s">
        <v>64</v>
      </c>
    </row>
    <row r="4" spans="2:18" x14ac:dyDescent="0.2">
      <c r="B4" s="1">
        <v>78365</v>
      </c>
      <c r="C4" s="1" t="s">
        <v>51</v>
      </c>
      <c r="D4" s="3">
        <v>52638796</v>
      </c>
      <c r="E4" s="1">
        <v>15</v>
      </c>
      <c r="F4" s="60">
        <v>43074</v>
      </c>
      <c r="G4" s="1">
        <v>98.8446</v>
      </c>
      <c r="H4" s="1">
        <v>17.351299999999998</v>
      </c>
      <c r="I4" s="3">
        <f>+L4*(1+M4)</f>
        <v>3014379.8289196328</v>
      </c>
      <c r="J4" s="1">
        <v>98.810199999999995</v>
      </c>
      <c r="K4" s="1">
        <v>17.2608</v>
      </c>
      <c r="L4" s="3">
        <f>+D4*J4/100/K4</f>
        <v>3013330.7613315717</v>
      </c>
      <c r="M4" s="11">
        <f>+G4/J4-1</f>
        <v>3.4814219584622386E-4</v>
      </c>
      <c r="N4" s="61">
        <f>+I4-L4</f>
        <v>1049.0675880610943</v>
      </c>
    </row>
    <row r="7" spans="2:18" x14ac:dyDescent="0.2">
      <c r="B7" s="63">
        <v>43075</v>
      </c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spans="2:18" ht="15" x14ac:dyDescent="0.25">
      <c r="B8" s="39" t="s">
        <v>55</v>
      </c>
      <c r="C8" s="39" t="s">
        <v>56</v>
      </c>
      <c r="D8" s="39" t="s">
        <v>67</v>
      </c>
      <c r="E8" s="39" t="s">
        <v>2</v>
      </c>
      <c r="F8" s="39" t="s">
        <v>59</v>
      </c>
      <c r="G8" s="39" t="s">
        <v>60</v>
      </c>
      <c r="H8" s="39" t="s">
        <v>68</v>
      </c>
      <c r="I8" s="39" t="s">
        <v>61</v>
      </c>
      <c r="J8" s="39" t="s">
        <v>79</v>
      </c>
      <c r="K8" s="39" t="s">
        <v>80</v>
      </c>
      <c r="L8" s="39" t="s">
        <v>78</v>
      </c>
      <c r="M8" s="39" t="s">
        <v>70</v>
      </c>
      <c r="N8" s="39" t="s">
        <v>66</v>
      </c>
      <c r="O8" s="39" t="s">
        <v>64</v>
      </c>
    </row>
    <row r="9" spans="2:18" x14ac:dyDescent="0.2">
      <c r="B9">
        <v>78365</v>
      </c>
      <c r="C9" t="s">
        <v>51</v>
      </c>
      <c r="D9" s="4">
        <v>52638796</v>
      </c>
      <c r="E9">
        <v>14</v>
      </c>
      <c r="F9" s="6">
        <v>43074</v>
      </c>
      <c r="G9" s="56">
        <v>98.919499999999999</v>
      </c>
      <c r="H9" s="66">
        <v>17.286200000000001</v>
      </c>
      <c r="I9" s="54">
        <f>+D9/L9*G9/100</f>
        <v>3000929.8328782283</v>
      </c>
      <c r="J9" s="67">
        <v>98.8446</v>
      </c>
      <c r="L9">
        <v>17.351299999999998</v>
      </c>
      <c r="M9" s="3">
        <f>+D9*J9/100/L9</f>
        <v>2998657.5847928398</v>
      </c>
      <c r="N9" s="11">
        <f>+G9/J9-1</f>
        <v>7.5775510245379429E-4</v>
      </c>
      <c r="O9" s="58">
        <f>+I9-M9</f>
        <v>2272.2480853884481</v>
      </c>
      <c r="R9" s="10"/>
    </row>
    <row r="10" spans="2:18" x14ac:dyDescent="0.2">
      <c r="B10">
        <v>78383</v>
      </c>
      <c r="C10" t="s">
        <v>51</v>
      </c>
      <c r="D10" s="4">
        <v>34977485</v>
      </c>
      <c r="E10">
        <v>14</v>
      </c>
      <c r="F10" s="6">
        <v>43075</v>
      </c>
      <c r="G10" s="56">
        <v>98.919499999999999</v>
      </c>
      <c r="H10" s="66">
        <v>17.286200000000001</v>
      </c>
      <c r="I10" s="54">
        <f>+D10/L10*G10/100</f>
        <v>1994061.1524539951</v>
      </c>
      <c r="J10" s="67">
        <v>98.8446</v>
      </c>
      <c r="K10">
        <v>98.849299999999999</v>
      </c>
      <c r="L10">
        <v>17.351299999999998</v>
      </c>
      <c r="M10" s="3">
        <f>+D10*K10/100/L10</f>
        <v>1992646.0311391654</v>
      </c>
      <c r="N10" s="11">
        <f>+G10/J10-1</f>
        <v>7.5775510245379429E-4</v>
      </c>
      <c r="O10" s="58">
        <f>+I10-M10</f>
        <v>1415.1213148296811</v>
      </c>
      <c r="Q10" s="16"/>
    </row>
    <row r="11" spans="2:18" x14ac:dyDescent="0.2">
      <c r="B11">
        <v>78384</v>
      </c>
      <c r="C11" t="s">
        <v>51</v>
      </c>
      <c r="D11" s="4">
        <v>34929741</v>
      </c>
      <c r="E11">
        <v>14</v>
      </c>
      <c r="F11" s="6">
        <v>43075</v>
      </c>
      <c r="G11" s="56">
        <v>98.919499999999999</v>
      </c>
      <c r="H11" s="66">
        <v>17.286200000000001</v>
      </c>
      <c r="I11" s="54">
        <f t="shared" ref="I11:I13" si="0">+D11/L11*G11/100</f>
        <v>1991339.2742039505</v>
      </c>
      <c r="J11" s="67">
        <v>98.8446</v>
      </c>
      <c r="K11">
        <v>98.869900000000001</v>
      </c>
      <c r="L11">
        <v>17.351299999999998</v>
      </c>
      <c r="M11" s="3">
        <f>+D11*K11/100/L11</f>
        <v>1990340.7812071145</v>
      </c>
      <c r="N11" s="11">
        <f>+G11/J11-1</f>
        <v>7.5775510245379429E-4</v>
      </c>
      <c r="O11" s="58">
        <f>+I11-M11</f>
        <v>998.49299683608115</v>
      </c>
      <c r="Q11" s="16"/>
    </row>
    <row r="12" spans="2:18" x14ac:dyDescent="0.2">
      <c r="B12">
        <v>78382</v>
      </c>
      <c r="C12" t="s">
        <v>51</v>
      </c>
      <c r="D12" s="4">
        <v>34957925</v>
      </c>
      <c r="E12">
        <v>14</v>
      </c>
      <c r="F12" s="6">
        <v>43075</v>
      </c>
      <c r="G12" s="56">
        <v>98.919499999999999</v>
      </c>
      <c r="H12" s="66">
        <v>17.286200000000001</v>
      </c>
      <c r="I12" s="54">
        <f t="shared" si="0"/>
        <v>1992946.0397996115</v>
      </c>
      <c r="J12" s="67">
        <v>98.8446</v>
      </c>
      <c r="K12">
        <v>98.847399999999993</v>
      </c>
      <c r="L12">
        <v>17.351299999999998</v>
      </c>
      <c r="M12" s="3">
        <f>+D12*K12/100/L12</f>
        <v>1991493.430258828</v>
      </c>
      <c r="N12" s="11">
        <f>+G12/J12-1</f>
        <v>7.5775510245379429E-4</v>
      </c>
      <c r="O12" s="58">
        <f>+I12-M12</f>
        <v>1452.6095407835674</v>
      </c>
      <c r="Q12" s="16"/>
    </row>
    <row r="13" spans="2:18" x14ac:dyDescent="0.2">
      <c r="B13">
        <v>78385</v>
      </c>
      <c r="C13" t="s">
        <v>51</v>
      </c>
      <c r="D13" s="4">
        <v>28178082</v>
      </c>
      <c r="E13">
        <v>14</v>
      </c>
      <c r="F13" s="6">
        <v>43075</v>
      </c>
      <c r="G13" s="56">
        <v>98.919499999999999</v>
      </c>
      <c r="H13" s="66">
        <v>17.286200000000001</v>
      </c>
      <c r="I13" s="54">
        <f t="shared" si="0"/>
        <v>1606428.2113726351</v>
      </c>
      <c r="J13" s="67">
        <v>98.8446</v>
      </c>
      <c r="K13">
        <v>98.854900000000001</v>
      </c>
      <c r="L13">
        <v>17.351299999999998</v>
      </c>
      <c r="M13" s="3">
        <f>+D13*K13/100/L13</f>
        <v>1605379.1233520259</v>
      </c>
      <c r="N13" s="11">
        <f>+G13/J13-1</f>
        <v>7.5775510245379429E-4</v>
      </c>
      <c r="O13" s="58">
        <f>+I13-M13</f>
        <v>1049.0880206092261</v>
      </c>
      <c r="Q13" s="16"/>
    </row>
    <row r="14" spans="2:18" x14ac:dyDescent="0.2">
      <c r="I14" s="54">
        <f>+SUM(I9:I13)</f>
        <v>10585704.51070842</v>
      </c>
      <c r="M14" s="5">
        <f>+SUM(M9:M13)</f>
        <v>10578516.950749975</v>
      </c>
      <c r="O14" s="58">
        <f>+I14-M14</f>
        <v>7187.5599584449083</v>
      </c>
      <c r="Q14" s="16"/>
    </row>
    <row r="16" spans="2:18" x14ac:dyDescent="0.2">
      <c r="N16" s="16"/>
    </row>
    <row r="17" spans="7:14" x14ac:dyDescent="0.2">
      <c r="J17" s="30"/>
    </row>
    <row r="18" spans="7:14" x14ac:dyDescent="0.2">
      <c r="J18" s="30"/>
      <c r="N18" s="16"/>
    </row>
    <row r="19" spans="7:14" x14ac:dyDescent="0.2">
      <c r="J19" s="30"/>
    </row>
    <row r="20" spans="7:14" x14ac:dyDescent="0.2">
      <c r="J20" s="30"/>
    </row>
    <row r="24" spans="7:14" x14ac:dyDescent="0.2">
      <c r="H24" s="10"/>
      <c r="J24" s="69"/>
    </row>
    <row r="25" spans="7:14" x14ac:dyDescent="0.2">
      <c r="H25" s="10"/>
    </row>
    <row r="31" spans="7:14" x14ac:dyDescent="0.2">
      <c r="G31" s="30"/>
    </row>
  </sheetData>
  <mergeCells count="2">
    <mergeCell ref="B2:N2"/>
    <mergeCell ref="B7:N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DCD2-BC99-4EE9-8161-915CB0429A29}">
  <dimension ref="D6:Q12"/>
  <sheetViews>
    <sheetView workbookViewId="0">
      <selection activeCell="O7" sqref="O7"/>
    </sheetView>
  </sheetViews>
  <sheetFormatPr baseColWidth="10" defaultRowHeight="14.25" x14ac:dyDescent="0.2"/>
  <cols>
    <col min="5" max="5" width="11.5" bestFit="1" customWidth="1"/>
    <col min="6" max="6" width="12.625" bestFit="1" customWidth="1"/>
    <col min="7" max="7" width="9.75" bestFit="1" customWidth="1"/>
    <col min="8" max="8" width="12.75" bestFit="1" customWidth="1"/>
    <col min="9" max="9" width="13.375" bestFit="1" customWidth="1"/>
    <col min="10" max="10" width="7.875" bestFit="1" customWidth="1"/>
    <col min="11" max="11" width="13.625" bestFit="1" customWidth="1"/>
    <col min="12" max="12" width="14.25" bestFit="1" customWidth="1"/>
    <col min="13" max="13" width="11.75" bestFit="1" customWidth="1"/>
    <col min="14" max="14" width="10.75" bestFit="1" customWidth="1"/>
    <col min="15" max="15" width="26.75" bestFit="1" customWidth="1"/>
  </cols>
  <sheetData>
    <row r="6" spans="4:17" ht="15" x14ac:dyDescent="0.25">
      <c r="D6" s="39" t="s">
        <v>55</v>
      </c>
      <c r="E6" s="39" t="s">
        <v>56</v>
      </c>
      <c r="F6" s="39" t="s">
        <v>67</v>
      </c>
      <c r="G6" s="39" t="s">
        <v>2</v>
      </c>
      <c r="H6" s="39" t="s">
        <v>59</v>
      </c>
      <c r="I6" s="39" t="s">
        <v>60</v>
      </c>
      <c r="J6" s="39" t="s">
        <v>68</v>
      </c>
      <c r="K6" s="39" t="s">
        <v>61</v>
      </c>
      <c r="L6" s="39" t="s">
        <v>79</v>
      </c>
      <c r="M6" s="39" t="s">
        <v>80</v>
      </c>
      <c r="N6" s="39" t="s">
        <v>78</v>
      </c>
      <c r="O6" s="39" t="s">
        <v>70</v>
      </c>
      <c r="P6" s="39" t="s">
        <v>66</v>
      </c>
      <c r="Q6" s="39" t="s">
        <v>64</v>
      </c>
    </row>
    <row r="7" spans="4:17" x14ac:dyDescent="0.2">
      <c r="D7">
        <v>78365</v>
      </c>
      <c r="E7" t="s">
        <v>51</v>
      </c>
      <c r="F7" s="4">
        <v>52638796</v>
      </c>
      <c r="G7">
        <v>14</v>
      </c>
      <c r="H7" s="6">
        <v>43074</v>
      </c>
      <c r="I7" s="56">
        <v>98.919499999999999</v>
      </c>
      <c r="J7" s="66">
        <v>17.286200000000001</v>
      </c>
      <c r="K7" s="54">
        <f>+F7/N7*I7/100</f>
        <v>3000929.8328782283</v>
      </c>
      <c r="L7" s="67">
        <v>98.8446</v>
      </c>
      <c r="N7">
        <v>17.351299999999998</v>
      </c>
      <c r="O7" s="3">
        <f>+F7*L7/100/N7</f>
        <v>2998657.5847928398</v>
      </c>
      <c r="P7" s="11">
        <f>+I7/L7-1</f>
        <v>7.5775510245379429E-4</v>
      </c>
      <c r="Q7" s="58">
        <f>+K7-O7</f>
        <v>2272.2480853884481</v>
      </c>
    </row>
    <row r="8" spans="4:17" x14ac:dyDescent="0.2">
      <c r="D8">
        <v>78383</v>
      </c>
      <c r="E8" t="s">
        <v>51</v>
      </c>
      <c r="F8" s="4">
        <v>34977485</v>
      </c>
      <c r="G8">
        <v>14</v>
      </c>
      <c r="H8" s="6">
        <v>43075</v>
      </c>
      <c r="I8" s="56">
        <v>98.919499999999999</v>
      </c>
      <c r="J8" s="66">
        <v>17.286200000000001</v>
      </c>
      <c r="K8" s="54">
        <f>+F8/N8*I8/100</f>
        <v>1994061.1524539951</v>
      </c>
      <c r="L8" s="67">
        <v>98.8446</v>
      </c>
      <c r="M8">
        <v>98.849299999999999</v>
      </c>
      <c r="N8">
        <v>17.351299999999998</v>
      </c>
      <c r="O8" s="3">
        <f>+F8*M8/100/N8</f>
        <v>1992646.0311391654</v>
      </c>
      <c r="P8" s="11">
        <f>+I8/L8-1</f>
        <v>7.5775510245379429E-4</v>
      </c>
      <c r="Q8" s="58">
        <f>+K8-O8</f>
        <v>1415.1213148296811</v>
      </c>
    </row>
    <row r="9" spans="4:17" x14ac:dyDescent="0.2">
      <c r="D9">
        <v>78384</v>
      </c>
      <c r="E9" t="s">
        <v>51</v>
      </c>
      <c r="F9" s="4">
        <v>34929741</v>
      </c>
      <c r="G9">
        <v>14</v>
      </c>
      <c r="H9" s="6">
        <v>43075</v>
      </c>
      <c r="I9" s="56">
        <v>98.919499999999999</v>
      </c>
      <c r="J9" s="66">
        <v>17.286200000000001</v>
      </c>
      <c r="K9" s="54">
        <f t="shared" ref="K9:K11" si="0">+F9/N9*I9/100</f>
        <v>1991339.2742039505</v>
      </c>
      <c r="L9" s="67">
        <v>98.8446</v>
      </c>
      <c r="M9">
        <v>98.869900000000001</v>
      </c>
      <c r="N9">
        <v>17.351299999999998</v>
      </c>
      <c r="O9" s="3">
        <f>+F9*M9/100/N9</f>
        <v>1990340.7812071145</v>
      </c>
      <c r="P9" s="11">
        <f>+I9/L9-1</f>
        <v>7.5775510245379429E-4</v>
      </c>
      <c r="Q9" s="58">
        <f>+K9-O9</f>
        <v>998.49299683608115</v>
      </c>
    </row>
    <row r="10" spans="4:17" x14ac:dyDescent="0.2">
      <c r="D10">
        <v>78382</v>
      </c>
      <c r="E10" t="s">
        <v>51</v>
      </c>
      <c r="F10" s="4">
        <v>34957925</v>
      </c>
      <c r="G10">
        <v>14</v>
      </c>
      <c r="H10" s="6">
        <v>43075</v>
      </c>
      <c r="I10" s="56">
        <v>98.919499999999999</v>
      </c>
      <c r="J10" s="66">
        <v>17.286200000000001</v>
      </c>
      <c r="K10" s="54">
        <f t="shared" si="0"/>
        <v>1992946.0397996115</v>
      </c>
      <c r="L10" s="67">
        <v>98.8446</v>
      </c>
      <c r="M10">
        <v>98.847399999999993</v>
      </c>
      <c r="N10">
        <v>17.351299999999998</v>
      </c>
      <c r="O10" s="3">
        <f>+F10*M10/100/N10</f>
        <v>1991493.430258828</v>
      </c>
      <c r="P10" s="11">
        <f>+I10/L10-1</f>
        <v>7.5775510245379429E-4</v>
      </c>
      <c r="Q10" s="58">
        <f>+K10-O10</f>
        <v>1452.6095407835674</v>
      </c>
    </row>
    <row r="11" spans="4:17" x14ac:dyDescent="0.2">
      <c r="D11">
        <v>78385</v>
      </c>
      <c r="E11" t="s">
        <v>51</v>
      </c>
      <c r="F11" s="4">
        <v>28178082</v>
      </c>
      <c r="G11">
        <v>14</v>
      </c>
      <c r="H11" s="6">
        <v>43075</v>
      </c>
      <c r="I11" s="56">
        <v>98.919499999999999</v>
      </c>
      <c r="J11" s="66">
        <v>17.286200000000001</v>
      </c>
      <c r="K11" s="54">
        <f t="shared" si="0"/>
        <v>1606428.2113726351</v>
      </c>
      <c r="L11" s="67">
        <v>98.8446</v>
      </c>
      <c r="M11">
        <v>98.854900000000001</v>
      </c>
      <c r="N11">
        <v>17.351299999999998</v>
      </c>
      <c r="O11" s="3">
        <f>+F11*M11/100/N11</f>
        <v>1605379.1233520259</v>
      </c>
      <c r="P11" s="11">
        <f>+I11/L11-1</f>
        <v>7.5775510245379429E-4</v>
      </c>
      <c r="Q11" s="58">
        <f>+K11-O11</f>
        <v>1049.0880206092261</v>
      </c>
    </row>
    <row r="12" spans="4:17" x14ac:dyDescent="0.2">
      <c r="K12" s="54">
        <f>+SUM(K7:K11)</f>
        <v>10585704.51070842</v>
      </c>
      <c r="O12" s="5">
        <f>+SUM(O7:O11)</f>
        <v>10578516.950749975</v>
      </c>
      <c r="Q12" s="58">
        <f>+K12-O12</f>
        <v>7187.5599584449083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CC254-A9CE-4716-A8E2-BFF3783BC224}">
  <dimension ref="C2:N15"/>
  <sheetViews>
    <sheetView workbookViewId="0">
      <selection activeCell="J16" sqref="J16"/>
    </sheetView>
  </sheetViews>
  <sheetFormatPr baseColWidth="10" defaultRowHeight="14.25" x14ac:dyDescent="0.2"/>
  <cols>
    <col min="3" max="3" width="12.75" bestFit="1" customWidth="1"/>
    <col min="4" max="4" width="10.625" bestFit="1" customWidth="1"/>
    <col min="5" max="5" width="11.625" customWidth="1"/>
    <col min="6" max="6" width="11.5" customWidth="1"/>
    <col min="9" max="9" width="14.125" bestFit="1" customWidth="1"/>
  </cols>
  <sheetData>
    <row r="2" spans="3:14" x14ac:dyDescent="0.2">
      <c r="C2" s="63">
        <v>43074</v>
      </c>
      <c r="D2" s="63"/>
      <c r="E2" s="63"/>
      <c r="F2" s="63"/>
      <c r="G2" s="63"/>
      <c r="H2" s="63"/>
      <c r="I2" s="63"/>
      <c r="J2" s="63"/>
      <c r="K2" s="63"/>
    </row>
    <row r="3" spans="3:14" ht="15" x14ac:dyDescent="0.25">
      <c r="C3" s="68" t="s">
        <v>71</v>
      </c>
      <c r="D3" s="68" t="s">
        <v>72</v>
      </c>
      <c r="E3" s="68" t="s">
        <v>58</v>
      </c>
      <c r="F3" s="68" t="s">
        <v>74</v>
      </c>
      <c r="G3" s="68" t="s">
        <v>50</v>
      </c>
      <c r="H3" s="68" t="s">
        <v>5</v>
      </c>
      <c r="I3" s="68" t="s">
        <v>75</v>
      </c>
      <c r="J3" s="68" t="s">
        <v>76</v>
      </c>
      <c r="K3" s="68" t="s">
        <v>77</v>
      </c>
    </row>
    <row r="4" spans="3:14" x14ac:dyDescent="0.2">
      <c r="C4" s="1">
        <v>52638796</v>
      </c>
      <c r="D4" s="60">
        <v>43089</v>
      </c>
      <c r="E4" s="1" t="s">
        <v>73</v>
      </c>
      <c r="F4" s="1" t="s">
        <v>73</v>
      </c>
      <c r="G4" s="1">
        <v>98.8446</v>
      </c>
      <c r="H4" s="1">
        <v>17.351299999999998</v>
      </c>
      <c r="I4" s="3">
        <f>+C4*G4/100/H4</f>
        <v>2998657.5847928398</v>
      </c>
      <c r="J4">
        <f>+'Ajuste tasas'!I4</f>
        <v>3014379.8289196328</v>
      </c>
      <c r="K4" s="5">
        <f>+I4-J4</f>
        <v>-15722.244126792997</v>
      </c>
      <c r="N4" t="s">
        <v>81</v>
      </c>
    </row>
    <row r="7" spans="3:14" x14ac:dyDescent="0.2">
      <c r="C7" s="63">
        <v>43075</v>
      </c>
      <c r="D7" s="63"/>
      <c r="E7" s="63"/>
      <c r="F7" s="63"/>
      <c r="G7" s="63"/>
      <c r="H7" s="63"/>
      <c r="I7" s="63"/>
      <c r="J7" s="63"/>
      <c r="K7" s="63"/>
    </row>
    <row r="8" spans="3:14" ht="15" x14ac:dyDescent="0.25">
      <c r="C8" s="68" t="s">
        <v>71</v>
      </c>
      <c r="D8" s="68" t="s">
        <v>72</v>
      </c>
      <c r="E8" s="68" t="s">
        <v>58</v>
      </c>
      <c r="F8" s="68" t="s">
        <v>74</v>
      </c>
      <c r="G8" s="68" t="s">
        <v>50</v>
      </c>
      <c r="H8" s="68" t="s">
        <v>5</v>
      </c>
      <c r="I8" s="68" t="s">
        <v>75</v>
      </c>
      <c r="J8" s="68" t="s">
        <v>76</v>
      </c>
      <c r="K8" s="68" t="s">
        <v>77</v>
      </c>
    </row>
    <row r="9" spans="3:14" x14ac:dyDescent="0.2">
      <c r="C9" s="1">
        <f>+C4</f>
        <v>52638796</v>
      </c>
      <c r="D9" s="1"/>
      <c r="E9" s="1"/>
      <c r="F9" s="1"/>
      <c r="G9" s="1">
        <f>+G10</f>
        <v>98.919499999999999</v>
      </c>
      <c r="H9" s="1">
        <f>+H10</f>
        <v>17.286200000000001</v>
      </c>
      <c r="I9" s="3">
        <f>+C9*G9/100/H9</f>
        <v>3012231.3642801773</v>
      </c>
      <c r="J9" s="57">
        <f>+'Ajuste tasas'!I9</f>
        <v>3000929.8328782283</v>
      </c>
      <c r="K9" s="61">
        <f>+I9-J9</f>
        <v>11301.531401949003</v>
      </c>
    </row>
    <row r="10" spans="3:14" x14ac:dyDescent="0.2">
      <c r="C10" s="1">
        <v>34977485</v>
      </c>
      <c r="D10" s="60"/>
      <c r="E10" s="1"/>
      <c r="F10" s="1"/>
      <c r="G10" s="1">
        <f>+'Ajuste tasas'!G9</f>
        <v>98.919499999999999</v>
      </c>
      <c r="H10" s="1">
        <f>+'Ajuste tasas'!H10</f>
        <v>17.286200000000001</v>
      </c>
      <c r="I10" s="3">
        <f>+(C10*G10/100)/H10</f>
        <v>2001570.8064568848</v>
      </c>
      <c r="J10" s="57">
        <f>+'Ajuste tasas'!I10</f>
        <v>1994061.1524539951</v>
      </c>
      <c r="K10" s="61">
        <f>+I10-J10</f>
        <v>7509.654002889758</v>
      </c>
    </row>
    <row r="11" spans="3:14" x14ac:dyDescent="0.2">
      <c r="C11" s="1">
        <v>34929741</v>
      </c>
      <c r="D11" s="1"/>
      <c r="E11" s="1"/>
      <c r="F11" s="1"/>
      <c r="G11" s="1">
        <f>+'Ajuste tasas'!G10</f>
        <v>98.919499999999999</v>
      </c>
      <c r="H11" s="1">
        <f>+'Ajuste tasas'!H11</f>
        <v>17.286200000000001</v>
      </c>
      <c r="I11" s="3">
        <f t="shared" ref="I11:I13" si="0">+(C11*G11/100)/H11</f>
        <v>1998838.6775864563</v>
      </c>
      <c r="J11" s="57">
        <f>+'Ajuste tasas'!I11</f>
        <v>1991339.2742039505</v>
      </c>
      <c r="K11" s="61">
        <f t="shared" ref="K11:K13" si="1">+I11-J11</f>
        <v>7499.4033825057559</v>
      </c>
    </row>
    <row r="12" spans="3:14" x14ac:dyDescent="0.2">
      <c r="C12" s="1">
        <v>34957925</v>
      </c>
      <c r="D12" s="1"/>
      <c r="E12" s="1"/>
      <c r="F12" s="1"/>
      <c r="G12" s="1">
        <f>+'Ajuste tasas'!G11</f>
        <v>98.919499999999999</v>
      </c>
      <c r="H12" s="1">
        <f>+'Ajuste tasas'!H12</f>
        <v>17.286200000000001</v>
      </c>
      <c r="I12" s="3">
        <f t="shared" si="0"/>
        <v>2000451.4942772267</v>
      </c>
      <c r="J12" s="57">
        <f>+'Ajuste tasas'!I12</f>
        <v>1992946.0397996115</v>
      </c>
      <c r="K12" s="61">
        <f t="shared" si="1"/>
        <v>7505.4544776151888</v>
      </c>
    </row>
    <row r="13" spans="3:14" x14ac:dyDescent="0.2">
      <c r="C13" s="1">
        <v>28178082</v>
      </c>
      <c r="D13" s="1"/>
      <c r="E13" s="1"/>
      <c r="F13" s="1"/>
      <c r="G13" s="1">
        <f>+'Ajuste tasas'!G12</f>
        <v>98.919499999999999</v>
      </c>
      <c r="H13" s="1">
        <f>+'Ajuste tasas'!H13</f>
        <v>17.286200000000001</v>
      </c>
      <c r="I13" s="3">
        <f t="shared" si="0"/>
        <v>1612478.0358893222</v>
      </c>
      <c r="J13" s="57">
        <f>+'Ajuste tasas'!I13</f>
        <v>1606428.2113726351</v>
      </c>
      <c r="K13" s="61">
        <f t="shared" si="1"/>
        <v>6049.8245166870765</v>
      </c>
    </row>
    <row r="15" spans="3:14" ht="15" x14ac:dyDescent="0.25">
      <c r="C15" s="49" t="s">
        <v>82</v>
      </c>
      <c r="D15" s="49"/>
      <c r="E15" s="49"/>
      <c r="F15" s="49"/>
      <c r="G15" s="49"/>
      <c r="H15" s="49"/>
      <c r="I15" s="49"/>
      <c r="J15" s="49"/>
      <c r="K15" s="70">
        <f>+SUM(K9:K13)</f>
        <v>39865.867781646783</v>
      </c>
    </row>
  </sheetData>
  <mergeCells count="2">
    <mergeCell ref="C2:K2"/>
    <mergeCell ref="C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0712</vt:lpstr>
      <vt:lpstr>0612</vt:lpstr>
      <vt:lpstr>Valor Mercado RF</vt:lpstr>
      <vt:lpstr>Hoja5</vt:lpstr>
      <vt:lpstr>Info instrumentos</vt:lpstr>
      <vt:lpstr>Valorizaciones</vt:lpstr>
      <vt:lpstr>Ajuste tasas</vt:lpstr>
      <vt:lpstr>Trading</vt:lpstr>
      <vt:lpstr>Devengo de reajustes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2017-12-07T19:24:16Z</dcterms:modified>
</cp:coreProperties>
</file>